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2.xml" ContentType="application/vnd.openxmlformats-officedocument.drawing+xml"/>
  <Override PartName="/xl/ctrlProps/ctrlProp12.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Q:\FIB Series\FIB35P_734 (FEI)\Test Equipment\FIB35P_734 SSATS\Final Test\"/>
    </mc:Choice>
  </mc:AlternateContent>
  <xr:revisionPtr revIDLastSave="0" documentId="13_ncr:1_{96285DD7-2627-4E76-81EA-8FE36FA326D0}" xr6:coauthVersionLast="47" xr6:coauthVersionMax="47" xr10:uidLastSave="{00000000-0000-0000-0000-000000000000}"/>
  <bookViews>
    <workbookView xWindow="28680" yWindow="-120" windowWidth="29040" windowHeight="15840" xr2:uid="{DF18EF09-0484-4366-8DD9-DDE3EF15EB24}"/>
  </bookViews>
  <sheets>
    <sheet name="Test" sheetId="1" r:id="rId1"/>
    <sheet name="Database" sheetId="13" r:id="rId2"/>
    <sheet name="SubRoutines" sheetId="11" r:id="rId3"/>
    <sheet name="ATE_Settings" sheetId="7" r:id="rId4"/>
    <sheet name="Diagrams" sheetId="21" r:id="rId5"/>
    <sheet name="DCC Sheet" sheetId="14" r:id="rId6"/>
  </sheets>
  <functionGroups builtInGroupCount="19"/>
  <definedNames>
    <definedName name="_xlnm._FilterDatabase" localSheetId="1" hidden="1">Database!$B$8:$H$120</definedName>
    <definedName name="_xlnm._FilterDatabase" localSheetId="0" hidden="1">Test!#REF!</definedName>
    <definedName name="Acc_result">Test!$H$731</definedName>
    <definedName name="comments">Test!$D$22</definedName>
    <definedName name="database_overall_result">Database!$C$3</definedName>
    <definedName name="Ext_result">Test!$H$912</definedName>
    <definedName name="Fil_result">Test!$H$1221</definedName>
    <definedName name="first_cell">Test!$D$22</definedName>
    <definedName name="Lens_1_Result">Test!$H$315</definedName>
    <definedName name="Lens_2_Result">Test!$H$565</definedName>
    <definedName name="modified_date">Database!$C$4</definedName>
    <definedName name="modified_flag">Database!$C$5</definedName>
    <definedName name="Outputs">Test!$B$77:$B$89</definedName>
    <definedName name="overall_result">Test!$G$12</definedName>
    <definedName name="readback_result">Test!$H$162</definedName>
    <definedName name="Results">Test!$D$77:$D$90</definedName>
    <definedName name="section_1">Test!$A$99</definedName>
    <definedName name="section_1_body">Test!$A$99:$I$164</definedName>
    <definedName name="section_1_heading">Test!$B$99</definedName>
    <definedName name="section_1_results">Test!$I$101:$I$150</definedName>
    <definedName name="section_2">Test!$A$165</definedName>
    <definedName name="section_2_body">Test!$A$165:$I$317</definedName>
    <definedName name="section_2_heading">Test!$B$165</definedName>
    <definedName name="section_2_results">Test!$I$214:$I$313</definedName>
    <definedName name="section_3">Test!$A$318</definedName>
    <definedName name="section_3_body">Test!$A$318:$I$567</definedName>
    <definedName name="section_3_heading">Test!$B$318</definedName>
    <definedName name="section_3_results">Test!$I$367:$I$564</definedName>
    <definedName name="section_4">Test!$A$568</definedName>
    <definedName name="section_4_body">Test!$A$568:$I$733</definedName>
    <definedName name="section_4_heading">Test!$B$568</definedName>
    <definedName name="section_4_results">Test!$I$617:$I$729</definedName>
    <definedName name="section_5">Test!$A$734</definedName>
    <definedName name="section_5_body">Test!$A$734:$I$914</definedName>
    <definedName name="section_5_heading">Test!$B$734</definedName>
    <definedName name="section_5_results">Test!$I$783:$I$910</definedName>
    <definedName name="section_6">Test!$A$915</definedName>
    <definedName name="section_6_body">Test!$A$915:$I$1108</definedName>
    <definedName name="section_6_heading">Test!$B$915</definedName>
    <definedName name="section_6_results">Test!$I$964:$I$1104</definedName>
    <definedName name="section_7">Test!$A$1109</definedName>
    <definedName name="section_7_body">Test!$A$1109:$I$1223</definedName>
    <definedName name="section_7_heading">Test!$B$1109</definedName>
    <definedName name="section_7_results">Test!$I$1158:$I$1219</definedName>
    <definedName name="select_test_dropdown">Test!$B$94</definedName>
    <definedName name="serial_number">Test!$D$17</definedName>
    <definedName name="Supp_result">Test!$H$1106</definedName>
    <definedName name="test_date">Test!$D$19</definedName>
    <definedName name="TEST_RANGE">#REF!</definedName>
    <definedName name="tester_name">Test!$D$21</definedName>
    <definedName name="unit_type">Test!$D$15</definedName>
    <definedName name="voltage">#REF!</definedName>
    <definedName name="Voltage_RMC">#REF!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69" i="1" l="1"/>
  <c r="I102" i="1"/>
  <c r="K782" i="1" s="1"/>
  <c r="D108" i="13"/>
  <c r="D107" i="13"/>
  <c r="I291" i="1"/>
  <c r="G3" i="14"/>
  <c r="E258" i="1"/>
  <c r="T1192" i="1"/>
  <c r="E1192" i="1" s="1"/>
  <c r="T1177" i="1"/>
  <c r="E1177" i="1" s="1"/>
  <c r="E1213" i="1"/>
  <c r="E1179" i="1" a="1"/>
  <c r="E1194" i="1" a="1"/>
  <c r="V120" i="7"/>
  <c r="Y120" i="7" l="1"/>
  <c r="E1194" i="1"/>
  <c r="E1179" i="1"/>
  <c r="O1098" i="1" l="1"/>
  <c r="O1043" i="1"/>
  <c r="W1084" i="1"/>
  <c r="E1084" i="1"/>
  <c r="I1084" i="1" s="1"/>
  <c r="H108" i="13" s="1"/>
  <c r="W1078" i="1"/>
  <c r="E1078" i="1"/>
  <c r="I1078" i="1" s="1"/>
  <c r="H107" i="13" s="1"/>
  <c r="E1029" i="1"/>
  <c r="I1029" i="1" s="1"/>
  <c r="E1023" i="1"/>
  <c r="I1023" i="1" s="1"/>
  <c r="N1058" i="1"/>
  <c r="O1081" i="1"/>
  <c r="N1081" i="1"/>
  <c r="O1075" i="1"/>
  <c r="N1075" i="1"/>
  <c r="O1026" i="1"/>
  <c r="N1026" i="1"/>
  <c r="O1020" i="1"/>
  <c r="N1020" i="1"/>
  <c r="O976" i="1"/>
  <c r="E699" i="1"/>
  <c r="O702" i="1"/>
  <c r="N702" i="1"/>
  <c r="N696" i="1"/>
  <c r="O696" i="1"/>
  <c r="B897" i="1"/>
  <c r="O834" i="1"/>
  <c r="N834" i="1"/>
  <c r="E843" i="1"/>
  <c r="E837" i="1"/>
  <c r="N832" i="1" l="1"/>
  <c r="O879" i="1"/>
  <c r="K880" i="1"/>
  <c r="O794" i="1" l="1"/>
  <c r="E705" i="1"/>
  <c r="E453" i="1"/>
  <c r="I453" i="1" s="1"/>
  <c r="E459" i="1"/>
  <c r="I459" i="1" s="1"/>
  <c r="N287" i="1"/>
  <c r="W286" i="1"/>
  <c r="N282" i="1"/>
  <c r="N274" i="1"/>
  <c r="N694" i="1"/>
  <c r="N691" i="1"/>
  <c r="N686" i="1"/>
  <c r="N683" i="1"/>
  <c r="O680" i="1"/>
  <c r="N680" i="1"/>
  <c r="K679" i="1"/>
  <c r="O522" i="1"/>
  <c r="N522" i="1"/>
  <c r="K521" i="1"/>
  <c r="O442" i="1"/>
  <c r="N442" i="1"/>
  <c r="K441" i="1"/>
  <c r="N440" i="1"/>
  <c r="O276" i="1"/>
  <c r="B276" i="1"/>
  <c r="N276" i="1" s="1"/>
  <c r="K275" i="1"/>
  <c r="E272" i="1" l="1"/>
  <c r="D102" i="13"/>
  <c r="D101" i="13"/>
  <c r="C54" i="13"/>
  <c r="A54" i="13" s="1"/>
  <c r="C55" i="13"/>
  <c r="A55" i="13" s="1"/>
  <c r="D59" i="13"/>
  <c r="D60" i="13"/>
  <c r="C62" i="13"/>
  <c r="A62" i="13" s="1"/>
  <c r="C63" i="13"/>
  <c r="A63" i="13" s="1"/>
  <c r="C70" i="13"/>
  <c r="A70" i="13" s="1"/>
  <c r="C71" i="13"/>
  <c r="A71" i="13" s="1"/>
  <c r="C72" i="13"/>
  <c r="A72" i="13" s="1"/>
  <c r="C73" i="13"/>
  <c r="A73" i="13" s="1"/>
  <c r="C74" i="13"/>
  <c r="A74" i="13" s="1"/>
  <c r="C75" i="13"/>
  <c r="A75" i="13" s="1"/>
  <c r="D79" i="13"/>
  <c r="D80" i="13"/>
  <c r="C82" i="13"/>
  <c r="A82" i="13" s="1"/>
  <c r="C83" i="13"/>
  <c r="A83" i="13" s="1"/>
  <c r="C84" i="13"/>
  <c r="A84" i="13" s="1"/>
  <c r="C85" i="13"/>
  <c r="A85" i="13" s="1"/>
  <c r="D88" i="13"/>
  <c r="D89" i="13"/>
  <c r="C90" i="13"/>
  <c r="A90" i="13" s="1"/>
  <c r="C93" i="13"/>
  <c r="A93" i="13" s="1"/>
  <c r="C94" i="13"/>
  <c r="A94" i="13" s="1"/>
  <c r="C95" i="13"/>
  <c r="A95" i="13" s="1"/>
  <c r="C96" i="13"/>
  <c r="A96" i="13" s="1"/>
  <c r="C97" i="13"/>
  <c r="A97" i="13" s="1"/>
  <c r="C98" i="13"/>
  <c r="A98" i="13" s="1"/>
  <c r="C99" i="13"/>
  <c r="A99" i="13" s="1"/>
  <c r="C104" i="13"/>
  <c r="A104" i="13" s="1"/>
  <c r="C105" i="13"/>
  <c r="A105" i="13" s="1"/>
  <c r="C110" i="13"/>
  <c r="A110" i="13" s="1"/>
  <c r="D110" i="13"/>
  <c r="C111" i="13"/>
  <c r="A111" i="13" s="1"/>
  <c r="C114" i="13"/>
  <c r="A114" i="13" s="1"/>
  <c r="D114" i="13"/>
  <c r="C115" i="13"/>
  <c r="A115" i="13" s="1"/>
  <c r="C118" i="13"/>
  <c r="A118" i="13" s="1"/>
  <c r="D118" i="13"/>
  <c r="C119" i="13"/>
  <c r="A119" i="13" s="1"/>
  <c r="D119" i="13"/>
  <c r="D120" i="13"/>
  <c r="C38" i="13"/>
  <c r="A38" i="13" s="1"/>
  <c r="C39" i="13"/>
  <c r="A39" i="13" s="1"/>
  <c r="C40" i="13"/>
  <c r="A40" i="13" s="1"/>
  <c r="C41" i="13"/>
  <c r="A41" i="13" s="1"/>
  <c r="D44" i="13"/>
  <c r="C45" i="13"/>
  <c r="A45" i="13" s="1"/>
  <c r="C46" i="13"/>
  <c r="A46" i="13" s="1"/>
  <c r="C48" i="13"/>
  <c r="A48" i="13" s="1"/>
  <c r="C49" i="13"/>
  <c r="A49" i="13" s="1"/>
  <c r="C50" i="13"/>
  <c r="A50" i="13" s="1"/>
  <c r="C51" i="13"/>
  <c r="A51" i="13" s="1"/>
  <c r="C52" i="13"/>
  <c r="A52" i="13" s="1"/>
  <c r="C53" i="13"/>
  <c r="A53" i="13" s="1"/>
  <c r="C9" i="13"/>
  <c r="A9" i="13" s="1"/>
  <c r="D9" i="13"/>
  <c r="E9" i="13"/>
  <c r="F9" i="13"/>
  <c r="G9" i="13"/>
  <c r="C10" i="13"/>
  <c r="A10" i="13" s="1"/>
  <c r="D10" i="13"/>
  <c r="E10" i="13"/>
  <c r="F10" i="13"/>
  <c r="G10" i="13"/>
  <c r="C11" i="13"/>
  <c r="A11" i="13" s="1"/>
  <c r="D11" i="13"/>
  <c r="E11" i="13"/>
  <c r="F11" i="13"/>
  <c r="G11" i="13"/>
  <c r="C12" i="13"/>
  <c r="A12" i="13" s="1"/>
  <c r="D12" i="13"/>
  <c r="E12" i="13"/>
  <c r="F12" i="13"/>
  <c r="G12" i="13"/>
  <c r="C13" i="13"/>
  <c r="A13" i="13" s="1"/>
  <c r="D13" i="13"/>
  <c r="E13" i="13"/>
  <c r="F13" i="13"/>
  <c r="G13" i="13"/>
  <c r="C14" i="13"/>
  <c r="A14" i="13" s="1"/>
  <c r="D14" i="13"/>
  <c r="E14" i="13"/>
  <c r="F14" i="13"/>
  <c r="G14" i="13"/>
  <c r="C15" i="13"/>
  <c r="A15" i="13" s="1"/>
  <c r="D15" i="13"/>
  <c r="E15" i="13"/>
  <c r="F15" i="13"/>
  <c r="G15" i="13"/>
  <c r="C16" i="13"/>
  <c r="A16" i="13" s="1"/>
  <c r="D16" i="13"/>
  <c r="E16" i="13"/>
  <c r="F16" i="13"/>
  <c r="G16" i="13"/>
  <c r="C17" i="13"/>
  <c r="A17" i="13" s="1"/>
  <c r="D17" i="13"/>
  <c r="E17" i="13"/>
  <c r="F17" i="13"/>
  <c r="G17" i="13"/>
  <c r="C18" i="13"/>
  <c r="A18" i="13" s="1"/>
  <c r="D18" i="13"/>
  <c r="E18" i="13"/>
  <c r="F18" i="13"/>
  <c r="G18" i="13"/>
  <c r="C19" i="13"/>
  <c r="A19" i="13" s="1"/>
  <c r="D19" i="13"/>
  <c r="E19" i="13"/>
  <c r="F19" i="13"/>
  <c r="G19" i="13"/>
  <c r="C20" i="13"/>
  <c r="A20" i="13" s="1"/>
  <c r="D20" i="13"/>
  <c r="E20" i="13"/>
  <c r="F20" i="13"/>
  <c r="G20" i="13"/>
  <c r="C21" i="13"/>
  <c r="A21" i="13" s="1"/>
  <c r="D21" i="13"/>
  <c r="E21" i="13"/>
  <c r="F21" i="13"/>
  <c r="G21" i="13"/>
  <c r="C22" i="13"/>
  <c r="A22" i="13" s="1"/>
  <c r="D22" i="13"/>
  <c r="E22" i="13"/>
  <c r="F22" i="13"/>
  <c r="G22" i="13"/>
  <c r="C23" i="13"/>
  <c r="A23" i="13" s="1"/>
  <c r="D23" i="13"/>
  <c r="E23" i="13"/>
  <c r="F23" i="13"/>
  <c r="G23" i="13"/>
  <c r="C24" i="13"/>
  <c r="A24" i="13" s="1"/>
  <c r="D24" i="13"/>
  <c r="E24" i="13"/>
  <c r="F24" i="13"/>
  <c r="G24" i="13"/>
  <c r="C25" i="13"/>
  <c r="A25" i="13" s="1"/>
  <c r="D25" i="13"/>
  <c r="E25" i="13"/>
  <c r="F25" i="13"/>
  <c r="G25" i="13"/>
  <c r="C26" i="13"/>
  <c r="A26" i="13" s="1"/>
  <c r="D26" i="13"/>
  <c r="E26" i="13"/>
  <c r="F26" i="13"/>
  <c r="G26" i="13"/>
  <c r="C27" i="13"/>
  <c r="A27" i="13" s="1"/>
  <c r="D27" i="13"/>
  <c r="E27" i="13"/>
  <c r="F27" i="13"/>
  <c r="G27" i="13"/>
  <c r="C28" i="13"/>
  <c r="A28" i="13" s="1"/>
  <c r="D28" i="13"/>
  <c r="E28" i="13"/>
  <c r="F28" i="13"/>
  <c r="G28" i="13"/>
  <c r="C29" i="13"/>
  <c r="A29" i="13" s="1"/>
  <c r="D29" i="13"/>
  <c r="E29" i="13"/>
  <c r="F29" i="13"/>
  <c r="G29" i="13"/>
  <c r="C30" i="13"/>
  <c r="A30" i="13" s="1"/>
  <c r="D30" i="13"/>
  <c r="E30" i="13"/>
  <c r="F30" i="13"/>
  <c r="G30" i="13"/>
  <c r="C31" i="13"/>
  <c r="A31" i="13" s="1"/>
  <c r="D31" i="13"/>
  <c r="E31" i="13"/>
  <c r="F31" i="13"/>
  <c r="G31" i="13"/>
  <c r="C32" i="13"/>
  <c r="A32" i="13" s="1"/>
  <c r="D32" i="13"/>
  <c r="E32" i="13"/>
  <c r="F32" i="13"/>
  <c r="G32" i="13"/>
  <c r="C33" i="13"/>
  <c r="A33" i="13" s="1"/>
  <c r="D33" i="13"/>
  <c r="E33" i="13"/>
  <c r="F33" i="13"/>
  <c r="G33" i="13"/>
  <c r="C34" i="13"/>
  <c r="A34" i="13" s="1"/>
  <c r="D34" i="13"/>
  <c r="E34" i="13"/>
  <c r="F34" i="13"/>
  <c r="G34" i="13"/>
  <c r="C35" i="13"/>
  <c r="A35" i="13" s="1"/>
  <c r="D35" i="13"/>
  <c r="E35" i="13"/>
  <c r="F35" i="13"/>
  <c r="G35" i="13"/>
  <c r="C36" i="13"/>
  <c r="A36" i="13" s="1"/>
  <c r="D36" i="13"/>
  <c r="E36" i="13"/>
  <c r="F36" i="13"/>
  <c r="G36" i="13"/>
  <c r="C37" i="13"/>
  <c r="A37" i="13" s="1"/>
  <c r="L786" i="1"/>
  <c r="E539" i="1"/>
  <c r="E533" i="1"/>
  <c r="O284" i="1"/>
  <c r="N284" i="1"/>
  <c r="N289" i="1"/>
  <c r="D43" i="13"/>
  <c r="N1085" i="1"/>
  <c r="P1080" i="1"/>
  <c r="N1079" i="1"/>
  <c r="P1074" i="1"/>
  <c r="P1025" i="1"/>
  <c r="P1019" i="1"/>
  <c r="N1018" i="1"/>
  <c r="N1015" i="1"/>
  <c r="N1030" i="1"/>
  <c r="W1029" i="1"/>
  <c r="N1024" i="1"/>
  <c r="W1023" i="1"/>
  <c r="P839" i="1"/>
  <c r="P833" i="1"/>
  <c r="N844" i="1"/>
  <c r="W843" i="1"/>
  <c r="N840" i="1"/>
  <c r="N838" i="1"/>
  <c r="W837" i="1"/>
  <c r="P701" i="1"/>
  <c r="P695" i="1"/>
  <c r="N706" i="1"/>
  <c r="N700" i="1"/>
  <c r="W705" i="1"/>
  <c r="W699" i="1"/>
  <c r="P535" i="1"/>
  <c r="P529" i="1"/>
  <c r="N540" i="1"/>
  <c r="N534" i="1"/>
  <c r="N520" i="1"/>
  <c r="K541" i="1"/>
  <c r="O536" i="1"/>
  <c r="N536" i="1"/>
  <c r="O530" i="1"/>
  <c r="N530" i="1"/>
  <c r="P455" i="1"/>
  <c r="P449" i="1"/>
  <c r="N460" i="1"/>
  <c r="N454" i="1"/>
  <c r="P288" i="1"/>
  <c r="P283" i="1"/>
  <c r="D68" i="13" l="1"/>
  <c r="D67" i="13"/>
  <c r="O126" i="1"/>
  <c r="N126" i="1"/>
  <c r="N159" i="1"/>
  <c r="I158" i="1"/>
  <c r="H36" i="13" s="1"/>
  <c r="I157" i="1"/>
  <c r="H35" i="13" s="1"/>
  <c r="I156" i="1"/>
  <c r="H34" i="13" s="1"/>
  <c r="I155" i="1"/>
  <c r="H33" i="13" s="1"/>
  <c r="I154" i="1"/>
  <c r="H32" i="13" s="1"/>
  <c r="I150" i="1"/>
  <c r="H28" i="13" s="1"/>
  <c r="I151" i="1"/>
  <c r="H29" i="13" s="1"/>
  <c r="I152" i="1"/>
  <c r="H30" i="13" s="1"/>
  <c r="I153" i="1"/>
  <c r="H31" i="13" s="1"/>
  <c r="I149" i="1"/>
  <c r="H27" i="13" s="1"/>
  <c r="N145" i="1"/>
  <c r="I138" i="1"/>
  <c r="H20" i="13" s="1"/>
  <c r="I137" i="1"/>
  <c r="H19" i="13" s="1"/>
  <c r="I136" i="1"/>
  <c r="H18" i="13" s="1"/>
  <c r="I135" i="1"/>
  <c r="H17" i="13" s="1"/>
  <c r="I134" i="1"/>
  <c r="H16" i="13" s="1"/>
  <c r="I133" i="1"/>
  <c r="H15" i="13" s="1"/>
  <c r="I132" i="1"/>
  <c r="H14" i="13" s="1"/>
  <c r="I131" i="1"/>
  <c r="H13" i="13" s="1"/>
  <c r="I130" i="1"/>
  <c r="H12" i="13" s="1"/>
  <c r="I129" i="1"/>
  <c r="H11" i="13" s="1"/>
  <c r="I128" i="1"/>
  <c r="H10" i="13" s="1"/>
  <c r="I127" i="1"/>
  <c r="H9" i="13" s="1"/>
  <c r="I144" i="1"/>
  <c r="H26" i="13" s="1"/>
  <c r="I143" i="1"/>
  <c r="H25" i="13" s="1"/>
  <c r="I142" i="1"/>
  <c r="H24" i="13" s="1"/>
  <c r="I141" i="1"/>
  <c r="H23" i="13" s="1"/>
  <c r="I140" i="1"/>
  <c r="H22" i="13" s="1"/>
  <c r="I139" i="1"/>
  <c r="H21" i="13" s="1"/>
  <c r="N121" i="1"/>
  <c r="N116" i="1"/>
  <c r="N114" i="1"/>
  <c r="N112" i="1"/>
  <c r="N110" i="1"/>
  <c r="K120" i="1"/>
  <c r="Q115" i="1"/>
  <c r="I115" i="1"/>
  <c r="Q119" i="1"/>
  <c r="I119" i="1"/>
  <c r="K118" i="1"/>
  <c r="Q117" i="1"/>
  <c r="I117" i="1"/>
  <c r="Q113" i="1"/>
  <c r="I113" i="1"/>
  <c r="L107" i="1"/>
  <c r="I111" i="1"/>
  <c r="L109" i="1"/>
  <c r="Q111" i="1"/>
  <c r="L108" i="1"/>
  <c r="A102" i="1" a="1"/>
  <c r="H162" i="1" l="1" a="1"/>
  <c r="H162" i="1" s="1"/>
  <c r="D77" i="1" s="1"/>
  <c r="K104" i="1"/>
  <c r="K213" i="1"/>
  <c r="K366" i="1"/>
  <c r="K1157" i="1"/>
  <c r="K616" i="1"/>
  <c r="K963" i="1"/>
  <c r="A102" i="1"/>
  <c r="A108" i="1" a="1"/>
  <c r="A108" i="1" l="1"/>
  <c r="A109" i="1" a="1"/>
  <c r="A109" i="1" l="1"/>
  <c r="B502" i="1" l="1"/>
  <c r="B422" i="1"/>
  <c r="O723" i="1"/>
  <c r="N723" i="1"/>
  <c r="N719" i="1"/>
  <c r="O1211" i="1"/>
  <c r="N1211" i="1"/>
  <c r="N1103" i="1"/>
  <c r="N1048" i="1"/>
  <c r="N885" i="1"/>
  <c r="N898" i="1"/>
  <c r="O881" i="1"/>
  <c r="N881" i="1"/>
  <c r="N727" i="1"/>
  <c r="N310" i="1"/>
  <c r="O306" i="1"/>
  <c r="N306" i="1"/>
  <c r="N1218" i="1"/>
  <c r="N1195" i="1"/>
  <c r="N1190" i="1"/>
  <c r="N1180" i="1"/>
  <c r="N1175" i="1"/>
  <c r="N901" i="1"/>
  <c r="K886" i="1"/>
  <c r="K864" i="1"/>
  <c r="K845" i="1"/>
  <c r="K808" i="1"/>
  <c r="K710" i="1"/>
  <c r="K709" i="1"/>
  <c r="O708" i="1"/>
  <c r="N708" i="1"/>
  <c r="K707" i="1"/>
  <c r="O670" i="1"/>
  <c r="N670" i="1"/>
  <c r="K672" i="1"/>
  <c r="K671" i="1"/>
  <c r="K669" i="1"/>
  <c r="K643" i="1"/>
  <c r="K645" i="1"/>
  <c r="K644" i="1"/>
  <c r="N558" i="1"/>
  <c r="N553" i="1"/>
  <c r="N542" i="1"/>
  <c r="N501" i="1"/>
  <c r="N484" i="1"/>
  <c r="N478" i="1"/>
  <c r="N473" i="1"/>
  <c r="K543" i="1"/>
  <c r="O542" i="1"/>
  <c r="K463" i="1"/>
  <c r="O462" i="1"/>
  <c r="N462" i="1"/>
  <c r="K461" i="1"/>
  <c r="K485" i="1"/>
  <c r="O484" i="1"/>
  <c r="O404" i="1"/>
  <c r="N404" i="1"/>
  <c r="K403" i="1"/>
  <c r="K405" i="1"/>
  <c r="L1062" i="1"/>
  <c r="N1061" i="1"/>
  <c r="O1057" i="1"/>
  <c r="N1057" i="1"/>
  <c r="K1056" i="1"/>
  <c r="O1055" i="1"/>
  <c r="K1054" i="1"/>
  <c r="L1007" i="1"/>
  <c r="N1006" i="1"/>
  <c r="I895" i="1"/>
  <c r="Q895" i="1"/>
  <c r="O1216" i="1"/>
  <c r="N1216" i="1"/>
  <c r="K1215" i="1"/>
  <c r="K1214" i="1"/>
  <c r="O1208" i="1"/>
  <c r="N1208" i="1"/>
  <c r="K1207" i="1"/>
  <c r="K1206" i="1"/>
  <c r="O1205" i="1"/>
  <c r="O1210" i="1"/>
  <c r="O1198" i="1"/>
  <c r="N1198" i="1"/>
  <c r="K1197" i="1"/>
  <c r="K1196" i="1"/>
  <c r="O1191" i="1"/>
  <c r="O1187" i="1"/>
  <c r="O1185" i="1"/>
  <c r="N1185" i="1"/>
  <c r="K1184" i="1"/>
  <c r="O1176" i="1"/>
  <c r="O1172" i="1"/>
  <c r="O1170" i="1"/>
  <c r="N1170" i="1"/>
  <c r="O1167" i="1"/>
  <c r="K1168" i="1"/>
  <c r="L1162" i="1"/>
  <c r="L1161" i="1"/>
  <c r="O1100" i="1"/>
  <c r="O1099" i="1"/>
  <c r="N1099" i="1"/>
  <c r="O1095" i="1"/>
  <c r="O1094" i="1"/>
  <c r="N1094" i="1"/>
  <c r="K1093" i="1"/>
  <c r="O1092" i="1"/>
  <c r="K1091" i="1"/>
  <c r="N1073" i="1"/>
  <c r="N1070" i="1"/>
  <c r="O1068" i="1"/>
  <c r="O1067" i="1"/>
  <c r="N1067" i="1"/>
  <c r="K1066" i="1"/>
  <c r="O1065" i="1"/>
  <c r="K1064" i="1"/>
  <c r="O1045" i="1"/>
  <c r="O1044" i="1"/>
  <c r="N1044" i="1"/>
  <c r="O1040" i="1"/>
  <c r="O1039" i="1"/>
  <c r="N1039" i="1"/>
  <c r="K1038" i="1"/>
  <c r="O1037" i="1"/>
  <c r="K1036" i="1"/>
  <c r="O1003" i="1"/>
  <c r="N1003" i="1"/>
  <c r="K1002" i="1"/>
  <c r="O1001" i="1"/>
  <c r="K1000" i="1"/>
  <c r="O1013" i="1"/>
  <c r="O1012" i="1"/>
  <c r="N1012" i="1"/>
  <c r="K1011" i="1"/>
  <c r="O1010" i="1"/>
  <c r="K1008" i="1"/>
  <c r="N994" i="1"/>
  <c r="N989" i="1"/>
  <c r="N984" i="1"/>
  <c r="N981" i="1"/>
  <c r="O992" i="1"/>
  <c r="O991" i="1"/>
  <c r="N991" i="1"/>
  <c r="K990" i="1"/>
  <c r="K985" i="1"/>
  <c r="O987" i="1"/>
  <c r="O986" i="1"/>
  <c r="N986" i="1"/>
  <c r="O982" i="1"/>
  <c r="O978" i="1"/>
  <c r="N978" i="1"/>
  <c r="K977" i="1"/>
  <c r="L969" i="1"/>
  <c r="L968" i="1"/>
  <c r="A1221" i="1"/>
  <c r="A1106" i="1"/>
  <c r="A980" i="1" a="1"/>
  <c r="A1171" i="1" a="1"/>
  <c r="V106" i="7"/>
  <c r="V113" i="7"/>
  <c r="V112" i="7"/>
  <c r="V99" i="7"/>
  <c r="V102" i="7"/>
  <c r="V108" i="7"/>
  <c r="V116" i="7"/>
  <c r="V114" i="7"/>
  <c r="V119" i="7"/>
  <c r="V101" i="7"/>
  <c r="V118" i="7"/>
  <c r="V105" i="7"/>
  <c r="V117" i="7"/>
  <c r="V109" i="7"/>
  <c r="V115" i="7"/>
  <c r="V103" i="7"/>
  <c r="V110" i="7"/>
  <c r="V107" i="7"/>
  <c r="V100" i="7"/>
  <c r="V104" i="7"/>
  <c r="V111" i="7"/>
  <c r="B837" i="1" l="1"/>
  <c r="D113" i="13"/>
  <c r="Y118" i="7"/>
  <c r="Y116" i="7"/>
  <c r="Y117" i="7"/>
  <c r="Y115" i="7"/>
  <c r="Y114" i="7"/>
  <c r="Y113" i="7"/>
  <c r="Y119" i="7"/>
  <c r="Y112" i="7"/>
  <c r="Y111" i="7"/>
  <c r="Y110" i="7"/>
  <c r="B1072" i="1" s="1"/>
  <c r="C106" i="13" s="1"/>
  <c r="A106" i="13" s="1"/>
  <c r="Y109" i="7"/>
  <c r="B1102" i="1" s="1"/>
  <c r="C109" i="13" s="1"/>
  <c r="A109" i="13" s="1"/>
  <c r="Y108" i="7"/>
  <c r="Y107" i="7"/>
  <c r="Y106" i="7"/>
  <c r="Y105" i="7"/>
  <c r="B1047" i="1" s="1"/>
  <c r="C103" i="13" s="1"/>
  <c r="A103" i="13" s="1"/>
  <c r="Y104" i="7"/>
  <c r="Y102" i="7"/>
  <c r="Y101" i="7"/>
  <c r="Y100" i="7"/>
  <c r="Y99" i="7"/>
  <c r="D117" i="13"/>
  <c r="A1171" i="1"/>
  <c r="B110" i="13" s="1"/>
  <c r="A980" i="1"/>
  <c r="A111" i="1" a="1"/>
  <c r="A983" i="1" a="1"/>
  <c r="A1173" i="1" a="1"/>
  <c r="B1078" i="1" l="1"/>
  <c r="C107" i="13" s="1"/>
  <c r="A107" i="13" s="1"/>
  <c r="B1084" i="1"/>
  <c r="C108" i="13" s="1"/>
  <c r="A108" i="13" s="1"/>
  <c r="B94" i="13"/>
  <c r="B1213" i="1"/>
  <c r="C120" i="13" s="1"/>
  <c r="A120" i="13" s="1"/>
  <c r="B843" i="1"/>
  <c r="C89" i="13" s="1"/>
  <c r="A89" i="13" s="1"/>
  <c r="C88" i="13"/>
  <c r="A88" i="13" s="1"/>
  <c r="B1023" i="1"/>
  <c r="C101" i="13" s="1"/>
  <c r="A101" i="13" s="1"/>
  <c r="A111" i="1"/>
  <c r="B1179" i="1"/>
  <c r="C113" i="13" s="1"/>
  <c r="A113" i="13" s="1"/>
  <c r="B1194" i="1"/>
  <c r="C117" i="13" s="1"/>
  <c r="A117" i="13" s="1"/>
  <c r="B1174" i="1"/>
  <c r="C112" i="13" s="1"/>
  <c r="A112" i="13" s="1"/>
  <c r="B1189" i="1"/>
  <c r="C116" i="13" s="1"/>
  <c r="A116" i="13" s="1"/>
  <c r="A1173" i="1"/>
  <c r="B111" i="13" s="1"/>
  <c r="A983" i="1"/>
  <c r="A1174" i="1" a="1"/>
  <c r="A113" i="1" a="1"/>
  <c r="A988" i="1" a="1"/>
  <c r="B95" i="13" l="1"/>
  <c r="B1029" i="1"/>
  <c r="C102" i="13" s="1"/>
  <c r="A102" i="13" s="1"/>
  <c r="A113" i="1"/>
  <c r="A1174" i="1"/>
  <c r="B112" i="13" s="1"/>
  <c r="A988" i="1"/>
  <c r="A115" i="1" a="1"/>
  <c r="A993" i="1" a="1"/>
  <c r="B96" i="13" l="1"/>
  <c r="A115" i="1"/>
  <c r="A993" i="1"/>
  <c r="A117" i="1" a="1"/>
  <c r="A1005" i="1" a="1"/>
  <c r="A1178" i="1" a="1"/>
  <c r="B97" i="13" l="1"/>
  <c r="A117" i="1"/>
  <c r="A1178" i="1"/>
  <c r="A1005" i="1"/>
  <c r="A1179" i="1" a="1"/>
  <c r="A119" i="1" a="1"/>
  <c r="A1014" i="1" a="1"/>
  <c r="B98" i="13" l="1"/>
  <c r="A119" i="1"/>
  <c r="A1179" i="1"/>
  <c r="B113" i="13" s="1"/>
  <c r="A1014" i="1"/>
  <c r="A1017" i="1" a="1"/>
  <c r="A1186" i="1" a="1"/>
  <c r="B99" i="13" l="1"/>
  <c r="A1186" i="1"/>
  <c r="B114" i="13" s="1"/>
  <c r="A1017" i="1"/>
  <c r="A1188" i="1" a="1"/>
  <c r="A1023" i="1" a="1"/>
  <c r="B100" i="13" l="1"/>
  <c r="A1023" i="1"/>
  <c r="A1188" i="1"/>
  <c r="B115" i="13" s="1"/>
  <c r="A1029" i="1" a="1"/>
  <c r="A1189" i="1" a="1"/>
  <c r="B101" i="13" l="1"/>
  <c r="A1029" i="1"/>
  <c r="A1189" i="1"/>
  <c r="B116" i="13" s="1"/>
  <c r="A1041" i="1" a="1"/>
  <c r="B102" i="13" l="1"/>
  <c r="A1041" i="1"/>
  <c r="A1046" i="1" a="1"/>
  <c r="A1193" i="1" a="1"/>
  <c r="A1046" i="1" l="1"/>
  <c r="A1193" i="1"/>
  <c r="A1194" i="1" a="1"/>
  <c r="A1047" i="1" a="1"/>
  <c r="A1047" i="1" l="1"/>
  <c r="A1194" i="1"/>
  <c r="B117" i="13" s="1"/>
  <c r="A1060" i="1" a="1"/>
  <c r="A127" i="1" a="1"/>
  <c r="A1209" i="1" a="1"/>
  <c r="B103" i="13" l="1"/>
  <c r="A1060" i="1"/>
  <c r="A127" i="1"/>
  <c r="B9" i="13" s="1"/>
  <c r="A1209" i="1"/>
  <c r="B118" i="13" s="1"/>
  <c r="Q897" i="1"/>
  <c r="Q902" i="1"/>
  <c r="K896" i="1"/>
  <c r="O893" i="1"/>
  <c r="K894" i="1"/>
  <c r="N909" i="1"/>
  <c r="Q908" i="1"/>
  <c r="I908" i="1"/>
  <c r="N907" i="1"/>
  <c r="Q906" i="1"/>
  <c r="I906" i="1"/>
  <c r="N905" i="1"/>
  <c r="Q904" i="1"/>
  <c r="I904" i="1"/>
  <c r="N903" i="1"/>
  <c r="I902" i="1"/>
  <c r="I897" i="1"/>
  <c r="B635" i="1"/>
  <c r="Q635" i="1" s="1"/>
  <c r="B630" i="1"/>
  <c r="Q630" i="1" s="1"/>
  <c r="N642" i="1"/>
  <c r="Q641" i="1"/>
  <c r="I641" i="1"/>
  <c r="N640" i="1"/>
  <c r="Q639" i="1"/>
  <c r="I639" i="1"/>
  <c r="N638" i="1"/>
  <c r="Q637" i="1"/>
  <c r="I637" i="1"/>
  <c r="N636" i="1"/>
  <c r="I635" i="1"/>
  <c r="N634" i="1"/>
  <c r="N631" i="1"/>
  <c r="I630" i="1"/>
  <c r="K232" i="1"/>
  <c r="B228" i="1"/>
  <c r="Q228" i="1" s="1"/>
  <c r="N242" i="1"/>
  <c r="Q241" i="1"/>
  <c r="I241" i="1"/>
  <c r="N240" i="1"/>
  <c r="Q239" i="1"/>
  <c r="I239" i="1"/>
  <c r="N238" i="1"/>
  <c r="Q237" i="1"/>
  <c r="I237" i="1"/>
  <c r="N236" i="1"/>
  <c r="I235" i="1"/>
  <c r="B235" i="1"/>
  <c r="Q235" i="1" s="1"/>
  <c r="O234" i="1"/>
  <c r="N234" i="1"/>
  <c r="N233" i="1"/>
  <c r="N229" i="1"/>
  <c r="I228" i="1"/>
  <c r="N445" i="1"/>
  <c r="N429" i="1"/>
  <c r="N427" i="1"/>
  <c r="N425" i="1"/>
  <c r="N423" i="1"/>
  <c r="N416" i="1"/>
  <c r="N420" i="1"/>
  <c r="N525" i="1"/>
  <c r="N509" i="1"/>
  <c r="N507" i="1"/>
  <c r="N505" i="1"/>
  <c r="N503" i="1"/>
  <c r="N500" i="1"/>
  <c r="N496" i="1"/>
  <c r="Q508" i="1"/>
  <c r="I508" i="1"/>
  <c r="Q506" i="1"/>
  <c r="I506" i="1"/>
  <c r="Q504" i="1"/>
  <c r="I504" i="1"/>
  <c r="I502" i="1"/>
  <c r="Q502" i="1"/>
  <c r="O501" i="1"/>
  <c r="K499" i="1"/>
  <c r="I495" i="1"/>
  <c r="B495" i="1"/>
  <c r="Q495" i="1" s="1"/>
  <c r="K494" i="1"/>
  <c r="O493" i="1"/>
  <c r="K492" i="1"/>
  <c r="Q426" i="1"/>
  <c r="I426" i="1"/>
  <c r="O421" i="1"/>
  <c r="N421" i="1"/>
  <c r="K419" i="1"/>
  <c r="B415" i="1"/>
  <c r="I415" i="1"/>
  <c r="O882" i="1"/>
  <c r="O876" i="1"/>
  <c r="O875" i="1"/>
  <c r="N875" i="1"/>
  <c r="K874" i="1"/>
  <c r="K873" i="1"/>
  <c r="O872" i="1"/>
  <c r="N862" i="1"/>
  <c r="N859" i="1"/>
  <c r="N825" i="1"/>
  <c r="N822" i="1"/>
  <c r="O856" i="1"/>
  <c r="N856" i="1"/>
  <c r="K855" i="1"/>
  <c r="K854" i="1"/>
  <c r="O853" i="1"/>
  <c r="K803" i="1"/>
  <c r="K826" i="1"/>
  <c r="K818" i="1"/>
  <c r="T829" i="1"/>
  <c r="O827" i="1"/>
  <c r="N827" i="1"/>
  <c r="O820" i="1"/>
  <c r="O819" i="1"/>
  <c r="N819" i="1"/>
  <c r="K817" i="1"/>
  <c r="O816" i="1"/>
  <c r="N807" i="1"/>
  <c r="N802" i="1"/>
  <c r="N799" i="1"/>
  <c r="O805" i="1"/>
  <c r="O804" i="1"/>
  <c r="N804" i="1"/>
  <c r="O800" i="1"/>
  <c r="O796" i="1"/>
  <c r="N796" i="1"/>
  <c r="K795" i="1"/>
  <c r="A912" i="1"/>
  <c r="L787" i="1"/>
  <c r="A1212" i="1" a="1"/>
  <c r="A128" i="1" a="1"/>
  <c r="A633" i="1" a="1"/>
  <c r="A1069" i="1" a="1"/>
  <c r="A231" i="1" a="1"/>
  <c r="C21" i="11"/>
  <c r="V92" i="7"/>
  <c r="V89" i="7"/>
  <c r="V90" i="7"/>
  <c r="C22" i="11"/>
  <c r="V94" i="7"/>
  <c r="V91" i="7"/>
  <c r="C24" i="11"/>
  <c r="V95" i="7"/>
  <c r="V93" i="7"/>
  <c r="C25" i="11"/>
  <c r="V98" i="7"/>
  <c r="C23" i="11"/>
  <c r="V97" i="7"/>
  <c r="V96" i="7"/>
  <c r="B104" i="13" l="1"/>
  <c r="E829" i="1"/>
  <c r="E831" i="1" s="1"/>
  <c r="A1069" i="1"/>
  <c r="A128" i="1"/>
  <c r="B10" i="13" s="1"/>
  <c r="A1212" i="1"/>
  <c r="B119" i="13" s="1"/>
  <c r="A633" i="1"/>
  <c r="B70" i="13" s="1"/>
  <c r="A231" i="1"/>
  <c r="Y98" i="7"/>
  <c r="B884" i="1" s="1"/>
  <c r="C92" i="13" s="1"/>
  <c r="A92" i="13" s="1"/>
  <c r="M870" i="1"/>
  <c r="Y97" i="7"/>
  <c r="B861" i="1" s="1"/>
  <c r="C91" i="13" s="1"/>
  <c r="A91" i="13" s="1"/>
  <c r="Y96" i="7"/>
  <c r="M851" i="1"/>
  <c r="Y95" i="7"/>
  <c r="B831" i="1" s="1"/>
  <c r="C87" i="13" s="1"/>
  <c r="A87" i="13" s="1"/>
  <c r="Y94" i="7"/>
  <c r="B824" i="1" s="1"/>
  <c r="C86" i="13" s="1"/>
  <c r="A86" i="13" s="1"/>
  <c r="Y93" i="7"/>
  <c r="Y92" i="7"/>
  <c r="Y91" i="7"/>
  <c r="Y90" i="7"/>
  <c r="Y89" i="7"/>
  <c r="M814" i="1"/>
  <c r="A798" i="1" a="1"/>
  <c r="A1213" i="1" a="1"/>
  <c r="A129" i="1" a="1"/>
  <c r="A1072" i="1" a="1"/>
  <c r="B105" i="13" l="1"/>
  <c r="D87" i="13"/>
  <c r="B37" i="13"/>
  <c r="A1072" i="1"/>
  <c r="A129" i="1"/>
  <c r="B11" i="13" s="1"/>
  <c r="A1213" i="1"/>
  <c r="B120" i="13" s="1"/>
  <c r="A798" i="1"/>
  <c r="B82" i="13" s="1"/>
  <c r="A801" i="1" a="1"/>
  <c r="A1078" i="1" a="1"/>
  <c r="A130" i="1" a="1"/>
  <c r="A1078" i="1" l="1"/>
  <c r="B107" i="13" s="1"/>
  <c r="B106" i="13"/>
  <c r="A130" i="1"/>
  <c r="B12" i="13" s="1"/>
  <c r="A801" i="1"/>
  <c r="B83" i="13" s="1"/>
  <c r="A1084" i="1" a="1"/>
  <c r="A131" i="1" a="1"/>
  <c r="A806" i="1" a="1"/>
  <c r="A1084" i="1" l="1"/>
  <c r="B108" i="13" s="1"/>
  <c r="A131" i="1"/>
  <c r="B13" i="13" s="1"/>
  <c r="A806" i="1"/>
  <c r="B84" i="13" s="1"/>
  <c r="A821" i="1" a="1"/>
  <c r="A132" i="1" a="1"/>
  <c r="A132" i="1" l="1"/>
  <c r="B14" i="13" s="1"/>
  <c r="A821" i="1"/>
  <c r="B85" i="13" s="1"/>
  <c r="A1096" i="1" a="1"/>
  <c r="A133" i="1" a="1"/>
  <c r="A824" i="1" a="1"/>
  <c r="A1096" i="1" l="1"/>
  <c r="A133" i="1"/>
  <c r="B15" i="13" s="1"/>
  <c r="A824" i="1"/>
  <c r="B86" i="13" s="1"/>
  <c r="A1101" i="1" a="1"/>
  <c r="A829" i="1" a="1"/>
  <c r="A134" i="1" a="1"/>
  <c r="A1101" i="1" l="1"/>
  <c r="A134" i="1"/>
  <c r="B16" i="13" s="1"/>
  <c r="A829" i="1"/>
  <c r="A830" i="1" a="1"/>
  <c r="A1102" i="1" a="1"/>
  <c r="A135" i="1" a="1"/>
  <c r="A1102" i="1" l="1"/>
  <c r="B109" i="13" s="1"/>
  <c r="A135" i="1"/>
  <c r="B17" i="13" s="1"/>
  <c r="A830" i="1"/>
  <c r="A136" i="1" a="1"/>
  <c r="A831" i="1" a="1"/>
  <c r="A136" i="1" l="1"/>
  <c r="B18" i="13" s="1"/>
  <c r="A831" i="1"/>
  <c r="B87" i="13" s="1"/>
  <c r="O720" i="1"/>
  <c r="O724" i="1"/>
  <c r="N292" i="1"/>
  <c r="K728" i="1"/>
  <c r="O717" i="1"/>
  <c r="O719" i="1"/>
  <c r="K687" i="1"/>
  <c r="K661" i="1"/>
  <c r="K656" i="1"/>
  <c r="K629" i="1"/>
  <c r="O689" i="1"/>
  <c r="O688" i="1"/>
  <c r="N688" i="1"/>
  <c r="O678" i="1"/>
  <c r="K677" i="1"/>
  <c r="N668" i="1"/>
  <c r="N665" i="1"/>
  <c r="O663" i="1"/>
  <c r="O662" i="1"/>
  <c r="N662" i="1"/>
  <c r="N660" i="1"/>
  <c r="N655" i="1"/>
  <c r="O657" i="1"/>
  <c r="N657" i="1"/>
  <c r="O658" i="1"/>
  <c r="O652" i="1"/>
  <c r="N652" i="1"/>
  <c r="K651" i="1"/>
  <c r="O628" i="1"/>
  <c r="K627" i="1"/>
  <c r="L621" i="1"/>
  <c r="L620" i="1"/>
  <c r="K648" i="1"/>
  <c r="A837" i="1" a="1"/>
  <c r="A137" i="1" a="1"/>
  <c r="V82" i="7"/>
  <c r="V80" i="7"/>
  <c r="V60" i="7"/>
  <c r="V87" i="7"/>
  <c r="V84" i="7"/>
  <c r="V81" i="7"/>
  <c r="V83" i="7"/>
  <c r="V86" i="7"/>
  <c r="V85" i="7"/>
  <c r="V88" i="7"/>
  <c r="A837" i="1" l="1"/>
  <c r="B88" i="13" s="1"/>
  <c r="A137" i="1"/>
  <c r="B19" i="13" s="1"/>
  <c r="Y88" i="7"/>
  <c r="B699" i="1" s="1"/>
  <c r="Y87" i="7"/>
  <c r="Y86" i="7"/>
  <c r="B685" i="1" s="1"/>
  <c r="C78" i="13" s="1"/>
  <c r="A78" i="13" s="1"/>
  <c r="Y85" i="7"/>
  <c r="B682" i="1" s="1"/>
  <c r="C77" i="13" s="1"/>
  <c r="A77" i="13" s="1"/>
  <c r="Y84" i="7"/>
  <c r="B693" i="1" s="1"/>
  <c r="C76" i="13" s="1"/>
  <c r="A76" i="13" s="1"/>
  <c r="Y83" i="7"/>
  <c r="Y80" i="7"/>
  <c r="Y81" i="7"/>
  <c r="A731" i="1"/>
  <c r="A138" i="1" a="1"/>
  <c r="A843" i="1" a="1"/>
  <c r="B726" i="1" l="1"/>
  <c r="C81" i="13" s="1"/>
  <c r="A81" i="13" s="1"/>
  <c r="B705" i="1"/>
  <c r="C80" i="13" s="1"/>
  <c r="A80" i="13" s="1"/>
  <c r="C79" i="13"/>
  <c r="A79" i="13" s="1"/>
  <c r="A843" i="1"/>
  <c r="B89" i="13" s="1"/>
  <c r="A138" i="1"/>
  <c r="B20" i="13" s="1"/>
  <c r="O456" i="1"/>
  <c r="N456" i="1"/>
  <c r="O450" i="1"/>
  <c r="N450" i="1"/>
  <c r="O558" i="1"/>
  <c r="O553" i="1"/>
  <c r="K552" i="1"/>
  <c r="K483" i="1"/>
  <c r="O478" i="1"/>
  <c r="K471" i="1"/>
  <c r="K472" i="1"/>
  <c r="O473" i="1"/>
  <c r="L218" i="1"/>
  <c r="L371" i="1"/>
  <c r="K376" i="1"/>
  <c r="K412" i="1"/>
  <c r="O550" i="1"/>
  <c r="N562" i="1"/>
  <c r="N556" i="1"/>
  <c r="N482" i="1"/>
  <c r="O470" i="1"/>
  <c r="N476" i="1"/>
  <c r="N517" i="1"/>
  <c r="N528" i="1"/>
  <c r="O523" i="1"/>
  <c r="O514" i="1"/>
  <c r="N514" i="1"/>
  <c r="K513" i="1"/>
  <c r="O512" i="1"/>
  <c r="K511" i="1"/>
  <c r="N437" i="1"/>
  <c r="N448" i="1"/>
  <c r="O443" i="1"/>
  <c r="O434" i="1"/>
  <c r="N434" i="1"/>
  <c r="K433" i="1"/>
  <c r="O432" i="1"/>
  <c r="K431" i="1"/>
  <c r="Q428" i="1"/>
  <c r="I428" i="1"/>
  <c r="Q424" i="1"/>
  <c r="I424" i="1"/>
  <c r="Q422" i="1"/>
  <c r="I422" i="1"/>
  <c r="N386" i="1"/>
  <c r="K414" i="1"/>
  <c r="O413" i="1"/>
  <c r="N402" i="1"/>
  <c r="N399" i="1"/>
  <c r="O397" i="1"/>
  <c r="O396" i="1"/>
  <c r="N396" i="1"/>
  <c r="K395" i="1"/>
  <c r="N389" i="1"/>
  <c r="O384" i="1"/>
  <c r="O383" i="1"/>
  <c r="N383" i="1"/>
  <c r="K382" i="1"/>
  <c r="O391" i="1"/>
  <c r="N391" i="1"/>
  <c r="O378" i="1"/>
  <c r="N378" i="1"/>
  <c r="N394" i="1"/>
  <c r="O392" i="1"/>
  <c r="K390" i="1"/>
  <c r="N381" i="1"/>
  <c r="A858" i="1" a="1"/>
  <c r="A139" i="1" a="1"/>
  <c r="V78" i="7"/>
  <c r="V77" i="7"/>
  <c r="A858" i="1" l="1"/>
  <c r="B90" i="13" s="1"/>
  <c r="A139" i="1"/>
  <c r="B21" i="13" s="1"/>
  <c r="Y78" i="7"/>
  <c r="Y77" i="7"/>
  <c r="O379" i="1"/>
  <c r="K377" i="1"/>
  <c r="A140" i="1" a="1"/>
  <c r="A860" i="1" a="1"/>
  <c r="B481" i="1" l="1"/>
  <c r="C61" i="13" s="1"/>
  <c r="A61" i="13" s="1"/>
  <c r="A860" i="1"/>
  <c r="A140" i="1"/>
  <c r="B22" i="13" s="1"/>
  <c r="B561" i="1"/>
  <c r="C69" i="13" s="1"/>
  <c r="A69" i="13" s="1"/>
  <c r="L370" i="1"/>
  <c r="B302" i="1"/>
  <c r="B268" i="1"/>
  <c r="B253" i="1"/>
  <c r="O254" i="1"/>
  <c r="O249" i="1"/>
  <c r="A141" i="1" a="1"/>
  <c r="A861" i="1" a="1"/>
  <c r="A654" i="1" a="1"/>
  <c r="C20" i="11"/>
  <c r="C19" i="11"/>
  <c r="A861" i="1" l="1"/>
  <c r="B91" i="13" s="1"/>
  <c r="A141" i="1"/>
  <c r="B23" i="13" s="1"/>
  <c r="A654" i="1"/>
  <c r="B71" i="13" s="1"/>
  <c r="N279" i="1"/>
  <c r="N259" i="1"/>
  <c r="N251" i="1"/>
  <c r="N256" i="1"/>
  <c r="A380" i="1" a="1"/>
  <c r="A877" i="1" a="1"/>
  <c r="A142" i="1" a="1"/>
  <c r="A659" i="1" a="1"/>
  <c r="A877" i="1" l="1"/>
  <c r="A142" i="1"/>
  <c r="B24" i="13" s="1"/>
  <c r="A659" i="1"/>
  <c r="B72" i="13" s="1"/>
  <c r="A380" i="1"/>
  <c r="B48" i="13" s="1"/>
  <c r="A883" i="1" a="1"/>
  <c r="A143" i="1" a="1"/>
  <c r="A664" i="1" a="1"/>
  <c r="A883" i="1" l="1"/>
  <c r="A143" i="1"/>
  <c r="B25" i="13" s="1"/>
  <c r="A664" i="1"/>
  <c r="B73" i="13" s="1"/>
  <c r="L124" i="11"/>
  <c r="A884" i="1" a="1"/>
  <c r="A385" i="1" a="1"/>
  <c r="A144" i="1" a="1"/>
  <c r="A667" i="1" a="1"/>
  <c r="A884" i="1" l="1"/>
  <c r="B92" i="13" s="1"/>
  <c r="A144" i="1"/>
  <c r="B26" i="13" s="1"/>
  <c r="A667" i="1"/>
  <c r="B74" i="13" s="1"/>
  <c r="A385" i="1"/>
  <c r="B49" i="13" s="1"/>
  <c r="A149" i="1" a="1"/>
  <c r="A388" i="1" a="1"/>
  <c r="A900" i="1" a="1"/>
  <c r="C18" i="11"/>
  <c r="A900" i="1" l="1"/>
  <c r="B93" i="13" s="1"/>
  <c r="A149" i="1"/>
  <c r="B27" i="13" s="1"/>
  <c r="A388" i="1"/>
  <c r="B50" i="13" s="1"/>
  <c r="A393" i="1" a="1"/>
  <c r="A150" i="1" a="1"/>
  <c r="A150" i="1" l="1"/>
  <c r="B28" i="13" s="1"/>
  <c r="A393" i="1"/>
  <c r="B51" i="13" s="1"/>
  <c r="A151" i="1" a="1"/>
  <c r="A682" i="1" a="1"/>
  <c r="A151" i="1" l="1"/>
  <c r="B29" i="13" s="1"/>
  <c r="A682" i="1"/>
  <c r="A684" i="1" a="1"/>
  <c r="A398" i="1" a="1"/>
  <c r="A152" i="1" a="1"/>
  <c r="B77" i="13" l="1"/>
  <c r="A152" i="1"/>
  <c r="B30" i="13" s="1"/>
  <c r="A684" i="1"/>
  <c r="A398" i="1"/>
  <c r="B52" i="13" s="1"/>
  <c r="K311" i="1"/>
  <c r="A401" i="1" a="1"/>
  <c r="A685" i="1" a="1"/>
  <c r="A153" i="1" a="1"/>
  <c r="A153" i="1" l="1"/>
  <c r="B31" i="13" s="1"/>
  <c r="A685" i="1"/>
  <c r="A401" i="1"/>
  <c r="B53" i="13" s="1"/>
  <c r="O299" i="1"/>
  <c r="O302" i="1"/>
  <c r="N302" i="1"/>
  <c r="K301" i="1"/>
  <c r="K300" i="1"/>
  <c r="D40" i="13"/>
  <c r="Q172" i="11"/>
  <c r="A690" i="1" a="1"/>
  <c r="A418" i="1" a="1"/>
  <c r="A154" i="1" a="1"/>
  <c r="A690" i="1" l="1"/>
  <c r="B78" i="13"/>
  <c r="A154" i="1"/>
  <c r="B32" i="13" s="1"/>
  <c r="A418" i="1"/>
  <c r="B54" i="13" s="1"/>
  <c r="A693" i="1" a="1"/>
  <c r="A155" i="1" a="1"/>
  <c r="A693" i="1" l="1"/>
  <c r="B75" i="13"/>
  <c r="A155" i="1"/>
  <c r="B33" i="13" s="1"/>
  <c r="O226" i="1"/>
  <c r="N226" i="1"/>
  <c r="A156" i="1" a="1"/>
  <c r="A699" i="1" a="1"/>
  <c r="A699" i="1" l="1"/>
  <c r="B76" i="13"/>
  <c r="A156" i="1"/>
  <c r="B34" i="13" s="1"/>
  <c r="A436" i="1" a="1"/>
  <c r="A157" i="1" a="1"/>
  <c r="A705" i="1" a="1"/>
  <c r="A705" i="1" l="1"/>
  <c r="B79" i="13"/>
  <c r="A157" i="1"/>
  <c r="B35" i="13" s="1"/>
  <c r="A436" i="1"/>
  <c r="A721" i="1" a="1"/>
  <c r="A158" i="1" a="1"/>
  <c r="A438" i="1" a="1"/>
  <c r="A721" i="1" l="1"/>
  <c r="B80" i="13"/>
  <c r="B57" i="13"/>
  <c r="A158" i="1"/>
  <c r="B36" i="13" s="1"/>
  <c r="A438" i="1"/>
  <c r="A439" i="1" a="1"/>
  <c r="A725" i="1" a="1"/>
  <c r="A725" i="1" l="1"/>
  <c r="A439" i="1"/>
  <c r="O248" i="1"/>
  <c r="N248" i="1"/>
  <c r="A726" i="1" a="1"/>
  <c r="A444" i="1" a="1"/>
  <c r="A726" i="1" l="1"/>
  <c r="B81" i="13" s="1"/>
  <c r="A444" i="1"/>
  <c r="B58" i="13"/>
  <c r="A447" i="1" a="1"/>
  <c r="A447" i="1" l="1"/>
  <c r="B55" i="13"/>
  <c r="K293" i="1"/>
  <c r="O268" i="1"/>
  <c r="N268" i="1"/>
  <c r="K267" i="1"/>
  <c r="K266" i="1"/>
  <c r="O265" i="1"/>
  <c r="K260" i="1"/>
  <c r="O253" i="1"/>
  <c r="N253" i="1"/>
  <c r="K252" i="1"/>
  <c r="K247" i="1"/>
  <c r="L217" i="1"/>
  <c r="K227" i="1"/>
  <c r="K225" i="1"/>
  <c r="O223" i="1"/>
  <c r="A453" i="1" a="1"/>
  <c r="A453" i="1" l="1"/>
  <c r="B56" i="13"/>
  <c r="A459" i="1" a="1"/>
  <c r="A459" i="1" l="1"/>
  <c r="B60" i="13" s="1"/>
  <c r="B59" i="13"/>
  <c r="L121" i="11"/>
  <c r="Y60" i="7" l="1"/>
  <c r="A475" i="1" a="1"/>
  <c r="V53" i="7"/>
  <c r="C11" i="11"/>
  <c r="V57" i="7"/>
  <c r="V55" i="7"/>
  <c r="V61" i="7"/>
  <c r="V58" i="7"/>
  <c r="V54" i="7"/>
  <c r="C17" i="11"/>
  <c r="V62" i="7"/>
  <c r="V52" i="7"/>
  <c r="V59" i="7"/>
  <c r="V63" i="7"/>
  <c r="V56" i="7"/>
  <c r="Y62" i="7" l="1"/>
  <c r="B270" i="1" s="1"/>
  <c r="Y55" i="7"/>
  <c r="Y61" i="7"/>
  <c r="Y52" i="7"/>
  <c r="Y53" i="7"/>
  <c r="B286" i="1" s="1"/>
  <c r="Y58" i="7"/>
  <c r="Y57" i="7"/>
  <c r="Y59" i="7"/>
  <c r="Y54" i="7"/>
  <c r="B273" i="1" s="1"/>
  <c r="Y56" i="7"/>
  <c r="B309" i="1" s="1"/>
  <c r="C47" i="13" s="1"/>
  <c r="A47" i="13" s="1"/>
  <c r="A475" i="1"/>
  <c r="Y63" i="7"/>
  <c r="Y82" i="7"/>
  <c r="Y103" i="7"/>
  <c r="A480" i="1" a="1"/>
  <c r="A250" i="1" a="1"/>
  <c r="V68" i="7"/>
  <c r="V67" i="7"/>
  <c r="V76" i="7"/>
  <c r="V72" i="7"/>
  <c r="V66" i="7"/>
  <c r="V69" i="7"/>
  <c r="V71" i="7"/>
  <c r="V64" i="7"/>
  <c r="V79" i="7"/>
  <c r="V73" i="7"/>
  <c r="V65" i="7"/>
  <c r="V70" i="7"/>
  <c r="V74" i="7"/>
  <c r="V75" i="7"/>
  <c r="A480" i="1" l="1"/>
  <c r="C43" i="13"/>
  <c r="A43" i="13" s="1"/>
  <c r="B291" i="1"/>
  <c r="C44" i="13" s="1"/>
  <c r="A44" i="13" s="1"/>
  <c r="Y79" i="7"/>
  <c r="B257" i="1"/>
  <c r="Y68" i="7"/>
  <c r="Y67" i="7"/>
  <c r="B516" i="1" s="1"/>
  <c r="C65" i="13" s="1"/>
  <c r="A65" i="13" s="1"/>
  <c r="Y72" i="7"/>
  <c r="Y66" i="7"/>
  <c r="Y71" i="7"/>
  <c r="Y65" i="7"/>
  <c r="Y73" i="7"/>
  <c r="Y74" i="7"/>
  <c r="Y76" i="7"/>
  <c r="Y70" i="7"/>
  <c r="B539" i="1" s="1"/>
  <c r="C68" i="13" s="1"/>
  <c r="A68" i="13" s="1"/>
  <c r="Y64" i="7"/>
  <c r="Y75" i="7"/>
  <c r="Y69" i="7"/>
  <c r="A250" i="1"/>
  <c r="A255" i="1" a="1"/>
  <c r="A481" i="1" a="1"/>
  <c r="A481" i="1" l="1"/>
  <c r="B38" i="13"/>
  <c r="B533" i="1"/>
  <c r="C67" i="13" s="1"/>
  <c r="A67" i="13" s="1"/>
  <c r="B453" i="1"/>
  <c r="C59" i="13" s="1"/>
  <c r="A59" i="13" s="1"/>
  <c r="B459" i="1"/>
  <c r="C60" i="13" s="1"/>
  <c r="A60" i="13" s="1"/>
  <c r="B439" i="1"/>
  <c r="C58" i="13" s="1"/>
  <c r="A58" i="13" s="1"/>
  <c r="B519" i="1"/>
  <c r="C66" i="13" s="1"/>
  <c r="A66" i="13" s="1"/>
  <c r="B447" i="1"/>
  <c r="C56" i="13" s="1"/>
  <c r="A56" i="13" s="1"/>
  <c r="B527" i="1"/>
  <c r="C64" i="13" s="1"/>
  <c r="A64" i="13" s="1"/>
  <c r="B436" i="1"/>
  <c r="C57" i="13" s="1"/>
  <c r="A57" i="13" s="1"/>
  <c r="A255" i="1"/>
  <c r="A498" i="1" a="1"/>
  <c r="A258" i="1" a="1"/>
  <c r="A498" i="1" l="1"/>
  <c r="B62" i="13" s="1"/>
  <c r="B61" i="13"/>
  <c r="B39" i="13"/>
  <c r="A258" i="1"/>
  <c r="A516" i="1" a="1"/>
  <c r="A270" i="1" a="1"/>
  <c r="A270" i="1" l="1"/>
  <c r="B40" i="13"/>
  <c r="A516" i="1"/>
  <c r="A518" i="1" a="1"/>
  <c r="A271" i="1" a="1"/>
  <c r="B65" i="13" l="1"/>
  <c r="A271" i="1"/>
  <c r="A518" i="1"/>
  <c r="A273" i="1" a="1"/>
  <c r="A519" i="1" a="1"/>
  <c r="A273" i="1" l="1"/>
  <c r="A519" i="1"/>
  <c r="A524" i="1" a="1"/>
  <c r="A278" i="1" a="1"/>
  <c r="A524" i="1" l="1"/>
  <c r="B66" i="13"/>
  <c r="A278" i="1"/>
  <c r="A527" i="1" a="1"/>
  <c r="A281" i="1" a="1"/>
  <c r="A527" i="1" l="1"/>
  <c r="B63" i="13"/>
  <c r="A281" i="1"/>
  <c r="B41" i="13"/>
  <c r="A286" i="1" a="1"/>
  <c r="A532" i="1" a="1"/>
  <c r="A286" i="1" l="1"/>
  <c r="A532" i="1"/>
  <c r="B64" i="13"/>
  <c r="B42" i="13"/>
  <c r="A533" i="1" a="1"/>
  <c r="A533" i="1" l="1"/>
  <c r="A538" i="1" a="1"/>
  <c r="A538" i="1" l="1"/>
  <c r="B67" i="13"/>
  <c r="A565" i="1"/>
  <c r="A539" i="1" a="1"/>
  <c r="A291" i="1" a="1"/>
  <c r="A539" i="1" l="1"/>
  <c r="A291" i="1"/>
  <c r="B43" i="13"/>
  <c r="A315" i="1"/>
  <c r="A162" i="1"/>
  <c r="A555" i="1" a="1"/>
  <c r="A304" i="1" a="1"/>
  <c r="A555" i="1" l="1"/>
  <c r="B68" i="13"/>
  <c r="A304" i="1"/>
  <c r="B44" i="13"/>
  <c r="B7" i="1"/>
  <c r="D5" i="14" s="1"/>
  <c r="N32" i="7"/>
  <c r="O32" i="7"/>
  <c r="B281" i="1"/>
  <c r="C42" i="13" s="1"/>
  <c r="A42" i="13" s="1"/>
  <c r="D32" i="7"/>
  <c r="O71" i="7" s="1"/>
  <c r="Q71" i="7" s="1"/>
  <c r="O16" i="7"/>
  <c r="O15" i="7"/>
  <c r="O14" i="7"/>
  <c r="O13" i="7"/>
  <c r="O12" i="7"/>
  <c r="O11" i="7"/>
  <c r="O10" i="7"/>
  <c r="O9" i="7"/>
  <c r="O8" i="7"/>
  <c r="O7" i="7"/>
  <c r="O6" i="7"/>
  <c r="O5" i="7"/>
  <c r="A308" i="1" a="1"/>
  <c r="A560" i="1" a="1"/>
  <c r="A560" i="1" l="1"/>
  <c r="A308" i="1"/>
  <c r="B45" i="13"/>
  <c r="P32" i="7"/>
  <c r="N39" i="7"/>
  <c r="P39" i="7"/>
  <c r="N65" i="7"/>
  <c r="A561" i="1" a="1"/>
  <c r="A309" i="1" a="1"/>
  <c r="A561" i="1" l="1"/>
  <c r="B69" i="13" s="1"/>
  <c r="A309" i="1"/>
  <c r="B47" i="13" s="1"/>
  <c r="B46" i="13"/>
  <c r="Q29" i="1"/>
  <c r="M29" i="1" s="1"/>
  <c r="Q28" i="1"/>
  <c r="M28" i="1" s="1"/>
  <c r="F78" i="1" l="1"/>
  <c r="A6" i="14" l="1"/>
  <c r="B6" i="14"/>
  <c r="C6" i="14"/>
  <c r="A7" i="14"/>
  <c r="B7" i="14"/>
  <c r="C7" i="14"/>
  <c r="A8" i="14"/>
  <c r="B8" i="14"/>
  <c r="C8" i="14"/>
  <c r="A3" i="14"/>
  <c r="B3" i="14"/>
  <c r="C3" i="14"/>
  <c r="A4" i="14"/>
  <c r="B4" i="14"/>
  <c r="C4" i="14"/>
  <c r="A5" i="14"/>
  <c r="B5" i="14"/>
  <c r="C5" i="14"/>
  <c r="C2" i="14"/>
  <c r="B2" i="14"/>
  <c r="A2" i="14"/>
  <c r="C8" i="11"/>
  <c r="C6" i="11"/>
  <c r="C10" i="11"/>
  <c r="C15" i="11"/>
  <c r="C9" i="11"/>
  <c r="C12" i="11"/>
  <c r="C7" i="11"/>
  <c r="C5" i="11"/>
  <c r="C14" i="11"/>
  <c r="C16" i="11"/>
  <c r="C13" i="11"/>
  <c r="Q1058" i="1" l="1"/>
  <c r="Q832" i="1"/>
  <c r="Q274" i="1"/>
  <c r="Q1085" i="1"/>
  <c r="Q1079" i="1"/>
  <c r="Q1030" i="1"/>
  <c r="Q1024" i="1"/>
  <c r="Q844" i="1"/>
  <c r="Q838" i="1"/>
  <c r="Q700" i="1"/>
  <c r="Q706" i="1"/>
  <c r="Q520" i="1"/>
  <c r="Q534" i="1"/>
  <c r="Q540" i="1"/>
  <c r="Q292" i="1"/>
  <c r="Q287" i="1"/>
  <c r="Q159" i="1"/>
  <c r="Q145" i="1"/>
  <c r="Q121" i="1"/>
  <c r="Q116" i="1"/>
  <c r="Q114" i="1"/>
  <c r="Q112" i="1"/>
  <c r="Q110" i="1"/>
  <c r="M106" i="1"/>
  <c r="M1105" i="1"/>
  <c r="Q885" i="1"/>
  <c r="Q1218" i="1"/>
  <c r="M1203" i="1"/>
  <c r="Q1175" i="1"/>
  <c r="M891" i="1"/>
  <c r="M468" i="1"/>
  <c r="Q1061" i="1"/>
  <c r="Q1006" i="1"/>
  <c r="M1220" i="1"/>
  <c r="Q1195" i="1"/>
  <c r="Q1190" i="1"/>
  <c r="Q1180" i="1"/>
  <c r="M1160" i="1"/>
  <c r="M1159" i="1"/>
  <c r="Q1103" i="1"/>
  <c r="Q1073" i="1"/>
  <c r="Q1070" i="1"/>
  <c r="Q1048" i="1"/>
  <c r="Q1018" i="1"/>
  <c r="Q1015" i="1"/>
  <c r="M314" i="1"/>
  <c r="M564" i="1"/>
  <c r="M730" i="1"/>
  <c r="M911" i="1"/>
  <c r="Q994" i="1"/>
  <c r="Q989" i="1"/>
  <c r="Q981" i="1"/>
  <c r="Q984" i="1"/>
  <c r="M967" i="1"/>
  <c r="M966" i="1"/>
  <c r="Q909" i="1"/>
  <c r="Q903" i="1"/>
  <c r="Q905" i="1"/>
  <c r="Q907" i="1"/>
  <c r="Q901" i="1"/>
  <c r="Q898" i="1"/>
  <c r="Q642" i="1"/>
  <c r="Q636" i="1"/>
  <c r="Q640" i="1"/>
  <c r="Q634" i="1"/>
  <c r="Q638" i="1"/>
  <c r="Q631" i="1"/>
  <c r="Q242" i="1"/>
  <c r="Q236" i="1"/>
  <c r="Q240" i="1"/>
  <c r="Q233" i="1"/>
  <c r="Q238" i="1"/>
  <c r="Q229" i="1"/>
  <c r="Q509" i="1"/>
  <c r="Q503" i="1"/>
  <c r="Q507" i="1"/>
  <c r="Q500" i="1"/>
  <c r="Q505" i="1"/>
  <c r="Q496" i="1"/>
  <c r="Q425" i="1"/>
  <c r="Q420" i="1"/>
  <c r="Q416" i="1"/>
  <c r="M869" i="1"/>
  <c r="M863" i="1"/>
  <c r="Q862" i="1"/>
  <c r="Q859" i="1"/>
  <c r="Q825" i="1"/>
  <c r="M850" i="1"/>
  <c r="Q822" i="1"/>
  <c r="M813" i="1"/>
  <c r="Q807" i="1"/>
  <c r="M791" i="1"/>
  <c r="Q802" i="1"/>
  <c r="Q799" i="1"/>
  <c r="M785" i="1"/>
  <c r="M784" i="1"/>
  <c r="M714" i="1"/>
  <c r="Q727" i="1"/>
  <c r="Q686" i="1"/>
  <c r="Q683" i="1"/>
  <c r="Q694" i="1"/>
  <c r="Q691" i="1"/>
  <c r="Q668" i="1"/>
  <c r="Q665" i="1"/>
  <c r="Q660" i="1"/>
  <c r="Q655" i="1"/>
  <c r="M625" i="1"/>
  <c r="M619" i="1"/>
  <c r="M618" i="1"/>
  <c r="Q460" i="1"/>
  <c r="Q454" i="1"/>
  <c r="Q440" i="1"/>
  <c r="M548" i="1"/>
  <c r="Q562" i="1"/>
  <c r="Q556" i="1"/>
  <c r="Q482" i="1"/>
  <c r="Q476" i="1"/>
  <c r="Q517" i="1"/>
  <c r="Q528" i="1"/>
  <c r="Q525" i="1"/>
  <c r="Q437" i="1"/>
  <c r="Q448" i="1"/>
  <c r="Q445" i="1"/>
  <c r="Q429" i="1"/>
  <c r="Q427" i="1"/>
  <c r="Q423" i="1"/>
  <c r="Q402" i="1"/>
  <c r="Q399" i="1"/>
  <c r="Q389" i="1"/>
  <c r="Q386" i="1"/>
  <c r="Q394" i="1"/>
  <c r="Q381" i="1"/>
  <c r="M368" i="1"/>
  <c r="M369" i="1"/>
  <c r="M224" i="1"/>
  <c r="Q310" i="1"/>
  <c r="Q282" i="1"/>
  <c r="Q279" i="1"/>
  <c r="Q259" i="1"/>
  <c r="Q256" i="1"/>
  <c r="Q251" i="1"/>
  <c r="M215" i="1"/>
  <c r="M161" i="1"/>
  <c r="M216" i="1"/>
  <c r="J1" i="14" l="1"/>
  <c r="L37" i="1" l="1"/>
  <c r="P65" i="7" l="1"/>
  <c r="P52" i="7"/>
  <c r="O44" i="7" l="1"/>
  <c r="O39" i="7" s="1"/>
  <c r="O58" i="7"/>
  <c r="O52" i="7" s="1"/>
  <c r="Q65" i="7" l="1"/>
  <c r="O65" i="7"/>
  <c r="Q58" i="7" l="1"/>
  <c r="Q52" i="7" s="1"/>
  <c r="N52" i="7"/>
  <c r="Q44" i="7" l="1"/>
  <c r="Q39" i="7" s="1"/>
  <c r="Q415" i="1" l="1"/>
  <c r="W291" i="1" l="1"/>
  <c r="E667" i="1" l="1"/>
  <c r="D74" i="13" s="1"/>
  <c r="H59" i="13"/>
  <c r="H60" i="13"/>
  <c r="H44" i="13"/>
  <c r="H102" i="13"/>
  <c r="I831" i="1"/>
  <c r="H87" i="13" s="1"/>
  <c r="I699" i="1"/>
  <c r="H79" i="13" s="1"/>
  <c r="I1171" i="1"/>
  <c r="I1212" i="1"/>
  <c r="H119" i="13" s="1"/>
  <c r="I1179" i="1"/>
  <c r="H113" i="13" s="1"/>
  <c r="H101" i="13"/>
  <c r="I258" i="1"/>
  <c r="H40" i="13" s="1"/>
  <c r="I1186" i="1"/>
  <c r="H114" i="13" s="1"/>
  <c r="I843" i="1"/>
  <c r="H89" i="13" s="1"/>
  <c r="I1209" i="1"/>
  <c r="H118" i="13" s="1"/>
  <c r="I1194" i="1"/>
  <c r="H117" i="13" s="1"/>
  <c r="I705" i="1"/>
  <c r="H80" i="13" s="1"/>
  <c r="I533" i="1"/>
  <c r="H67" i="13" s="1"/>
  <c r="I1213" i="1"/>
  <c r="H120" i="13" s="1"/>
  <c r="I539" i="1"/>
  <c r="H68" i="13" s="1"/>
  <c r="I837" i="1"/>
  <c r="H88" i="13" s="1"/>
  <c r="H111" i="7"/>
  <c r="I110" i="7"/>
  <c r="C92" i="7"/>
  <c r="L105" i="7"/>
  <c r="C76" i="7"/>
  <c r="I80" i="7"/>
  <c r="I115" i="7"/>
  <c r="K90" i="7"/>
  <c r="K80" i="7"/>
  <c r="D41" i="7"/>
  <c r="D108" i="7"/>
  <c r="C114" i="7"/>
  <c r="J74" i="7"/>
  <c r="C70" i="7"/>
  <c r="H122" i="7"/>
  <c r="J84" i="7"/>
  <c r="H90" i="7"/>
  <c r="I69" i="7"/>
  <c r="G95" i="7"/>
  <c r="D40" i="7"/>
  <c r="E74" i="7"/>
  <c r="I118" i="7"/>
  <c r="C68" i="7"/>
  <c r="F82" i="7"/>
  <c r="I82" i="7"/>
  <c r="G99" i="7"/>
  <c r="H99" i="7"/>
  <c r="H95" i="7"/>
  <c r="I83" i="7"/>
  <c r="L95" i="7"/>
  <c r="E88" i="7"/>
  <c r="K128" i="7"/>
  <c r="H76" i="7"/>
  <c r="H70" i="7"/>
  <c r="I129" i="7"/>
  <c r="I103" i="7"/>
  <c r="H125" i="7"/>
  <c r="D55" i="7"/>
  <c r="I98" i="7"/>
  <c r="C65" i="7"/>
  <c r="D74" i="7"/>
  <c r="C103" i="7"/>
  <c r="L103" i="7"/>
  <c r="L107" i="7"/>
  <c r="E98" i="7"/>
  <c r="G116" i="7"/>
  <c r="I128" i="7"/>
  <c r="L113" i="7"/>
  <c r="G80" i="7"/>
  <c r="F99" i="7"/>
  <c r="K94" i="7"/>
  <c r="E110" i="7"/>
  <c r="L96" i="7"/>
  <c r="J103" i="7"/>
  <c r="G58" i="7"/>
  <c r="K105" i="7"/>
  <c r="I127" i="7"/>
  <c r="K53" i="7"/>
  <c r="I102" i="7"/>
  <c r="E52" i="7"/>
  <c r="C77" i="7"/>
  <c r="G101" i="7"/>
  <c r="L70" i="7"/>
  <c r="K131" i="7"/>
  <c r="J128" i="7"/>
  <c r="F117" i="7"/>
  <c r="K67" i="7"/>
  <c r="H75" i="7"/>
  <c r="D57" i="7"/>
  <c r="D113" i="7"/>
  <c r="D70" i="7"/>
  <c r="E57" i="7"/>
  <c r="H96" i="7"/>
  <c r="E97" i="7"/>
  <c r="D52" i="7"/>
  <c r="G61" i="7"/>
  <c r="D88" i="7"/>
  <c r="C86" i="7"/>
  <c r="I125" i="7"/>
  <c r="L109" i="7"/>
  <c r="K91" i="7"/>
  <c r="E62" i="7"/>
  <c r="F77" i="7"/>
  <c r="E76" i="7"/>
  <c r="F112" i="7"/>
  <c r="F123" i="7"/>
  <c r="C111" i="7"/>
  <c r="K104" i="7"/>
  <c r="K59" i="7"/>
  <c r="H114" i="7"/>
  <c r="F64" i="7"/>
  <c r="L121" i="7"/>
  <c r="E121" i="7"/>
  <c r="J76" i="7"/>
  <c r="L104" i="7"/>
  <c r="F131" i="7"/>
  <c r="I71" i="7"/>
  <c r="F128" i="7"/>
  <c r="G59" i="7"/>
  <c r="D56" i="7"/>
  <c r="D104" i="7"/>
  <c r="E80" i="7"/>
  <c r="E112" i="7"/>
  <c r="I88" i="7"/>
  <c r="C59" i="7"/>
  <c r="H67" i="7"/>
  <c r="E81" i="7"/>
  <c r="G128" i="7"/>
  <c r="E127" i="7"/>
  <c r="L123" i="7"/>
  <c r="E58" i="7"/>
  <c r="F127" i="7"/>
  <c r="D63" i="7"/>
  <c r="I91" i="7"/>
  <c r="L94" i="7"/>
  <c r="C60" i="7"/>
  <c r="I116" i="7"/>
  <c r="I59" i="7"/>
  <c r="H85" i="7"/>
  <c r="J115" i="7"/>
  <c r="K129" i="7"/>
  <c r="J99" i="7"/>
  <c r="L98" i="7"/>
  <c r="L59" i="7"/>
  <c r="D100" i="7"/>
  <c r="H97" i="7"/>
  <c r="H72" i="7"/>
  <c r="F53" i="7"/>
  <c r="G78" i="7"/>
  <c r="E101" i="7"/>
  <c r="K112" i="7"/>
  <c r="J96" i="7"/>
  <c r="J70" i="7"/>
  <c r="J104" i="7"/>
  <c r="C127" i="7"/>
  <c r="H107" i="7"/>
  <c r="L76" i="7"/>
  <c r="K93" i="7"/>
  <c r="H77" i="7"/>
  <c r="E56" i="7"/>
  <c r="G125" i="7"/>
  <c r="D73" i="7"/>
  <c r="K126" i="7"/>
  <c r="C110" i="7"/>
  <c r="I54" i="7"/>
  <c r="L126" i="7"/>
  <c r="H91" i="7"/>
  <c r="C125" i="7"/>
  <c r="C109" i="7"/>
  <c r="C129" i="7"/>
  <c r="K123" i="7"/>
  <c r="F74" i="7"/>
  <c r="D83" i="7"/>
  <c r="L75" i="7"/>
  <c r="H109" i="7"/>
  <c r="D112" i="7"/>
  <c r="L129" i="7"/>
  <c r="I106" i="7"/>
  <c r="D121" i="7"/>
  <c r="L84" i="7"/>
  <c r="G90" i="7"/>
  <c r="F130" i="7"/>
  <c r="G72" i="7"/>
  <c r="F100" i="7"/>
  <c r="K107" i="7"/>
  <c r="E65" i="7"/>
  <c r="G108" i="7"/>
  <c r="I94" i="7"/>
  <c r="G121" i="7"/>
  <c r="F129" i="7"/>
  <c r="J55" i="7"/>
  <c r="J59" i="7"/>
  <c r="F111" i="7"/>
  <c r="G104" i="7"/>
  <c r="H54" i="7"/>
  <c r="G84" i="7"/>
  <c r="C43" i="7"/>
  <c r="J125" i="7"/>
  <c r="H86" i="7"/>
  <c r="F119" i="7"/>
  <c r="D105" i="7"/>
  <c r="D123" i="7"/>
  <c r="D53" i="7"/>
  <c r="K87" i="7"/>
  <c r="G82" i="7"/>
  <c r="K88" i="7"/>
  <c r="L87" i="7"/>
  <c r="F60" i="7"/>
  <c r="J63" i="7"/>
  <c r="E83" i="7"/>
  <c r="D42" i="7"/>
  <c r="K101" i="7"/>
  <c r="L127" i="7"/>
  <c r="F81" i="7"/>
  <c r="F97" i="7"/>
  <c r="D62" i="7"/>
  <c r="C55" i="7"/>
  <c r="L55" i="7"/>
  <c r="J61" i="7"/>
  <c r="J118" i="7"/>
  <c r="F94" i="7"/>
  <c r="D72" i="7"/>
  <c r="E116" i="7"/>
  <c r="F87" i="7"/>
  <c r="K130" i="7"/>
  <c r="F125" i="7"/>
  <c r="E40" i="7"/>
  <c r="L62" i="7"/>
  <c r="G106" i="7"/>
  <c r="G77" i="7"/>
  <c r="J131" i="7"/>
  <c r="L116" i="7"/>
  <c r="I131" i="7"/>
  <c r="D69" i="7"/>
  <c r="D54" i="7"/>
  <c r="G75" i="7"/>
  <c r="D77" i="7"/>
  <c r="I92" i="7"/>
  <c r="K85" i="7"/>
  <c r="G68" i="7"/>
  <c r="E42" i="7"/>
  <c r="C66" i="7"/>
  <c r="C112" i="7"/>
  <c r="G60" i="7"/>
  <c r="E122" i="7"/>
  <c r="H84" i="7"/>
  <c r="D65" i="7"/>
  <c r="H73" i="7"/>
  <c r="C95" i="7"/>
  <c r="F114" i="7"/>
  <c r="D116" i="7"/>
  <c r="J123" i="7"/>
  <c r="E71" i="7"/>
  <c r="J112" i="7"/>
  <c r="C101" i="7"/>
  <c r="E77" i="7"/>
  <c r="D78" i="7"/>
  <c r="H124" i="7"/>
  <c r="G130" i="7"/>
  <c r="C117" i="7"/>
  <c r="F58" i="7"/>
  <c r="D94" i="7"/>
  <c r="G100" i="7"/>
  <c r="C63" i="7"/>
  <c r="J80" i="7"/>
  <c r="G63" i="7"/>
  <c r="H116" i="7"/>
  <c r="C126" i="7"/>
  <c r="K66" i="7"/>
  <c r="C93" i="7"/>
  <c r="L72" i="7"/>
  <c r="K117" i="7"/>
  <c r="F76" i="7"/>
  <c r="C100" i="7"/>
  <c r="J114" i="7"/>
  <c r="C119" i="7"/>
  <c r="L119" i="7"/>
  <c r="I104" i="7"/>
  <c r="D114" i="7"/>
  <c r="D85" i="7"/>
  <c r="L77" i="7"/>
  <c r="C67" i="7"/>
  <c r="H55" i="7"/>
  <c r="G123" i="7"/>
  <c r="L100" i="7"/>
  <c r="F102" i="7"/>
  <c r="F56" i="7"/>
  <c r="K83" i="7"/>
  <c r="E54" i="7"/>
  <c r="H104" i="7"/>
  <c r="K102" i="7"/>
  <c r="I130" i="7"/>
  <c r="I84" i="7"/>
  <c r="D124" i="7"/>
  <c r="G71" i="7"/>
  <c r="F120" i="7"/>
  <c r="F106" i="7"/>
  <c r="J65" i="7"/>
  <c r="G115" i="7"/>
  <c r="K63" i="7"/>
  <c r="L93" i="7"/>
  <c r="J97" i="7"/>
  <c r="I79" i="7"/>
  <c r="F92" i="7"/>
  <c r="H101" i="7"/>
  <c r="G92" i="7"/>
  <c r="I81" i="7"/>
  <c r="J79" i="7"/>
  <c r="J75" i="7"/>
  <c r="K57" i="7"/>
  <c r="G52" i="7"/>
  <c r="H79" i="7"/>
  <c r="F71" i="7"/>
  <c r="H65" i="7"/>
  <c r="L61" i="7"/>
  <c r="D129" i="7"/>
  <c r="C78" i="7"/>
  <c r="L108" i="7"/>
  <c r="G93" i="7"/>
  <c r="H131" i="7"/>
  <c r="J93" i="7"/>
  <c r="G102" i="7"/>
  <c r="L118" i="7"/>
  <c r="C85" i="7"/>
  <c r="G112" i="7"/>
  <c r="E124" i="7"/>
  <c r="L64" i="7"/>
  <c r="J120" i="7"/>
  <c r="F118" i="7"/>
  <c r="C40" i="7"/>
  <c r="G70" i="7"/>
  <c r="D80" i="7"/>
  <c r="J129" i="7"/>
  <c r="D120" i="7"/>
  <c r="K100" i="7"/>
  <c r="G118" i="7"/>
  <c r="E93" i="7"/>
  <c r="C89" i="7"/>
  <c r="H80" i="7"/>
  <c r="G79" i="7"/>
  <c r="G74" i="7"/>
  <c r="K95" i="7"/>
  <c r="G117" i="7"/>
  <c r="L82" i="7"/>
  <c r="J98" i="7"/>
  <c r="D122" i="7"/>
  <c r="K62" i="7"/>
  <c r="D127" i="7"/>
  <c r="C80" i="7"/>
  <c r="F107" i="7"/>
  <c r="I66" i="7"/>
  <c r="H102" i="7"/>
  <c r="E41" i="7"/>
  <c r="L80" i="7"/>
  <c r="C107" i="7"/>
  <c r="E75" i="7"/>
  <c r="H112" i="7"/>
  <c r="D128" i="7"/>
  <c r="D61" i="7"/>
  <c r="C99" i="7"/>
  <c r="G54" i="7"/>
  <c r="F57" i="7"/>
  <c r="K70" i="7"/>
  <c r="C131" i="7"/>
  <c r="C83" i="7"/>
  <c r="J91" i="7"/>
  <c r="F93" i="7"/>
  <c r="J107" i="7"/>
  <c r="G83" i="7"/>
  <c r="I105" i="7"/>
  <c r="F80" i="7"/>
  <c r="E128" i="7"/>
  <c r="L74" i="7"/>
  <c r="K72" i="7"/>
  <c r="F68" i="7"/>
  <c r="E114" i="7"/>
  <c r="E68" i="7"/>
  <c r="I99" i="7"/>
  <c r="I108" i="7"/>
  <c r="K64" i="7"/>
  <c r="D99" i="7"/>
  <c r="C104" i="7"/>
  <c r="H59" i="7"/>
  <c r="C79" i="7"/>
  <c r="I62" i="7"/>
  <c r="I123" i="7"/>
  <c r="H66" i="7"/>
  <c r="E113" i="7"/>
  <c r="E89" i="7"/>
  <c r="L128" i="7"/>
  <c r="G89" i="7"/>
  <c r="J101" i="7"/>
  <c r="F73" i="7"/>
  <c r="F75" i="7"/>
  <c r="E66" i="7"/>
  <c r="G113" i="7"/>
  <c r="J119" i="7"/>
  <c r="L83" i="7"/>
  <c r="C123" i="7"/>
  <c r="C44" i="7"/>
  <c r="L124" i="7"/>
  <c r="C75" i="7"/>
  <c r="C84" i="7"/>
  <c r="E107" i="7"/>
  <c r="J126" i="7"/>
  <c r="E117" i="7"/>
  <c r="I95" i="7"/>
  <c r="I67" i="7"/>
  <c r="J68" i="7"/>
  <c r="J121" i="7"/>
  <c r="L81" i="7"/>
  <c r="G114" i="7"/>
  <c r="I72" i="7"/>
  <c r="J56" i="7"/>
  <c r="L101" i="7"/>
  <c r="J69" i="7"/>
  <c r="K84" i="7"/>
  <c r="D87" i="7"/>
  <c r="H81" i="7"/>
  <c r="I120" i="7"/>
  <c r="F70" i="7"/>
  <c r="E55" i="7"/>
  <c r="F67" i="7"/>
  <c r="H119" i="7"/>
  <c r="C42" i="7"/>
  <c r="E90" i="7"/>
  <c r="D39" i="7"/>
  <c r="I101" i="7"/>
  <c r="K103" i="7"/>
  <c r="C72" i="7"/>
  <c r="H74" i="7"/>
  <c r="E53" i="7"/>
  <c r="D95" i="7"/>
  <c r="I78" i="7"/>
  <c r="H94" i="7"/>
  <c r="J92" i="7"/>
  <c r="E92" i="7"/>
  <c r="F86" i="7"/>
  <c r="F65" i="7"/>
  <c r="I87" i="7"/>
  <c r="D109" i="7"/>
  <c r="G66" i="7"/>
  <c r="D131" i="7"/>
  <c r="E99" i="7"/>
  <c r="I73" i="7"/>
  <c r="E86" i="7"/>
  <c r="C61" i="7"/>
  <c r="C116" i="7"/>
  <c r="C57" i="7"/>
  <c r="D102" i="7"/>
  <c r="J86" i="7"/>
  <c r="J53" i="7"/>
  <c r="C88" i="7"/>
  <c r="D67" i="7"/>
  <c r="I57" i="7"/>
  <c r="H52" i="7"/>
  <c r="I65" i="7"/>
  <c r="G96" i="7"/>
  <c r="E108" i="7"/>
  <c r="C102" i="7"/>
  <c r="D106" i="7"/>
  <c r="I93" i="7"/>
  <c r="E72" i="7"/>
  <c r="I86" i="7"/>
  <c r="H106" i="7"/>
  <c r="G103" i="7"/>
  <c r="H93" i="7"/>
  <c r="C115" i="7"/>
  <c r="J106" i="7"/>
  <c r="F62" i="7"/>
  <c r="E84" i="7"/>
  <c r="F95" i="7"/>
  <c r="F113" i="7"/>
  <c r="H92" i="7"/>
  <c r="E79" i="7"/>
  <c r="F84" i="7"/>
  <c r="G94" i="7"/>
  <c r="K110" i="7"/>
  <c r="C81" i="7"/>
  <c r="J62" i="7"/>
  <c r="D97" i="7"/>
  <c r="J78" i="7"/>
  <c r="G120" i="7"/>
  <c r="C73" i="7"/>
  <c r="D60" i="7"/>
  <c r="J113" i="7"/>
  <c r="K58" i="7"/>
  <c r="L69" i="7"/>
  <c r="I70" i="7"/>
  <c r="H53" i="7"/>
  <c r="D66" i="7"/>
  <c r="K114" i="7"/>
  <c r="C52" i="7"/>
  <c r="J89" i="7"/>
  <c r="K77" i="7"/>
  <c r="G105" i="7"/>
  <c r="L131" i="7"/>
  <c r="J95" i="7"/>
  <c r="C90" i="7"/>
  <c r="K71" i="7"/>
  <c r="H63" i="7"/>
  <c r="J108" i="7"/>
  <c r="L117" i="7"/>
  <c r="G88" i="7"/>
  <c r="E119" i="7"/>
  <c r="L106" i="7"/>
  <c r="J71" i="7"/>
  <c r="K119" i="7"/>
  <c r="I121" i="7"/>
  <c r="D115" i="7"/>
  <c r="E59" i="7"/>
  <c r="E123" i="7"/>
  <c r="J111" i="7"/>
  <c r="D91" i="7"/>
  <c r="L65" i="7"/>
  <c r="I58" i="7"/>
  <c r="L67" i="7"/>
  <c r="F85" i="7"/>
  <c r="D119" i="7"/>
  <c r="K111" i="7"/>
  <c r="C62" i="7"/>
  <c r="E87" i="7"/>
  <c r="G126" i="7"/>
  <c r="C105" i="7"/>
  <c r="F126" i="7"/>
  <c r="F96" i="7"/>
  <c r="G67" i="7"/>
  <c r="K55" i="7"/>
  <c r="K109" i="7"/>
  <c r="C69" i="7"/>
  <c r="G98" i="7"/>
  <c r="K52" i="7"/>
  <c r="L120" i="7"/>
  <c r="J72" i="7"/>
  <c r="C118" i="7"/>
  <c r="H58" i="7"/>
  <c r="L85" i="7"/>
  <c r="G55" i="7"/>
  <c r="E111" i="7"/>
  <c r="K56" i="7"/>
  <c r="I52" i="7"/>
  <c r="G73" i="7"/>
  <c r="L125" i="7"/>
  <c r="K65" i="7"/>
  <c r="H78" i="7"/>
  <c r="I100" i="7"/>
  <c r="D130" i="7"/>
  <c r="L53" i="7"/>
  <c r="H100" i="7"/>
  <c r="K82" i="7"/>
  <c r="K54" i="7"/>
  <c r="F90" i="7"/>
  <c r="J81" i="7"/>
  <c r="K98" i="7"/>
  <c r="H56" i="7"/>
  <c r="K73" i="7"/>
  <c r="K75" i="7"/>
  <c r="E109" i="7"/>
  <c r="D126" i="7"/>
  <c r="F108" i="7"/>
  <c r="H64" i="7"/>
  <c r="F54" i="7"/>
  <c r="I77" i="7"/>
  <c r="E100" i="7"/>
  <c r="C54" i="7"/>
  <c r="J83" i="7"/>
  <c r="J85" i="7"/>
  <c r="I64" i="7"/>
  <c r="H88" i="7"/>
  <c r="G111" i="7"/>
  <c r="L97" i="7"/>
  <c r="H128" i="7"/>
  <c r="K89" i="7"/>
  <c r="K74" i="7"/>
  <c r="J94" i="7"/>
  <c r="H89" i="7"/>
  <c r="J105" i="7"/>
  <c r="L99" i="7"/>
  <c r="H83" i="7"/>
  <c r="H113" i="7"/>
  <c r="D107" i="7"/>
  <c r="K122" i="7"/>
  <c r="E118" i="7"/>
  <c r="C122" i="7"/>
  <c r="I55" i="7"/>
  <c r="L73" i="7"/>
  <c r="H71" i="7"/>
  <c r="I74" i="7"/>
  <c r="C97" i="7"/>
  <c r="L60" i="7"/>
  <c r="C130" i="7"/>
  <c r="L112" i="7"/>
  <c r="K86" i="7"/>
  <c r="I89" i="7"/>
  <c r="F104" i="7"/>
  <c r="I119" i="7"/>
  <c r="F124" i="7"/>
  <c r="H69" i="7"/>
  <c r="E64" i="7"/>
  <c r="L52" i="7"/>
  <c r="G107" i="7"/>
  <c r="J102" i="7"/>
  <c r="I122" i="7"/>
  <c r="L115" i="7"/>
  <c r="D43" i="7"/>
  <c r="I53" i="7"/>
  <c r="L79" i="7"/>
  <c r="I107" i="7"/>
  <c r="H103" i="7"/>
  <c r="E95" i="7"/>
  <c r="K115" i="7"/>
  <c r="C120" i="7"/>
  <c r="C53" i="7"/>
  <c r="E44" i="7"/>
  <c r="H130" i="7"/>
  <c r="L54" i="7"/>
  <c r="K116" i="7"/>
  <c r="K79" i="7"/>
  <c r="D86" i="7"/>
  <c r="E78" i="7"/>
  <c r="E106" i="7"/>
  <c r="F101" i="7"/>
  <c r="C124" i="7"/>
  <c r="D82" i="7"/>
  <c r="F121" i="7"/>
  <c r="C64" i="7"/>
  <c r="L122" i="7"/>
  <c r="H120" i="7"/>
  <c r="E63" i="7"/>
  <c r="J54" i="7"/>
  <c r="F91" i="7"/>
  <c r="G65" i="7"/>
  <c r="F105" i="7"/>
  <c r="K97" i="7"/>
  <c r="H129" i="7"/>
  <c r="J117" i="7"/>
  <c r="E60" i="7"/>
  <c r="I75" i="7"/>
  <c r="G127" i="7"/>
  <c r="I90" i="7"/>
  <c r="L89" i="7"/>
  <c r="H123" i="7"/>
  <c r="K81" i="7"/>
  <c r="K99" i="7"/>
  <c r="E85" i="7"/>
  <c r="G131" i="7"/>
  <c r="H110" i="7"/>
  <c r="L63" i="7"/>
  <c r="G76" i="7"/>
  <c r="L90" i="7"/>
  <c r="F116" i="7"/>
  <c r="I61" i="7"/>
  <c r="C94" i="7"/>
  <c r="E126" i="7"/>
  <c r="J116" i="7"/>
  <c r="I60" i="7"/>
  <c r="I111" i="7"/>
  <c r="C71" i="7"/>
  <c r="E130" i="7"/>
  <c r="K120" i="7"/>
  <c r="K125" i="7"/>
  <c r="G85" i="7"/>
  <c r="G124" i="7"/>
  <c r="E91" i="7"/>
  <c r="E67" i="7"/>
  <c r="I112" i="7"/>
  <c r="K69" i="7"/>
  <c r="E104" i="7"/>
  <c r="F98" i="7"/>
  <c r="D89" i="7"/>
  <c r="C82" i="7"/>
  <c r="E120" i="7"/>
  <c r="E69" i="7"/>
  <c r="K121" i="7"/>
  <c r="D96" i="7"/>
  <c r="C96" i="7"/>
  <c r="E96" i="7"/>
  <c r="I126" i="7"/>
  <c r="D64" i="7"/>
  <c r="H126" i="7"/>
  <c r="L71" i="7"/>
  <c r="C39" i="7"/>
  <c r="C113" i="7"/>
  <c r="F109" i="7"/>
  <c r="K78" i="7"/>
  <c r="H62" i="7"/>
  <c r="F88" i="7"/>
  <c r="K92" i="7"/>
  <c r="D44" i="7"/>
  <c r="E131" i="7"/>
  <c r="C121" i="7"/>
  <c r="K61" i="7"/>
  <c r="K108" i="7"/>
  <c r="I76" i="7"/>
  <c r="I68" i="7"/>
  <c r="L88" i="7"/>
  <c r="D81" i="7"/>
  <c r="L102" i="7"/>
  <c r="F89" i="7"/>
  <c r="F115" i="7"/>
  <c r="D111" i="7"/>
  <c r="L57" i="7"/>
  <c r="D68" i="7"/>
  <c r="J67" i="7"/>
  <c r="L56" i="7"/>
  <c r="D71" i="7"/>
  <c r="G81" i="7"/>
  <c r="E61" i="7"/>
  <c r="L78" i="7"/>
  <c r="F110" i="7"/>
  <c r="H87" i="7"/>
  <c r="J52" i="7"/>
  <c r="J57" i="7"/>
  <c r="E102" i="7"/>
  <c r="G110" i="7"/>
  <c r="E70" i="7"/>
  <c r="F66" i="7"/>
  <c r="H61" i="7"/>
  <c r="G86" i="7"/>
  <c r="I96" i="7"/>
  <c r="I113" i="7"/>
  <c r="E125" i="7"/>
  <c r="I97" i="7"/>
  <c r="D79" i="7"/>
  <c r="H60" i="7"/>
  <c r="F103" i="7"/>
  <c r="J77" i="7"/>
  <c r="L91" i="7"/>
  <c r="F72" i="7"/>
  <c r="J88" i="7"/>
  <c r="G97" i="7"/>
  <c r="D98" i="7"/>
  <c r="D92" i="7"/>
  <c r="D110" i="7"/>
  <c r="E129" i="7"/>
  <c r="J73" i="7"/>
  <c r="H117" i="7"/>
  <c r="C106" i="7"/>
  <c r="I124" i="7"/>
  <c r="G122" i="7"/>
  <c r="I114" i="7"/>
  <c r="K124" i="7"/>
  <c r="L130" i="7"/>
  <c r="H105" i="7"/>
  <c r="I109" i="7"/>
  <c r="F83" i="7"/>
  <c r="C91" i="7"/>
  <c r="D58" i="7"/>
  <c r="J124" i="7"/>
  <c r="G119" i="7"/>
  <c r="D125" i="7"/>
  <c r="L58" i="7"/>
  <c r="E105" i="7"/>
  <c r="J100" i="7"/>
  <c r="D59" i="7"/>
  <c r="J64" i="7"/>
  <c r="D101" i="7"/>
  <c r="G129" i="7"/>
  <c r="F122" i="7"/>
  <c r="J60" i="7"/>
  <c r="L110" i="7"/>
  <c r="F78" i="7"/>
  <c r="D103" i="7"/>
  <c r="F55" i="7"/>
  <c r="G56" i="7"/>
  <c r="I63" i="7"/>
  <c r="E43" i="7"/>
  <c r="D93" i="7"/>
  <c r="K76" i="7"/>
  <c r="F69" i="7"/>
  <c r="I56" i="7"/>
  <c r="J66" i="7"/>
  <c r="D76" i="7"/>
  <c r="K113" i="7"/>
  <c r="K60" i="7"/>
  <c r="L66" i="7"/>
  <c r="H127" i="7"/>
  <c r="D90" i="7"/>
  <c r="C58" i="7"/>
  <c r="K127" i="7"/>
  <c r="D75" i="7"/>
  <c r="C56" i="7"/>
  <c r="K118" i="7"/>
  <c r="F79" i="7"/>
  <c r="J58" i="7"/>
  <c r="G87" i="7"/>
  <c r="E73" i="7"/>
  <c r="E103" i="7"/>
  <c r="L114" i="7"/>
  <c r="G91" i="7"/>
  <c r="J109" i="7"/>
  <c r="I85" i="7"/>
  <c r="D118" i="7"/>
  <c r="F61" i="7"/>
  <c r="J127" i="7"/>
  <c r="L111" i="7"/>
  <c r="G53" i="7"/>
  <c r="G64" i="7"/>
  <c r="K106" i="7"/>
  <c r="F63" i="7"/>
  <c r="H108" i="7"/>
  <c r="C98" i="7"/>
  <c r="J90" i="7"/>
  <c r="E115" i="7"/>
  <c r="E94" i="7"/>
  <c r="I117" i="7"/>
  <c r="J110" i="7"/>
  <c r="H115" i="7"/>
  <c r="K68" i="7"/>
  <c r="H57" i="7"/>
  <c r="K96" i="7"/>
  <c r="H118" i="7"/>
  <c r="G69" i="7"/>
  <c r="C108" i="7"/>
  <c r="H121" i="7"/>
  <c r="E82" i="7"/>
  <c r="G57" i="7"/>
  <c r="H98" i="7"/>
  <c r="D84" i="7"/>
  <c r="L86" i="7"/>
  <c r="H68" i="7"/>
  <c r="H82" i="7"/>
  <c r="J87" i="7"/>
  <c r="C74" i="7"/>
  <c r="G109" i="7"/>
  <c r="G62" i="7"/>
  <c r="F59" i="7"/>
  <c r="L92" i="7"/>
  <c r="C128" i="7"/>
  <c r="L68" i="7"/>
  <c r="E39" i="7"/>
  <c r="J122" i="7"/>
  <c r="C41" i="7"/>
  <c r="C87" i="7"/>
  <c r="D117" i="7"/>
  <c r="J130" i="7"/>
  <c r="J82" i="7"/>
  <c r="B1017" i="1" l="1"/>
  <c r="R1005" i="1"/>
  <c r="H1005" i="1" s="1"/>
  <c r="G98" i="13" s="1"/>
  <c r="Q304" i="1"/>
  <c r="G304" i="1" s="1"/>
  <c r="F45" i="13" s="1"/>
  <c r="P1096" i="1"/>
  <c r="R1084" i="1"/>
  <c r="G1084" i="1" s="1"/>
  <c r="F108" i="13" s="1"/>
  <c r="P900" i="1"/>
  <c r="F900" i="1" s="1"/>
  <c r="E93" i="13" s="1"/>
  <c r="Q1041" i="1"/>
  <c r="P401" i="1"/>
  <c r="F401" i="1" s="1"/>
  <c r="E53" i="13" s="1"/>
  <c r="P1171" i="1"/>
  <c r="F1171" i="1" s="1"/>
  <c r="E110" i="13" s="1"/>
  <c r="P664" i="1"/>
  <c r="F664" i="1" s="1"/>
  <c r="E73" i="13" s="1"/>
  <c r="R444" i="1"/>
  <c r="Q884" i="1"/>
  <c r="G884" i="1" s="1"/>
  <c r="F92" i="13" s="1"/>
  <c r="Q444" i="1"/>
  <c r="G444" i="1" s="1"/>
  <c r="F55" i="13" s="1"/>
  <c r="Q1213" i="1"/>
  <c r="G1213" i="1" s="1"/>
  <c r="F120" i="13" s="1"/>
  <c r="Q439" i="1"/>
  <c r="F439" i="1" s="1"/>
  <c r="E58" i="13" s="1"/>
  <c r="R561" i="1"/>
  <c r="T561" i="1" s="1"/>
  <c r="P444" i="1"/>
  <c r="F444" i="1" s="1"/>
  <c r="E55" i="13" s="1"/>
  <c r="R884" i="1"/>
  <c r="H884" i="1" s="1"/>
  <c r="G92" i="13" s="1"/>
  <c r="R837" i="1"/>
  <c r="G837" i="1" s="1"/>
  <c r="F88" i="13" s="1"/>
  <c r="P725" i="1"/>
  <c r="F725" i="1" s="1"/>
  <c r="R1102" i="1"/>
  <c r="P1005" i="1"/>
  <c r="F1005" i="1" s="1"/>
  <c r="E98" i="13" s="1"/>
  <c r="P560" i="1"/>
  <c r="F560" i="1" s="1"/>
  <c r="Q308" i="1"/>
  <c r="G308" i="1" s="1"/>
  <c r="F46" i="13" s="1"/>
  <c r="Q519" i="1"/>
  <c r="G519" i="1" s="1"/>
  <c r="F66" i="13" s="1"/>
  <c r="R798" i="1"/>
  <c r="H798" i="1" s="1"/>
  <c r="G82" i="13" s="1"/>
  <c r="Q983" i="1"/>
  <c r="G983" i="1" s="1"/>
  <c r="F95" i="13" s="1"/>
  <c r="P1046" i="1"/>
  <c r="P1188" i="1"/>
  <c r="F1188" i="1" s="1"/>
  <c r="E115" i="13" s="1"/>
  <c r="P1060" i="1"/>
  <c r="F1060" i="1" s="1"/>
  <c r="E104" i="13" s="1"/>
  <c r="P255" i="1"/>
  <c r="F255" i="1" s="1"/>
  <c r="E39" i="13" s="1"/>
  <c r="P1014" i="1"/>
  <c r="F1014" i="1" s="1"/>
  <c r="E99" i="13" s="1"/>
  <c r="Q1072" i="1"/>
  <c r="G1072" i="1" s="1"/>
  <c r="F106" i="13" s="1"/>
  <c r="R385" i="1"/>
  <c r="T385" i="1" s="1"/>
  <c r="E385" i="1" s="1"/>
  <c r="Q699" i="1"/>
  <c r="F699" i="1" s="1"/>
  <c r="E79" i="13" s="1"/>
  <c r="Q685" i="1"/>
  <c r="F685" i="1" s="1"/>
  <c r="E78" i="13" s="1"/>
  <c r="Q1060" i="1"/>
  <c r="G1060" i="1" s="1"/>
  <c r="F104" i="13" s="1"/>
  <c r="P481" i="1"/>
  <c r="F481" i="1" s="1"/>
  <c r="E61" i="13" s="1"/>
  <c r="P258" i="1"/>
  <c r="F258" i="1" s="1"/>
  <c r="E40" i="13" s="1"/>
  <c r="P682" i="1"/>
  <c r="F682" i="1" s="1"/>
  <c r="E77" i="13" s="1"/>
  <c r="R1212" i="1"/>
  <c r="P561" i="1"/>
  <c r="F561" i="1" s="1"/>
  <c r="E69" i="13" s="1"/>
  <c r="R401" i="1"/>
  <c r="T401" i="1" s="1"/>
  <c r="E401" i="1" s="1"/>
  <c r="P447" i="1"/>
  <c r="F447" i="1" s="1"/>
  <c r="E56" i="13" s="1"/>
  <c r="R436" i="1"/>
  <c r="H436" i="1" s="1"/>
  <c r="G57" i="13" s="1"/>
  <c r="P1213" i="1"/>
  <c r="F1213" i="1" s="1"/>
  <c r="E120" i="13" s="1"/>
  <c r="S453" i="1"/>
  <c r="G453" i="1" s="1"/>
  <c r="F59" i="13" s="1"/>
  <c r="P1072" i="1"/>
  <c r="F1072" i="1" s="1"/>
  <c r="E106" i="13" s="1"/>
  <c r="Q883" i="1"/>
  <c r="Q291" i="1"/>
  <c r="F291" i="1" s="1"/>
  <c r="E44" i="13" s="1"/>
  <c r="Q693" i="1"/>
  <c r="G693" i="1" s="1"/>
  <c r="F76" i="13" s="1"/>
  <c r="P308" i="1"/>
  <c r="F308" i="1" s="1"/>
  <c r="E46" i="13" s="1"/>
  <c r="P231" i="1"/>
  <c r="F231" i="1" s="1"/>
  <c r="E37" i="13" s="1"/>
  <c r="P273" i="1"/>
  <c r="F273" i="1" s="1"/>
  <c r="R1173" i="1"/>
  <c r="H1173" i="1" s="1"/>
  <c r="G111" i="13" s="1"/>
  <c r="Q561" i="1"/>
  <c r="G561" i="1" s="1"/>
  <c r="F69" i="13" s="1"/>
  <c r="Q1101" i="1"/>
  <c r="Q726" i="1"/>
  <c r="G726" i="1" s="1"/>
  <c r="F81" i="13" s="1"/>
  <c r="Q801" i="1"/>
  <c r="G801" i="1" s="1"/>
  <c r="F83" i="13" s="1"/>
  <c r="R308" i="1"/>
  <c r="H308" i="1" s="1"/>
  <c r="G46" i="13" s="1"/>
  <c r="P659" i="1"/>
  <c r="F659" i="1" s="1"/>
  <c r="E72" i="13" s="1"/>
  <c r="R1029" i="1"/>
  <c r="G1029" i="1" s="1"/>
  <c r="F102" i="13" s="1"/>
  <c r="P884" i="1"/>
  <c r="F884" i="1" s="1"/>
  <c r="E92" i="13" s="1"/>
  <c r="R555" i="1"/>
  <c r="H555" i="1" s="1"/>
  <c r="S291" i="1"/>
  <c r="H291" i="1" s="1"/>
  <c r="G44" i="13" s="1"/>
  <c r="P1189" i="1"/>
  <c r="F1189" i="1" s="1"/>
  <c r="E116" i="13" s="1"/>
  <c r="P861" i="1"/>
  <c r="F861" i="1" s="1"/>
  <c r="E91" i="13" s="1"/>
  <c r="P480" i="1"/>
  <c r="F480" i="1" s="1"/>
  <c r="P436" i="1"/>
  <c r="F436" i="1" s="1"/>
  <c r="E57" i="13" s="1"/>
  <c r="R1209" i="1"/>
  <c r="H1209" i="1" s="1"/>
  <c r="G118" i="13" s="1"/>
  <c r="Q447" i="1"/>
  <c r="G447" i="1" s="1"/>
  <c r="F56" i="13" s="1"/>
  <c r="Q388" i="1"/>
  <c r="G388" i="1" s="1"/>
  <c r="F50" i="13" s="1"/>
  <c r="T453" i="1"/>
  <c r="W453" i="1" s="1"/>
  <c r="Q667" i="1"/>
  <c r="G667" i="1" s="1"/>
  <c r="F74" i="13" s="1"/>
  <c r="Q1029" i="1"/>
  <c r="F1029" i="1" s="1"/>
  <c r="E102" i="13" s="1"/>
  <c r="P278" i="1"/>
  <c r="F278" i="1" s="1"/>
  <c r="E41" i="13" s="1"/>
  <c r="P980" i="1"/>
  <c r="F980" i="1" s="1"/>
  <c r="E94" i="13" s="1"/>
  <c r="P1179" i="1"/>
  <c r="F1179" i="1" s="1"/>
  <c r="E113" i="13" s="1"/>
  <c r="Q516" i="1"/>
  <c r="G516" i="1" s="1"/>
  <c r="F65" i="13" s="1"/>
  <c r="Q993" i="1"/>
  <c r="G993" i="1" s="1"/>
  <c r="F97" i="13" s="1"/>
  <c r="P250" i="1"/>
  <c r="F250" i="1" s="1"/>
  <c r="E38" i="13" s="1"/>
  <c r="P877" i="1"/>
  <c r="Q555" i="1"/>
  <c r="G555" i="1" s="1"/>
  <c r="Q393" i="1"/>
  <c r="G393" i="1" s="1"/>
  <c r="F51" i="13" s="1"/>
  <c r="R270" i="1"/>
  <c r="H270" i="1" s="1"/>
  <c r="R659" i="1"/>
  <c r="R980" i="1"/>
  <c r="H980" i="1" s="1"/>
  <c r="G94" i="13" s="1"/>
  <c r="R726" i="1"/>
  <c r="P1069" i="1"/>
  <c r="F1069" i="1" s="1"/>
  <c r="E105" i="13" s="1"/>
  <c r="R453" i="1"/>
  <c r="F453" i="1" s="1"/>
  <c r="E59" i="13" s="1"/>
  <c r="Q1069" i="1"/>
  <c r="G1069" i="1" s="1"/>
  <c r="F105" i="13" s="1"/>
  <c r="P281" i="1"/>
  <c r="F281" i="1" s="1"/>
  <c r="E42" i="13" s="1"/>
  <c r="Q270" i="1"/>
  <c r="G270" i="1" s="1"/>
  <c r="S286" i="1"/>
  <c r="H286" i="1" s="1"/>
  <c r="G43" i="13" s="1"/>
  <c r="Q527" i="1"/>
  <c r="G527" i="1" s="1"/>
  <c r="F64" i="13" s="1"/>
  <c r="P633" i="1"/>
  <c r="F633" i="1" s="1"/>
  <c r="E70" i="13" s="1"/>
  <c r="R1188" i="1"/>
  <c r="T1188" i="1" s="1"/>
  <c r="E1188" i="1" s="1"/>
  <c r="Q1171" i="1"/>
  <c r="G1171" i="1" s="1"/>
  <c r="F110" i="13" s="1"/>
  <c r="P654" i="1"/>
  <c r="F654" i="1" s="1"/>
  <c r="E71" i="13" s="1"/>
  <c r="R725" i="1"/>
  <c r="Q1209" i="1"/>
  <c r="G1209" i="1" s="1"/>
  <c r="F118" i="13" s="1"/>
  <c r="Q705" i="1"/>
  <c r="F705" i="1" s="1"/>
  <c r="E80" i="13" s="1"/>
  <c r="P393" i="1"/>
  <c r="F393" i="1" s="1"/>
  <c r="E51" i="13" s="1"/>
  <c r="P309" i="1"/>
  <c r="F309" i="1" s="1"/>
  <c r="E47" i="13" s="1"/>
  <c r="R667" i="1"/>
  <c r="T667" i="1" s="1"/>
  <c r="R278" i="1"/>
  <c r="H278" i="1" s="1"/>
  <c r="G41" i="13" s="1"/>
  <c r="S705" i="1"/>
  <c r="H705" i="1" s="1"/>
  <c r="G80" i="13" s="1"/>
  <c r="S843" i="1"/>
  <c r="H843" i="1" s="1"/>
  <c r="G89" i="13" s="1"/>
  <c r="Q659" i="1"/>
  <c r="G659" i="1" s="1"/>
  <c r="F72" i="13" s="1"/>
  <c r="R1014" i="1"/>
  <c r="H1014" i="1" s="1"/>
  <c r="G99" i="13" s="1"/>
  <c r="Q877" i="1"/>
  <c r="Q858" i="1"/>
  <c r="G858" i="1" s="1"/>
  <c r="F90" i="13" s="1"/>
  <c r="R304" i="1"/>
  <c r="H304" i="1" s="1"/>
  <c r="G45" i="13" s="1"/>
  <c r="P824" i="1"/>
  <c r="F824" i="1" s="1"/>
  <c r="E86" i="13" s="1"/>
  <c r="R250" i="1"/>
  <c r="H250" i="1" s="1"/>
  <c r="G38" i="13" s="1"/>
  <c r="P555" i="1"/>
  <c r="F555" i="1" s="1"/>
  <c r="R539" i="1"/>
  <c r="F539" i="1" s="1"/>
  <c r="E68" i="13" s="1"/>
  <c r="P821" i="1"/>
  <c r="F821" i="1" s="1"/>
  <c r="E85" i="13" s="1"/>
  <c r="R1096" i="1"/>
  <c r="T1096" i="1" s="1"/>
  <c r="E1096" i="1" s="1"/>
  <c r="R498" i="1"/>
  <c r="H498" i="1" s="1"/>
  <c r="G62" i="13" s="1"/>
  <c r="Q258" i="1"/>
  <c r="G258" i="1" s="1"/>
  <c r="F40" i="13" s="1"/>
  <c r="Q380" i="1"/>
  <c r="G380" i="1" s="1"/>
  <c r="F48" i="13" s="1"/>
  <c r="P1041" i="1"/>
  <c r="P475" i="1"/>
  <c r="F475" i="1" s="1"/>
  <c r="Q1078" i="1"/>
  <c r="F1078" i="1" s="1"/>
  <c r="E107" i="13" s="1"/>
  <c r="P993" i="1"/>
  <c r="F993" i="1" s="1"/>
  <c r="E97" i="13" s="1"/>
  <c r="R1174" i="1"/>
  <c r="T1174" i="1" s="1"/>
  <c r="R475" i="1"/>
  <c r="H475" i="1" s="1"/>
  <c r="R824" i="1"/>
  <c r="T824" i="1" s="1"/>
  <c r="Q309" i="1"/>
  <c r="G309" i="1" s="1"/>
  <c r="F47" i="13" s="1"/>
  <c r="R1072" i="1"/>
  <c r="H1072" i="1" s="1"/>
  <c r="G106" i="13" s="1"/>
  <c r="R843" i="1"/>
  <c r="G843" i="1" s="1"/>
  <c r="F89" i="13" s="1"/>
  <c r="R861" i="1"/>
  <c r="H861" i="1" s="1"/>
  <c r="G91" i="13" s="1"/>
  <c r="P1173" i="1"/>
  <c r="F1173" i="1" s="1"/>
  <c r="E111" i="13" s="1"/>
  <c r="Q255" i="1"/>
  <c r="G255" i="1" s="1"/>
  <c r="F39" i="13" s="1"/>
  <c r="P1047" i="1"/>
  <c r="F1047" i="1" s="1"/>
  <c r="E103" i="13" s="1"/>
  <c r="Q560" i="1"/>
  <c r="G560" i="1" s="1"/>
  <c r="R1069" i="1"/>
  <c r="H1069" i="1" s="1"/>
  <c r="G105" i="13" s="1"/>
  <c r="S533" i="1"/>
  <c r="G533" i="1" s="1"/>
  <c r="F67" i="13" s="1"/>
  <c r="R398" i="1"/>
  <c r="H398" i="1" s="1"/>
  <c r="G52" i="13" s="1"/>
  <c r="R900" i="1"/>
  <c r="H900" i="1" s="1"/>
  <c r="G93" i="13" s="1"/>
  <c r="Q1023" i="1"/>
  <c r="F1023" i="1" s="1"/>
  <c r="E101" i="13" s="1"/>
  <c r="R380" i="1"/>
  <c r="H380" i="1" s="1"/>
  <c r="G48" i="13" s="1"/>
  <c r="S1084" i="1"/>
  <c r="H1084" i="1" s="1"/>
  <c r="G108" i="13" s="1"/>
  <c r="S837" i="1"/>
  <c r="H837" i="1" s="1"/>
  <c r="G88" i="13" s="1"/>
  <c r="P516" i="1"/>
  <c r="F516" i="1" s="1"/>
  <c r="E65" i="13" s="1"/>
  <c r="Q654" i="1"/>
  <c r="G654" i="1" s="1"/>
  <c r="F71" i="13" s="1"/>
  <c r="Q1046" i="1"/>
  <c r="R664" i="1"/>
  <c r="Q398" i="1"/>
  <c r="G398" i="1" s="1"/>
  <c r="F52" i="13" s="1"/>
  <c r="R831" i="1"/>
  <c r="T831" i="1" s="1"/>
  <c r="P831" i="1"/>
  <c r="F831" i="1" s="1"/>
  <c r="E87" i="13" s="1"/>
  <c r="R447" i="1"/>
  <c r="S1078" i="1"/>
  <c r="H1078" i="1" s="1"/>
  <c r="G107" i="13" s="1"/>
  <c r="P726" i="1"/>
  <c r="F726" i="1" s="1"/>
  <c r="E81" i="13" s="1"/>
  <c r="P498" i="1"/>
  <c r="F498" i="1" s="1"/>
  <c r="E62" i="13" s="1"/>
  <c r="Q988" i="1"/>
  <c r="G988" i="1" s="1"/>
  <c r="F96" i="13" s="1"/>
  <c r="R1078" i="1"/>
  <c r="G1078" i="1" s="1"/>
  <c r="F107" i="13" s="1"/>
  <c r="Q1194" i="1"/>
  <c r="G1194" i="1" s="1"/>
  <c r="F117" i="13" s="1"/>
  <c r="R393" i="1"/>
  <c r="T393" i="1" s="1"/>
  <c r="E393" i="1" s="1"/>
  <c r="P983" i="1"/>
  <c r="F983" i="1" s="1"/>
  <c r="E95" i="13" s="1"/>
  <c r="R255" i="1"/>
  <c r="T255" i="1" s="1"/>
  <c r="E255" i="1" s="1"/>
  <c r="Q806" i="1"/>
  <c r="G806" i="1" s="1"/>
  <c r="F84" i="13" s="1"/>
  <c r="Q1174" i="1"/>
  <c r="G1174" i="1" s="1"/>
  <c r="F112" i="13" s="1"/>
  <c r="S1029" i="1"/>
  <c r="H1029" i="1" s="1"/>
  <c r="G102" i="13" s="1"/>
  <c r="Q481" i="1"/>
  <c r="G481" i="1" s="1"/>
  <c r="F61" i="13" s="1"/>
  <c r="Q385" i="1"/>
  <c r="G385" i="1" s="1"/>
  <c r="F49" i="13" s="1"/>
  <c r="Q690" i="1"/>
  <c r="G690" i="1" s="1"/>
  <c r="F75" i="13" s="1"/>
  <c r="Q480" i="1"/>
  <c r="G480" i="1" s="1"/>
  <c r="S1023" i="1"/>
  <c r="H1023" i="1" s="1"/>
  <c r="G101" i="13" s="1"/>
  <c r="R1060" i="1"/>
  <c r="T1060" i="1" s="1"/>
  <c r="E1060" i="1" s="1"/>
  <c r="T539" i="1"/>
  <c r="W539" i="1" s="1"/>
  <c r="R459" i="1"/>
  <c r="F459" i="1" s="1"/>
  <c r="E60" i="13" s="1"/>
  <c r="Q843" i="1"/>
  <c r="F843" i="1" s="1"/>
  <c r="E89" i="13" s="1"/>
  <c r="R524" i="1"/>
  <c r="S439" i="1"/>
  <c r="U439" i="1" s="1"/>
  <c r="Q475" i="1"/>
  <c r="G475" i="1" s="1"/>
  <c r="P398" i="1"/>
  <c r="F398" i="1" s="1"/>
  <c r="E52" i="13" s="1"/>
  <c r="P418" i="1"/>
  <c r="F418" i="1" s="1"/>
  <c r="E54" i="13" s="1"/>
  <c r="R1189" i="1"/>
  <c r="H1189" i="1" s="1"/>
  <c r="G116" i="13" s="1"/>
  <c r="R721" i="1"/>
  <c r="T721" i="1" s="1"/>
  <c r="E721" i="1" s="1"/>
  <c r="R988" i="1"/>
  <c r="T988" i="1" s="1"/>
  <c r="E988" i="1" s="1"/>
  <c r="P801" i="1"/>
  <c r="F801" i="1" s="1"/>
  <c r="E83" i="13" s="1"/>
  <c r="P1212" i="1"/>
  <c r="F1212" i="1" s="1"/>
  <c r="E119" i="13" s="1"/>
  <c r="Q1173" i="1"/>
  <c r="G1173" i="1" s="1"/>
  <c r="F111" i="13" s="1"/>
  <c r="P1209" i="1"/>
  <c r="F1209" i="1" s="1"/>
  <c r="E118" i="13" s="1"/>
  <c r="R682" i="1"/>
  <c r="H682" i="1" s="1"/>
  <c r="G77" i="13" s="1"/>
  <c r="P1174" i="1"/>
  <c r="F1174" i="1" s="1"/>
  <c r="E112" i="13" s="1"/>
  <c r="Q250" i="1"/>
  <c r="G250" i="1" s="1"/>
  <c r="F38" i="13" s="1"/>
  <c r="Q1014" i="1"/>
  <c r="G1014" i="1" s="1"/>
  <c r="F99" i="13" s="1"/>
  <c r="P1194" i="1"/>
  <c r="F1194" i="1" s="1"/>
  <c r="E117" i="13" s="1"/>
  <c r="S685" i="1"/>
  <c r="H685" i="1" s="1"/>
  <c r="G78" i="13" s="1"/>
  <c r="P721" i="1"/>
  <c r="F721" i="1" s="1"/>
  <c r="S699" i="1"/>
  <c r="H699" i="1" s="1"/>
  <c r="G79" i="13" s="1"/>
  <c r="R1023" i="1"/>
  <c r="G1023" i="1" s="1"/>
  <c r="F101" i="13" s="1"/>
  <c r="P690" i="1"/>
  <c r="F690" i="1" s="1"/>
  <c r="E75" i="13" s="1"/>
  <c r="R1047" i="1"/>
  <c r="T1047" i="1" s="1"/>
  <c r="R1046" i="1"/>
  <c r="T1046" i="1" s="1"/>
  <c r="E1046" i="1" s="1"/>
  <c r="R690" i="1"/>
  <c r="H690" i="1" s="1"/>
  <c r="G75" i="13" s="1"/>
  <c r="R1186" i="1"/>
  <c r="H1186" i="1" s="1"/>
  <c r="G114" i="13" s="1"/>
  <c r="Q436" i="1"/>
  <c r="G436" i="1" s="1"/>
  <c r="F57" i="13" s="1"/>
  <c r="R481" i="1"/>
  <c r="H481" i="1" s="1"/>
  <c r="G61" i="13" s="1"/>
  <c r="P388" i="1"/>
  <c r="F388" i="1" s="1"/>
  <c r="E50" i="13" s="1"/>
  <c r="R1171" i="1"/>
  <c r="H1171" i="1" s="1"/>
  <c r="G110" i="13" s="1"/>
  <c r="T459" i="1"/>
  <c r="W459" i="1" s="1"/>
  <c r="P883" i="1"/>
  <c r="Q231" i="1"/>
  <c r="G231" i="1" s="1"/>
  <c r="F37" i="13" s="1"/>
  <c r="Q633" i="1"/>
  <c r="G633" i="1" s="1"/>
  <c r="F70" i="13" s="1"/>
  <c r="R654" i="1"/>
  <c r="T654" i="1" s="1"/>
  <c r="E654" i="1" s="1"/>
  <c r="D71" i="13" s="1"/>
  <c r="Q980" i="1"/>
  <c r="G980" i="1" s="1"/>
  <c r="F94" i="13" s="1"/>
  <c r="R258" i="1"/>
  <c r="H258" i="1" s="1"/>
  <c r="G40" i="13" s="1"/>
  <c r="Q273" i="1"/>
  <c r="G273" i="1" s="1"/>
  <c r="P988" i="1"/>
  <c r="F988" i="1" s="1"/>
  <c r="E96" i="13" s="1"/>
  <c r="R821" i="1"/>
  <c r="H821" i="1" s="1"/>
  <c r="G85" i="13" s="1"/>
  <c r="R519" i="1"/>
  <c r="H519" i="1" s="1"/>
  <c r="G66" i="13" s="1"/>
  <c r="R883" i="1"/>
  <c r="T883" i="1" s="1"/>
  <c r="E883" i="1" s="1"/>
  <c r="Q798" i="1"/>
  <c r="G798" i="1" s="1"/>
  <c r="F82" i="13" s="1"/>
  <c r="R439" i="1"/>
  <c r="G439" i="1" s="1"/>
  <c r="F58" i="13" s="1"/>
  <c r="Q1186" i="1"/>
  <c r="G1186" i="1" s="1"/>
  <c r="F114" i="13" s="1"/>
  <c r="R527" i="1"/>
  <c r="T527" i="1" s="1"/>
  <c r="R685" i="1"/>
  <c r="G685" i="1" s="1"/>
  <c r="F78" i="13" s="1"/>
  <c r="Q837" i="1"/>
  <c r="F837" i="1" s="1"/>
  <c r="E88" i="13" s="1"/>
  <c r="Q682" i="1"/>
  <c r="G682" i="1" s="1"/>
  <c r="F77" i="13" s="1"/>
  <c r="R858" i="1"/>
  <c r="H858" i="1" s="1"/>
  <c r="G90" i="13" s="1"/>
  <c r="R699" i="1"/>
  <c r="G699" i="1" s="1"/>
  <c r="F79" i="13" s="1"/>
  <c r="Q1189" i="1"/>
  <c r="G1189" i="1" s="1"/>
  <c r="F116" i="13" s="1"/>
  <c r="P806" i="1"/>
  <c r="F806" i="1" s="1"/>
  <c r="E84" i="13" s="1"/>
  <c r="R388" i="1"/>
  <c r="T388" i="1" s="1"/>
  <c r="E388" i="1" s="1"/>
  <c r="Q725" i="1"/>
  <c r="G725" i="1" s="1"/>
  <c r="R693" i="1"/>
  <c r="R281" i="1"/>
  <c r="Q900" i="1"/>
  <c r="G900" i="1" s="1"/>
  <c r="F93" i="13" s="1"/>
  <c r="Q831" i="1"/>
  <c r="G831" i="1" s="1"/>
  <c r="F87" i="13" s="1"/>
  <c r="Q1188" i="1"/>
  <c r="G1188" i="1" s="1"/>
  <c r="F115" i="13" s="1"/>
  <c r="Q278" i="1"/>
  <c r="G278" i="1" s="1"/>
  <c r="F41" i="13" s="1"/>
  <c r="Q281" i="1"/>
  <c r="G281" i="1" s="1"/>
  <c r="F42" i="13" s="1"/>
  <c r="P667" i="1"/>
  <c r="F667" i="1" s="1"/>
  <c r="E74" i="13" s="1"/>
  <c r="R516" i="1"/>
  <c r="H516" i="1" s="1"/>
  <c r="G65" i="13" s="1"/>
  <c r="R231" i="1"/>
  <c r="H231" i="1" s="1"/>
  <c r="G37" i="13" s="1"/>
  <c r="Q1179" i="1"/>
  <c r="G1179" i="1" s="1"/>
  <c r="F113" i="13" s="1"/>
  <c r="S539" i="1"/>
  <c r="G539" i="1" s="1"/>
  <c r="F68" i="13" s="1"/>
  <c r="R1041" i="1"/>
  <c r="T1041" i="1" s="1"/>
  <c r="E1041" i="1" s="1"/>
  <c r="Q1102" i="1"/>
  <c r="G1102" i="1" s="1"/>
  <c r="F109" i="13" s="1"/>
  <c r="Q821" i="1"/>
  <c r="G821" i="1" s="1"/>
  <c r="F85" i="13" s="1"/>
  <c r="P524" i="1"/>
  <c r="F524" i="1" s="1"/>
  <c r="E63" i="13" s="1"/>
  <c r="P270" i="1"/>
  <c r="F270" i="1" s="1"/>
  <c r="R1194" i="1"/>
  <c r="H1194" i="1" s="1"/>
  <c r="G117" i="13" s="1"/>
  <c r="R291" i="1"/>
  <c r="G291" i="1" s="1"/>
  <c r="F44" i="13" s="1"/>
  <c r="T533" i="1"/>
  <c r="W533" i="1" s="1"/>
  <c r="P519" i="1"/>
  <c r="F519" i="1" s="1"/>
  <c r="E66" i="13" s="1"/>
  <c r="Q1084" i="1"/>
  <c r="F1084" i="1" s="1"/>
  <c r="E108" i="13" s="1"/>
  <c r="S459" i="1"/>
  <c r="G459" i="1" s="1"/>
  <c r="F60" i="13" s="1"/>
  <c r="Q861" i="1"/>
  <c r="G861" i="1" s="1"/>
  <c r="F91" i="13" s="1"/>
  <c r="Q524" i="1"/>
  <c r="G524" i="1" s="1"/>
  <c r="F63" i="13" s="1"/>
  <c r="Q1096" i="1"/>
  <c r="Q418" i="1"/>
  <c r="G418" i="1" s="1"/>
  <c r="F54" i="13" s="1"/>
  <c r="R806" i="1"/>
  <c r="T806" i="1" s="1"/>
  <c r="E806" i="1" s="1"/>
  <c r="R877" i="1"/>
  <c r="T877" i="1" s="1"/>
  <c r="E877" i="1" s="1"/>
  <c r="P1102" i="1"/>
  <c r="F1102" i="1" s="1"/>
  <c r="E109" i="13" s="1"/>
  <c r="Q664" i="1"/>
  <c r="G664" i="1" s="1"/>
  <c r="F73" i="13" s="1"/>
  <c r="R705" i="1"/>
  <c r="G705" i="1" s="1"/>
  <c r="F80" i="13" s="1"/>
  <c r="Q824" i="1"/>
  <c r="G824" i="1" s="1"/>
  <c r="F86" i="13" s="1"/>
  <c r="R1101" i="1"/>
  <c r="T1101" i="1" s="1"/>
  <c r="E1101" i="1" s="1"/>
  <c r="E1102" i="1" s="1"/>
  <c r="I1102" i="1" s="1"/>
  <c r="H109" i="13" s="1"/>
  <c r="P1101" i="1"/>
  <c r="P1186" i="1"/>
  <c r="F1186" i="1" s="1"/>
  <c r="E114" i="13" s="1"/>
  <c r="R993" i="1"/>
  <c r="H993" i="1" s="1"/>
  <c r="G97" i="13" s="1"/>
  <c r="R1213" i="1"/>
  <c r="H1213" i="1" s="1"/>
  <c r="G120" i="13" s="1"/>
  <c r="R533" i="1"/>
  <c r="F533" i="1" s="1"/>
  <c r="E67" i="13" s="1"/>
  <c r="P798" i="1"/>
  <c r="F798" i="1" s="1"/>
  <c r="E82" i="13" s="1"/>
  <c r="Q286" i="1"/>
  <c r="F286" i="1" s="1"/>
  <c r="E43" i="13" s="1"/>
  <c r="Q498" i="1"/>
  <c r="G498" i="1" s="1"/>
  <c r="F62" i="13" s="1"/>
  <c r="R309" i="1"/>
  <c r="R480" i="1"/>
  <c r="R418" i="1"/>
  <c r="Q721" i="1"/>
  <c r="G721" i="1" s="1"/>
  <c r="P858" i="1"/>
  <c r="F858" i="1" s="1"/>
  <c r="E90" i="13" s="1"/>
  <c r="R286" i="1"/>
  <c r="G286" i="1" s="1"/>
  <c r="F43" i="13" s="1"/>
  <c r="P380" i="1"/>
  <c r="F380" i="1" s="1"/>
  <c r="E48" i="13" s="1"/>
  <c r="R801" i="1"/>
  <c r="T801" i="1" s="1"/>
  <c r="E801" i="1" s="1"/>
  <c r="R273" i="1"/>
  <c r="R983" i="1"/>
  <c r="R560" i="1"/>
  <c r="H560" i="1" s="1"/>
  <c r="R633" i="1"/>
  <c r="H633" i="1" s="1"/>
  <c r="G70" i="13" s="1"/>
  <c r="Q401" i="1"/>
  <c r="G401" i="1" s="1"/>
  <c r="F53" i="13" s="1"/>
  <c r="R1179" i="1"/>
  <c r="H1179" i="1" s="1"/>
  <c r="G113" i="13" s="1"/>
  <c r="P385" i="1"/>
  <c r="F385" i="1" s="1"/>
  <c r="E49" i="13" s="1"/>
  <c r="Q1047" i="1"/>
  <c r="G1047" i="1" s="1"/>
  <c r="F103" i="13" s="1"/>
  <c r="Q1005" i="1"/>
  <c r="G1005" i="1" s="1"/>
  <c r="F98" i="13" s="1"/>
  <c r="P527" i="1"/>
  <c r="F527" i="1" s="1"/>
  <c r="E64" i="13" s="1"/>
  <c r="P304" i="1"/>
  <c r="F304" i="1" s="1"/>
  <c r="E45" i="13" s="1"/>
  <c r="P693" i="1"/>
  <c r="F693" i="1" s="1"/>
  <c r="E76" i="13" s="1"/>
  <c r="Q1212" i="1"/>
  <c r="G1212" i="1" s="1"/>
  <c r="F119" i="13" s="1"/>
  <c r="I654" i="1"/>
  <c r="H71" i="13" s="1"/>
  <c r="I286" i="1"/>
  <c r="H43" i="13" s="1"/>
  <c r="H110" i="13"/>
  <c r="I667" i="1"/>
  <c r="H74" i="13" s="1"/>
  <c r="E1189" i="1" a="1"/>
  <c r="T1069" i="1" l="1"/>
  <c r="E1069" i="1" s="1"/>
  <c r="D105" i="13" s="1"/>
  <c r="T1005" i="1"/>
  <c r="E1005" i="1" s="1"/>
  <c r="D98" i="13" s="1"/>
  <c r="T884" i="1"/>
  <c r="T798" i="1"/>
  <c r="E798" i="1" s="1"/>
  <c r="I798" i="1" s="1"/>
  <c r="H82" i="13" s="1"/>
  <c r="H385" i="1"/>
  <c r="G49" i="13" s="1"/>
  <c r="T304" i="1"/>
  <c r="E304" i="1" s="1"/>
  <c r="D45" i="13" s="1"/>
  <c r="H1060" i="1"/>
  <c r="G104" i="13" s="1"/>
  <c r="T278" i="1"/>
  <c r="E278" i="1" s="1"/>
  <c r="T250" i="1"/>
  <c r="E250" i="1" s="1"/>
  <c r="D38" i="13" s="1"/>
  <c r="H831" i="1"/>
  <c r="G87" i="13" s="1"/>
  <c r="T1209" i="1"/>
  <c r="T1014" i="1"/>
  <c r="E1014" i="1" s="1"/>
  <c r="D109" i="13"/>
  <c r="E1047" i="1"/>
  <c r="H255" i="1"/>
  <c r="G39" i="13" s="1"/>
  <c r="H988" i="1"/>
  <c r="G96" i="13" s="1"/>
  <c r="T481" i="1"/>
  <c r="T980" i="1"/>
  <c r="E980" i="1" s="1"/>
  <c r="D94" i="13" s="1"/>
  <c r="H1047" i="1"/>
  <c r="G103" i="13" s="1"/>
  <c r="T821" i="1"/>
  <c r="E821" i="1" s="1"/>
  <c r="I821" i="1" s="1"/>
  <c r="H85" i="13" s="1"/>
  <c r="T516" i="1"/>
  <c r="E516" i="1" s="1"/>
  <c r="E519" i="1" s="1"/>
  <c r="I519" i="1" s="1"/>
  <c r="H66" i="13" s="1"/>
  <c r="T993" i="1"/>
  <c r="E993" i="1" s="1"/>
  <c r="D97" i="13" s="1"/>
  <c r="E884" i="1"/>
  <c r="D92" i="13" s="1"/>
  <c r="T270" i="1"/>
  <c r="E270" i="1" s="1"/>
  <c r="E273" i="1" s="1"/>
  <c r="I273" i="1" s="1"/>
  <c r="H453" i="1"/>
  <c r="G59" i="13" s="1"/>
  <c r="H667" i="1"/>
  <c r="G74" i="13" s="1"/>
  <c r="H824" i="1"/>
  <c r="G86" i="13" s="1"/>
  <c r="T436" i="1"/>
  <c r="E436" i="1" s="1"/>
  <c r="D57" i="13" s="1"/>
  <c r="T519" i="1"/>
  <c r="E1189" i="1"/>
  <c r="I1189" i="1" s="1"/>
  <c r="H116" i="13" s="1"/>
  <c r="H1188" i="1"/>
  <c r="G115" i="13" s="1"/>
  <c r="T861" i="1"/>
  <c r="T633" i="1"/>
  <c r="E633" i="1" s="1"/>
  <c r="D70" i="13" s="1"/>
  <c r="T560" i="1"/>
  <c r="E560" i="1" s="1"/>
  <c r="I560" i="1" s="1"/>
  <c r="H806" i="1"/>
  <c r="G84" i="13" s="1"/>
  <c r="H533" i="1"/>
  <c r="G67" i="13" s="1"/>
  <c r="T900" i="1"/>
  <c r="E900" i="1" s="1"/>
  <c r="D93" i="13" s="1"/>
  <c r="T1179" i="1"/>
  <c r="H654" i="1"/>
  <c r="G71" i="13" s="1"/>
  <c r="H459" i="1"/>
  <c r="G60" i="13" s="1"/>
  <c r="H721" i="1"/>
  <c r="H801" i="1"/>
  <c r="G83" i="13" s="1"/>
  <c r="H539" i="1"/>
  <c r="G68" i="13" s="1"/>
  <c r="H1174" i="1"/>
  <c r="G112" i="13" s="1"/>
  <c r="T690" i="1"/>
  <c r="E690" i="1" s="1"/>
  <c r="D75" i="13" s="1"/>
  <c r="T380" i="1"/>
  <c r="E380" i="1" s="1"/>
  <c r="D48" i="13" s="1"/>
  <c r="T1194" i="1"/>
  <c r="T231" i="1"/>
  <c r="E231" i="1" s="1"/>
  <c r="D37" i="13" s="1"/>
  <c r="T1072" i="1"/>
  <c r="T1173" i="1"/>
  <c r="E1173" i="1" s="1"/>
  <c r="D111" i="13" s="1"/>
  <c r="H401" i="1"/>
  <c r="G53" i="13" s="1"/>
  <c r="T682" i="1"/>
  <c r="E682" i="1" s="1"/>
  <c r="E685" i="1" s="1"/>
  <c r="D78" i="13" s="1"/>
  <c r="H388" i="1"/>
  <c r="G50" i="13" s="1"/>
  <c r="H393" i="1"/>
  <c r="G51" i="13" s="1"/>
  <c r="T309" i="1"/>
  <c r="H309" i="1"/>
  <c r="G47" i="13" s="1"/>
  <c r="H561" i="1"/>
  <c r="G69" i="13" s="1"/>
  <c r="T1186" i="1"/>
  <c r="T1189" i="1"/>
  <c r="T555" i="1"/>
  <c r="E555" i="1" s="1"/>
  <c r="I555" i="1" s="1"/>
  <c r="T498" i="1"/>
  <c r="E498" i="1" s="1"/>
  <c r="D83" i="13"/>
  <c r="I801" i="1"/>
  <c r="H83" i="13" s="1"/>
  <c r="H281" i="1"/>
  <c r="G42" i="13" s="1"/>
  <c r="T281" i="1"/>
  <c r="T524" i="1"/>
  <c r="E524" i="1" s="1"/>
  <c r="H524" i="1"/>
  <c r="G63" i="13" s="1"/>
  <c r="D104" i="13"/>
  <c r="I1060" i="1"/>
  <c r="H104" i="13" s="1"/>
  <c r="D53" i="13"/>
  <c r="I401" i="1"/>
  <c r="H53" i="13" s="1"/>
  <c r="H444" i="1"/>
  <c r="G55" i="13" s="1"/>
  <c r="T444" i="1"/>
  <c r="E444" i="1" s="1"/>
  <c r="H273" i="1"/>
  <c r="T273" i="1"/>
  <c r="D51" i="13"/>
  <c r="I393" i="1"/>
  <c r="H51" i="13" s="1"/>
  <c r="T858" i="1"/>
  <c r="E858" i="1" s="1"/>
  <c r="H527" i="1"/>
  <c r="G64" i="13" s="1"/>
  <c r="T398" i="1"/>
  <c r="E398" i="1" s="1"/>
  <c r="D52" i="13" s="1"/>
  <c r="T1171" i="1"/>
  <c r="T475" i="1"/>
  <c r="E475" i="1" s="1"/>
  <c r="I475" i="1" s="1"/>
  <c r="T418" i="1"/>
  <c r="E418" i="1" s="1"/>
  <c r="H418" i="1"/>
  <c r="G54" i="13" s="1"/>
  <c r="H693" i="1"/>
  <c r="G76" i="13" s="1"/>
  <c r="T693" i="1"/>
  <c r="D96" i="13"/>
  <c r="I988" i="1"/>
  <c r="H96" i="13" s="1"/>
  <c r="D39" i="13"/>
  <c r="I255" i="1"/>
  <c r="H39" i="13" s="1"/>
  <c r="T659" i="1"/>
  <c r="E659" i="1" s="1"/>
  <c r="H659" i="1"/>
  <c r="G72" i="13" s="1"/>
  <c r="D49" i="13"/>
  <c r="I385" i="1"/>
  <c r="H49" i="13" s="1"/>
  <c r="T725" i="1"/>
  <c r="E725" i="1" s="1"/>
  <c r="I725" i="1" s="1"/>
  <c r="H725" i="1"/>
  <c r="T726" i="1"/>
  <c r="H726" i="1"/>
  <c r="G81" i="13" s="1"/>
  <c r="H439" i="1"/>
  <c r="G58" i="13" s="1"/>
  <c r="U685" i="1"/>
  <c r="T308" i="1"/>
  <c r="E308" i="1" s="1"/>
  <c r="D46" i="13" s="1"/>
  <c r="T983" i="1"/>
  <c r="E983" i="1" s="1"/>
  <c r="H983" i="1"/>
  <c r="G95" i="13" s="1"/>
  <c r="T480" i="1"/>
  <c r="E480" i="1" s="1"/>
  <c r="H480" i="1"/>
  <c r="D84" i="13"/>
  <c r="I806" i="1"/>
  <c r="H84" i="13" s="1"/>
  <c r="I721" i="1"/>
  <c r="H447" i="1"/>
  <c r="G56" i="13" s="1"/>
  <c r="T447" i="1"/>
  <c r="T664" i="1"/>
  <c r="E664" i="1" s="1"/>
  <c r="H664" i="1"/>
  <c r="G73" i="13" s="1"/>
  <c r="D115" i="13"/>
  <c r="I1188" i="1"/>
  <c r="H115" i="13" s="1"/>
  <c r="T1212" i="1"/>
  <c r="H1212" i="1"/>
  <c r="G119" i="13" s="1"/>
  <c r="H1102" i="1"/>
  <c r="G109" i="13" s="1"/>
  <c r="T1102" i="1"/>
  <c r="C100" i="13"/>
  <c r="A100" i="13" s="1"/>
  <c r="R1017" i="1"/>
  <c r="Q1017" i="1"/>
  <c r="G1017" i="1" s="1"/>
  <c r="F100" i="13" s="1"/>
  <c r="P1017" i="1"/>
  <c r="F1017" i="1" s="1"/>
  <c r="E100" i="13" s="1"/>
  <c r="I388" i="1"/>
  <c r="H50" i="13" s="1"/>
  <c r="D50" i="13"/>
  <c r="E1017" i="1" a="1"/>
  <c r="E527" i="1" a="1"/>
  <c r="E1072" i="1" a="1"/>
  <c r="E281" i="1"/>
  <c r="E824" i="1" a="1"/>
  <c r="E693" i="1" a="1"/>
  <c r="E447" i="1" a="1"/>
  <c r="E1174" i="1" a="1"/>
  <c r="E861" i="1" a="1"/>
  <c r="I304" i="1" l="1"/>
  <c r="H45" i="13" s="1"/>
  <c r="D82" i="13"/>
  <c r="I250" i="1"/>
  <c r="H38" i="13" s="1"/>
  <c r="E1072" i="1"/>
  <c r="D106" i="13" s="1"/>
  <c r="I1005" i="1"/>
  <c r="H98" i="13" s="1"/>
  <c r="I980" i="1"/>
  <c r="H94" i="13" s="1"/>
  <c r="I1069" i="1"/>
  <c r="H105" i="13" s="1"/>
  <c r="I398" i="1"/>
  <c r="H52" i="13" s="1"/>
  <c r="D116" i="13"/>
  <c r="I900" i="1"/>
  <c r="H93" i="13" s="1"/>
  <c r="D42" i="13"/>
  <c r="I281" i="1"/>
  <c r="H42" i="13" s="1"/>
  <c r="I231" i="1"/>
  <c r="H37" i="13" s="1"/>
  <c r="I278" i="1"/>
  <c r="H41" i="13" s="1"/>
  <c r="D41" i="13"/>
  <c r="I270" i="1"/>
  <c r="E1017" i="1"/>
  <c r="D85" i="13"/>
  <c r="I993" i="1"/>
  <c r="H97" i="13" s="1"/>
  <c r="I1014" i="1"/>
  <c r="H99" i="13" s="1"/>
  <c r="D99" i="13"/>
  <c r="I380" i="1"/>
  <c r="H48" i="13" s="1"/>
  <c r="I633" i="1"/>
  <c r="H70" i="13" s="1"/>
  <c r="I1047" i="1"/>
  <c r="H103" i="13" s="1"/>
  <c r="D103" i="13"/>
  <c r="D66" i="13"/>
  <c r="E824" i="1"/>
  <c r="D86" i="13" s="1"/>
  <c r="D65" i="13"/>
  <c r="I516" i="1"/>
  <c r="H65" i="13" s="1"/>
  <c r="I884" i="1"/>
  <c r="H92" i="13" s="1"/>
  <c r="I685" i="1"/>
  <c r="H78" i="13" s="1"/>
  <c r="E561" i="1"/>
  <c r="I561" i="1" s="1"/>
  <c r="H69" i="13" s="1"/>
  <c r="E439" i="1"/>
  <c r="I436" i="1"/>
  <c r="H57" i="13" s="1"/>
  <c r="E1174" i="1"/>
  <c r="D112" i="13" s="1"/>
  <c r="I1173" i="1"/>
  <c r="H111" i="13" s="1"/>
  <c r="E861" i="1"/>
  <c r="I861" i="1" s="1"/>
  <c r="H91" i="13" s="1"/>
  <c r="I858" i="1"/>
  <c r="H90" i="13" s="1"/>
  <c r="E693" i="1"/>
  <c r="I693" i="1" s="1"/>
  <c r="H76" i="13" s="1"/>
  <c r="I690" i="1"/>
  <c r="H75" i="13" s="1"/>
  <c r="D77" i="13"/>
  <c r="I682" i="1"/>
  <c r="H77" i="13" s="1"/>
  <c r="E527" i="1"/>
  <c r="E447" i="1"/>
  <c r="E309" i="1"/>
  <c r="I309" i="1" s="1"/>
  <c r="H47" i="13" s="1"/>
  <c r="I308" i="1"/>
  <c r="D95" i="13"/>
  <c r="I983" i="1"/>
  <c r="H95" i="13" s="1"/>
  <c r="D63" i="13"/>
  <c r="I524" i="1"/>
  <c r="H63" i="13" s="1"/>
  <c r="T1017" i="1"/>
  <c r="H1017" i="1"/>
  <c r="G100" i="13" s="1"/>
  <c r="E726" i="1"/>
  <c r="I444" i="1"/>
  <c r="H55" i="13" s="1"/>
  <c r="D55" i="13"/>
  <c r="D62" i="13"/>
  <c r="I498" i="1"/>
  <c r="H62" i="13" s="1"/>
  <c r="D90" i="13"/>
  <c r="D73" i="13"/>
  <c r="I664" i="1"/>
  <c r="H73" i="13" s="1"/>
  <c r="I480" i="1"/>
  <c r="E481" i="1"/>
  <c r="D72" i="13"/>
  <c r="I659" i="1"/>
  <c r="H72" i="13" s="1"/>
  <c r="D54" i="13"/>
  <c r="I418" i="1"/>
  <c r="H54" i="13" s="1"/>
  <c r="I1072" i="1" l="1"/>
  <c r="H106" i="13" s="1"/>
  <c r="D100" i="13"/>
  <c r="I1017" i="1"/>
  <c r="H100" i="13" s="1"/>
  <c r="D76" i="13"/>
  <c r="I824" i="1"/>
  <c r="H86" i="13" s="1"/>
  <c r="D91" i="13"/>
  <c r="D69" i="13"/>
  <c r="D58" i="13"/>
  <c r="I439" i="1"/>
  <c r="H58" i="13" s="1"/>
  <c r="I1174" i="1"/>
  <c r="D47" i="13"/>
  <c r="I447" i="1"/>
  <c r="H56" i="13" s="1"/>
  <c r="D56" i="13"/>
  <c r="I527" i="1"/>
  <c r="H64" i="13" s="1"/>
  <c r="D64" i="13"/>
  <c r="H46" i="13"/>
  <c r="H315" i="1" a="1"/>
  <c r="H315" i="1" s="1"/>
  <c r="D79" i="1" s="1"/>
  <c r="D81" i="13"/>
  <c r="I726" i="1"/>
  <c r="I481" i="1"/>
  <c r="H61" i="13" s="1"/>
  <c r="D61" i="13"/>
  <c r="H1106" i="1" l="1" a="1"/>
  <c r="H1106" i="1" s="1"/>
  <c r="D87" i="1" s="1"/>
  <c r="H565" i="1" a="1"/>
  <c r="H565" i="1" s="1"/>
  <c r="D81" i="1" s="1"/>
  <c r="H912" i="1" a="1"/>
  <c r="H912" i="1" s="1"/>
  <c r="D85" i="1" s="1"/>
  <c r="H112" i="13"/>
  <c r="H1221" i="1" a="1"/>
  <c r="H1221" i="1" s="1"/>
  <c r="D89" i="1" s="1"/>
  <c r="H81" i="13"/>
  <c r="H731" i="1" a="1"/>
  <c r="H731" i="1" s="1"/>
  <c r="D83" i="1" s="1"/>
  <c r="D91" i="1" l="1" a="1"/>
  <c r="D91" i="1" s="1"/>
  <c r="G12" i="1" s="1"/>
  <c r="C3"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<sst xmlns="http://schemas.openxmlformats.org/spreadsheetml/2006/main" count="4512" uniqueCount="764">
  <si>
    <t>Date</t>
  </si>
  <si>
    <t>ISSUE</t>
  </si>
  <si>
    <t>ECN</t>
  </si>
  <si>
    <t>DATE</t>
  </si>
  <si>
    <t>Drawn</t>
  </si>
  <si>
    <t>Checked</t>
  </si>
  <si>
    <t>Approved</t>
  </si>
  <si>
    <t>Overall Result</t>
  </si>
  <si>
    <t>Tested By:</t>
  </si>
  <si>
    <t>Comments:</t>
  </si>
  <si>
    <t>Para.</t>
  </si>
  <si>
    <t>Description</t>
  </si>
  <si>
    <t>Min</t>
  </si>
  <si>
    <t>Max</t>
  </si>
  <si>
    <t>Unit</t>
  </si>
  <si>
    <t>A</t>
  </si>
  <si>
    <t>Calibration No</t>
  </si>
  <si>
    <t>Alias</t>
  </si>
  <si>
    <t>Serial Number:</t>
  </si>
  <si>
    <t>Date:</t>
  </si>
  <si>
    <t>Unit Type:</t>
  </si>
  <si>
    <t>Equipment Description</t>
  </si>
  <si>
    <t>Equipment Type</t>
  </si>
  <si>
    <t>Model</t>
  </si>
  <si>
    <t>Address</t>
  </si>
  <si>
    <t>DO_ALL</t>
  </si>
  <si>
    <t>PSU</t>
  </si>
  <si>
    <t>TEX</t>
  </si>
  <si>
    <t>ON</t>
  </si>
  <si>
    <t>Test Equipment</t>
  </si>
  <si>
    <t>Config</t>
  </si>
  <si>
    <t>Load</t>
  </si>
  <si>
    <t>SET</t>
  </si>
  <si>
    <t>CHANNEL</t>
  </si>
  <si>
    <t>CURRENT</t>
  </si>
  <si>
    <t>CONNECT</t>
  </si>
  <si>
    <t>ClassName</t>
  </si>
  <si>
    <t>Location</t>
  </si>
  <si>
    <t>ID</t>
  </si>
  <si>
    <t>Subroutines</t>
  </si>
  <si>
    <t>StartCell</t>
  </si>
  <si>
    <t>tblDMMChannels</t>
  </si>
  <si>
    <t>GUI</t>
  </si>
  <si>
    <t>GoSub Routine</t>
  </si>
  <si>
    <t>Table_Name</t>
  </si>
  <si>
    <t>Command</t>
  </si>
  <si>
    <t>Method</t>
  </si>
  <si>
    <t>Param1</t>
  </si>
  <si>
    <t>Param2</t>
  </si>
  <si>
    <t>Param3</t>
  </si>
  <si>
    <t>Serial Number</t>
  </si>
  <si>
    <t>Param4</t>
  </si>
  <si>
    <t>tblGoSubRoutineStartCell</t>
  </si>
  <si>
    <t>Param5</t>
  </si>
  <si>
    <t>ENABLE</t>
  </si>
  <si>
    <t>READ</t>
  </si>
  <si>
    <t>VOLTAGE</t>
  </si>
  <si>
    <t>Param6</t>
  </si>
  <si>
    <t>Note, Model Name has to be Unique. The Model Number is used a Reference (Key) when re-calling information from a list (Collection)</t>
  </si>
  <si>
    <t>tblVbaClasses</t>
  </si>
  <si>
    <t>PROCESS</t>
  </si>
  <si>
    <t>ATESUB_RETURN</t>
  </si>
  <si>
    <t>ATESUB_END</t>
  </si>
  <si>
    <t>-</t>
  </si>
  <si>
    <t>Index</t>
  </si>
  <si>
    <t>Vmon</t>
  </si>
  <si>
    <t>Imon</t>
  </si>
  <si>
    <t>tblScaling</t>
  </si>
  <si>
    <t>Divider</t>
  </si>
  <si>
    <t>Specification Number:</t>
  </si>
  <si>
    <t>Shutdown</t>
  </si>
  <si>
    <t>V</t>
  </si>
  <si>
    <t>\\shvukfs2\eng\ATE Projects\SSATS\VBA\2 - Classes</t>
  </si>
  <si>
    <t>\\shvukfs2\eng\ATE Projects\SSATS\VBA\1 - Modules</t>
  </si>
  <si>
    <t xml:space="preserve">  </t>
  </si>
  <si>
    <t>SubRoutines</t>
  </si>
  <si>
    <t>subShutdown</t>
  </si>
  <si>
    <t>ATESUB</t>
  </si>
  <si>
    <t xml:space="preserve"> </t>
  </si>
  <si>
    <t>subOpenCageDefault</t>
  </si>
  <si>
    <t>!</t>
  </si>
  <si>
    <t>Default PSU After Cage Open</t>
  </si>
  <si>
    <t>MSGBOX</t>
  </si>
  <si>
    <t>CAGE OPEN</t>
  </si>
  <si>
    <t>Please ensure load has been configured correctly and cage is closed before pressing ok or hitting enter.</t>
  </si>
  <si>
    <t>PSU Initializing</t>
  </si>
  <si>
    <t>UNIT COMMS</t>
  </si>
  <si>
    <t>K2002</t>
  </si>
  <si>
    <t>DMM</t>
  </si>
  <si>
    <t>initSHVUK_DMM_K2002.bas</t>
  </si>
  <si>
    <t>clsSHVUK_DMM_K2002.cls</t>
  </si>
  <si>
    <t>CONFIGURE</t>
  </si>
  <si>
    <t>DCV</t>
  </si>
  <si>
    <t>AVERAGE</t>
  </si>
  <si>
    <t>COUNT</t>
  </si>
  <si>
    <t>RANGE</t>
  </si>
  <si>
    <t>DIGITS</t>
  </si>
  <si>
    <t>NTOL</t>
  </si>
  <si>
    <t>OSC</t>
  </si>
  <si>
    <t>Voltage</t>
  </si>
  <si>
    <t>FILTER</t>
  </si>
  <si>
    <t>FORMAT</t>
  </si>
  <si>
    <t>ELEMENT</t>
  </si>
  <si>
    <t>Suppressor</t>
  </si>
  <si>
    <t>tblUnitTypes</t>
  </si>
  <si>
    <t>Product</t>
  </si>
  <si>
    <t>ProductId</t>
  </si>
  <si>
    <t>tblProductOutputs</t>
  </si>
  <si>
    <t>OutputName</t>
  </si>
  <si>
    <t>tblSelectedUnit</t>
  </si>
  <si>
    <t>Unit_Type</t>
  </si>
  <si>
    <t>Extractor</t>
  </si>
  <si>
    <t>tblOutputs_Index</t>
  </si>
  <si>
    <t>Section</t>
  </si>
  <si>
    <t>Table</t>
  </si>
  <si>
    <t>Outputs</t>
  </si>
  <si>
    <t>tblSelectedOutputs</t>
  </si>
  <si>
    <t>tblProductScalesMeasures</t>
  </si>
  <si>
    <t>OutputId</t>
  </si>
  <si>
    <t>Parameter</t>
  </si>
  <si>
    <t>Nominal</t>
  </si>
  <si>
    <t>tblScalesMeasures_Selected</t>
  </si>
  <si>
    <t>ScalesMeasures</t>
  </si>
  <si>
    <t>tblScalesMeasures_Index</t>
  </si>
  <si>
    <t>uA</t>
  </si>
  <si>
    <t>Ripple</t>
  </si>
  <si>
    <t>Vout</t>
  </si>
  <si>
    <t>&lt;&lt;&lt;--- C129 is an example of Using Tables for DropDowns. Range "Unit_Type" has been assign in "Test" Worksheet</t>
  </si>
  <si>
    <t>OPEN_GUI</t>
  </si>
  <si>
    <t>RETRY</t>
  </si>
  <si>
    <t>ABORT</t>
  </si>
  <si>
    <t>SHUTDOWN</t>
  </si>
  <si>
    <t>TEST SHUTDOWN</t>
  </si>
  <si>
    <t>Test has been ended. Please ensure unit and load are powered down before continuing.</t>
  </si>
  <si>
    <t>subRetryAfterFail</t>
  </si>
  <si>
    <t>subCurrentKillTest</t>
  </si>
  <si>
    <t>Value</t>
  </si>
  <si>
    <t>Output</t>
  </si>
  <si>
    <t>Test has been ended due to the input current reading too high. Press enter to continue and ensure all equipment and the unit is off before continuing.</t>
  </si>
  <si>
    <t>TEST TERMINATION</t>
  </si>
  <si>
    <t>CLOSE_GUI</t>
  </si>
  <si>
    <t>SCPI</t>
  </si>
  <si>
    <t>Kill Test</t>
  </si>
  <si>
    <t>subLineReg22.8</t>
  </si>
  <si>
    <t>Line Reg 22.8V</t>
  </si>
  <si>
    <t>subLineReg25.2</t>
  </si>
  <si>
    <t>Line Reg 25.2V</t>
  </si>
  <si>
    <t>Load Regulation</t>
  </si>
  <si>
    <t>582|CMD|START</t>
  </si>
  <si>
    <t>subPSUNominal</t>
  </si>
  <si>
    <t>PSU to 24V</t>
  </si>
  <si>
    <t/>
  </si>
  <si>
    <t>tblHardLimits_Selected</t>
  </si>
  <si>
    <t>tblHardLimits_Index</t>
  </si>
  <si>
    <t>HardLimits</t>
  </si>
  <si>
    <t>Ensure BOTH interlocks are ticked on the GUI, If not please also click them (Green light will appear once enabled next to the box). Once everything is ticked click ok or press Enter (If GUI Fails to Poll Shut it down and reopen to refresh COMS). Press start to reconnect to unit after opening cage.</t>
  </si>
  <si>
    <t>SEND</t>
  </si>
  <si>
    <t>Result</t>
  </si>
  <si>
    <t>subNoCagePSU</t>
  </si>
  <si>
    <t>Default PSU No Cage</t>
  </si>
  <si>
    <t>Ensure BOTH interlocks are ticked on the GUI, If not please also click them (Green light will appear once enabled next to the box). Once everything is ticked click ok or press Enter (If GUI fails to reconnect, try pressing Reset you will know when the GUI is connected as the status box will read 'Initialized').</t>
  </si>
  <si>
    <t>Test Status</t>
  </si>
  <si>
    <t>Test Section</t>
  </si>
  <si>
    <t>Status</t>
  </si>
  <si>
    <t>GOTO</t>
  </si>
  <si>
    <t>A1</t>
  </si>
  <si>
    <t>TEST SETUP</t>
  </si>
  <si>
    <t>Execution Table</t>
  </si>
  <si>
    <t>Execution Alias</t>
  </si>
  <si>
    <t>Attributes</t>
  </si>
  <si>
    <t>Overvall Result</t>
  </si>
  <si>
    <t>Modified?</t>
  </si>
  <si>
    <t>Modified Date</t>
  </si>
  <si>
    <t>YES</t>
  </si>
  <si>
    <t>Measurements Table</t>
  </si>
  <si>
    <t>Measurement Alias</t>
  </si>
  <si>
    <t>Measurement Parameter Number</t>
  </si>
  <si>
    <t>Measurement Name</t>
  </si>
  <si>
    <t>Measured Value</t>
  </si>
  <si>
    <t>Lower Bound</t>
  </si>
  <si>
    <t>Upper Bound</t>
  </si>
  <si>
    <t>Measurement Unit</t>
  </si>
  <si>
    <t>Measurement Outcome</t>
  </si>
  <si>
    <t>EQUIPMENT LIST</t>
  </si>
  <si>
    <t>N</t>
  </si>
  <si>
    <t>subDefaultEquipConfig</t>
  </si>
  <si>
    <t>Default Equipment Settings</t>
  </si>
  <si>
    <t>subCloseOpenGUI</t>
  </si>
  <si>
    <t>GUI Restart &amp; Reset</t>
  </si>
  <si>
    <t>Column3</t>
  </si>
  <si>
    <t>Initiating</t>
  </si>
  <si>
    <t>JS</t>
  </si>
  <si>
    <t>Issue</t>
  </si>
  <si>
    <t>Drawn:</t>
  </si>
  <si>
    <t>Checked:</t>
  </si>
  <si>
    <t>Approved:</t>
  </si>
  <si>
    <t>Install/Verify Addon Module</t>
  </si>
  <si>
    <t>Initialise Meter for Current Limit</t>
  </si>
  <si>
    <t>subK2002ConfigBufferTrigger</t>
  </si>
  <si>
    <t>Start Recording Buffer</t>
  </si>
  <si>
    <t>subRecordBuffer</t>
  </si>
  <si>
    <t>:trac:cle</t>
  </si>
  <si>
    <t>:init:cont on</t>
  </si>
  <si>
    <t>*cls</t>
  </si>
  <si>
    <t>:stat:meas:enab 512</t>
  </si>
  <si>
    <t>*SRE 1</t>
  </si>
  <si>
    <t>:arm:lay2:sour imm</t>
  </si>
  <si>
    <t>:trig:coun inf</t>
  </si>
  <si>
    <t>:trig:del 0.0</t>
  </si>
  <si>
    <t>:trac:egr full</t>
  </si>
  <si>
    <t>:trac:poin MAX</t>
  </si>
  <si>
    <t>:trac:feed sens1</t>
  </si>
  <si>
    <t>:trac:feed:cont next</t>
  </si>
  <si>
    <t>Column4</t>
  </si>
  <si>
    <t>Column5</t>
  </si>
  <si>
    <t>Column6</t>
  </si>
  <si>
    <t>PING</t>
  </si>
  <si>
    <t>BUFFER</t>
  </si>
  <si>
    <t>SAVE</t>
  </si>
  <si>
    <t>LOCATION</t>
  </si>
  <si>
    <t>C:\Projects\690 Test Files\Buffer Data\690_Buffer_Data.txt</t>
  </si>
  <si>
    <t>RESET</t>
  </si>
  <si>
    <t>Column7</t>
  </si>
  <si>
    <t>Column8</t>
  </si>
  <si>
    <t>subInstallAddon</t>
  </si>
  <si>
    <t>ADDON</t>
  </si>
  <si>
    <t>INSTALL</t>
  </si>
  <si>
    <t>Hz</t>
  </si>
  <si>
    <t>SQL</t>
  </si>
  <si>
    <t xml:space="preserve">SELECT TOP 1 SpecNumber </t>
  </si>
  <si>
    <t xml:space="preserve">FROM dbo.Mustang_ExecutionLog </t>
  </si>
  <si>
    <t xml:space="preserve"> ORDER BY ClosingTimestamp desc</t>
  </si>
  <si>
    <t xml:space="preserve">SELECT COUNT(1) </t>
  </si>
  <si>
    <t>hide me</t>
  </si>
  <si>
    <t>Jack Sargeant: Initial Release</t>
  </si>
  <si>
    <r>
      <t>Output</t>
    </r>
    <r>
      <rPr>
        <i/>
        <sz val="11"/>
        <color theme="1"/>
        <rFont val="Calibri"/>
        <family val="2"/>
        <scheme val="minor"/>
      </rPr>
      <t xml:space="preserve"> </t>
    </r>
    <r>
      <rPr>
        <sz val="11"/>
        <color theme="1"/>
        <rFont val="Calibri"/>
        <family val="2"/>
        <scheme val="minor"/>
      </rPr>
      <t>ID</t>
    </r>
  </si>
  <si>
    <t>Name</t>
  </si>
  <si>
    <t>LENS1</t>
  </si>
  <si>
    <t>LENS2</t>
  </si>
  <si>
    <t>ACCELERATOR</t>
  </si>
  <si>
    <t>EXTRACTOR</t>
  </si>
  <si>
    <t>SUPPRESSOR</t>
  </si>
  <si>
    <t>FILAMENT</t>
  </si>
  <si>
    <t>*</t>
  </si>
  <si>
    <t>FIB35P/734</t>
  </si>
  <si>
    <t>tblScalesMeasures_734</t>
  </si>
  <si>
    <t>tblOutputs_734</t>
  </si>
  <si>
    <t>L1</t>
  </si>
  <si>
    <t>L2</t>
  </si>
  <si>
    <t>ACC</t>
  </si>
  <si>
    <t>EXT</t>
  </si>
  <si>
    <t>SUP</t>
  </si>
  <si>
    <t>FIL</t>
  </si>
  <si>
    <t>clsSHVUK_DMM_6500.cls</t>
  </si>
  <si>
    <t>initSHVUK_DMM_6500.bas</t>
  </si>
  <si>
    <t>USB24Mx</t>
  </si>
  <si>
    <t>clsSHVUK_RLY_USB24Mx.cls</t>
  </si>
  <si>
    <t>initSHVUK_RLY_USB24Mx.bas</t>
  </si>
  <si>
    <t>TBS2000</t>
  </si>
  <si>
    <t>initSHVUK_OSC_TBS2000.bas</t>
  </si>
  <si>
    <t>clsSHVUK_OSC_TBS2000.cls</t>
  </si>
  <si>
    <t>&lt;&lt;&lt;--- Could be replaced for "unit_type" range on Test</t>
  </si>
  <si>
    <t>tblExternalRefs</t>
  </si>
  <si>
    <t>tblInternalRefs</t>
  </si>
  <si>
    <t>Type</t>
  </si>
  <si>
    <t>Content</t>
  </si>
  <si>
    <t>tblUnitType</t>
  </si>
  <si>
    <t>mV pk-pk</t>
  </si>
  <si>
    <t>P</t>
  </si>
  <si>
    <r>
      <rPr>
        <u/>
        <sz val="11"/>
        <color theme="1"/>
        <rFont val="Calibri"/>
        <family val="2"/>
        <scheme val="minor"/>
      </rPr>
      <t xml:space="preserve">Value
</t>
    </r>
    <r>
      <rPr>
        <sz val="11"/>
        <color theme="1"/>
        <rFont val="Calibri"/>
        <family val="2"/>
        <scheme val="minor"/>
      </rPr>
      <t xml:space="preserve"> N = numeric
P = Percentage</t>
    </r>
  </si>
  <si>
    <t>Wobble Amplitude 1</t>
  </si>
  <si>
    <t>Wobble Frequency 1</t>
  </si>
  <si>
    <t>Wobble Amplitude 2</t>
  </si>
  <si>
    <t>Wobble Frequency 2</t>
  </si>
  <si>
    <t>Current Limit</t>
  </si>
  <si>
    <t>Output Current @ 28uA</t>
  </si>
  <si>
    <t>Chassis and Readbacks</t>
  </si>
  <si>
    <t>Lens 1</t>
  </si>
  <si>
    <t>Select Test</t>
  </si>
  <si>
    <t>tblOPid</t>
  </si>
  <si>
    <t>OP</t>
  </si>
  <si>
    <t>Please Select an Output</t>
  </si>
  <si>
    <t>N/A</t>
  </si>
  <si>
    <t>Vout minimum V</t>
  </si>
  <si>
    <t>Wobble Amplitude 3</t>
  </si>
  <si>
    <t>CHASSIS</t>
  </si>
  <si>
    <t>CRB</t>
  </si>
  <si>
    <t>Lens 2</t>
  </si>
  <si>
    <t>Off Load Tests</t>
  </si>
  <si>
    <t>L1 Vout (V)</t>
  </si>
  <si>
    <t>Current Monitor @ -40kV</t>
  </si>
  <si>
    <t>Full Load Tests</t>
  </si>
  <si>
    <t>L1 Voltage Monitor</t>
  </si>
  <si>
    <t>Current Monitor Error</t>
  </si>
  <si>
    <t>Voltage Monitor Error</t>
  </si>
  <si>
    <t>Load Regualtion</t>
  </si>
  <si>
    <t>High</t>
  </si>
  <si>
    <t>Wobble Frequency 0.25Hz</t>
  </si>
  <si>
    <t>Wobble Frequency 1Hz</t>
  </si>
  <si>
    <t>LENS1 V</t>
  </si>
  <si>
    <t>LENS2 V</t>
  </si>
  <si>
    <t>EXTRACTOR V</t>
  </si>
  <si>
    <t>SUPPRESSOR V</t>
  </si>
  <si>
    <t>FILAMENT V</t>
  </si>
  <si>
    <t>LENS1 uA</t>
  </si>
  <si>
    <t>tblExepmt</t>
  </si>
  <si>
    <t>Exempt Units</t>
  </si>
  <si>
    <t>KEITHLEY 6500 DMM</t>
  </si>
  <si>
    <t>DMM6500</t>
  </si>
  <si>
    <t>\\shvukfs2\eng\ATE Projects\SSATS\VBA\2 - Classes\WIP</t>
  </si>
  <si>
    <t>DCI</t>
  </si>
  <si>
    <t>AUTO</t>
  </si>
  <si>
    <t>OFF</t>
  </si>
  <si>
    <t>MULTIP</t>
  </si>
  <si>
    <t>EASYDAQ RELAY MODULE USB24MxS</t>
  </si>
  <si>
    <t>RELAYS</t>
  </si>
  <si>
    <t>ALL</t>
  </si>
  <si>
    <t>C:\Projects\FIB35P_734\FIB35P_734 ATE GUI.exe</t>
  </si>
  <si>
    <t>DMM1</t>
  </si>
  <si>
    <t>DMM2</t>
  </si>
  <si>
    <t>KEITHLEY 2002 DMM</t>
  </si>
  <si>
    <t>734|GND|MON24</t>
  </si>
  <si>
    <t>Wobble Amplitude @ 3000V Ampli</t>
  </si>
  <si>
    <t>Wobble Amplitude @ 500V Ampli</t>
  </si>
  <si>
    <t>LOAD</t>
  </si>
  <si>
    <t>CONFIGURATION</t>
  </si>
  <si>
    <t>FILE</t>
  </si>
  <si>
    <t>734|CMD|FINAL_TEST</t>
  </si>
  <si>
    <t>Set Lens1 I Limit On (EasyDAQ)</t>
  </si>
  <si>
    <t>Enable Lens 1 (GUI)</t>
  </si>
  <si>
    <t>Set HV Demand Lens 1 (GUI)</t>
  </si>
  <si>
    <t>Disable Lens 1 (GUI)</t>
  </si>
  <si>
    <t>YESNO</t>
  </si>
  <si>
    <t>TITLE</t>
  </si>
  <si>
    <t>PROMPT</t>
  </si>
  <si>
    <t>DMM2 Read Current</t>
  </si>
  <si>
    <t>DMM1 Read Voltage (Lens 1 HV)</t>
  </si>
  <si>
    <t>Set Lens1 Load On (EasyDAQ)</t>
  </si>
  <si>
    <t>%</t>
  </si>
  <si>
    <t>734|GND|MON25</t>
  </si>
  <si>
    <t>Initialsing Scope…</t>
  </si>
  <si>
    <t>734|GND|REG1|DEC(2)</t>
  </si>
  <si>
    <t>GUI Initialisng…</t>
  </si>
  <si>
    <t>Open All Relays (EasyDAQ)</t>
  </si>
  <si>
    <t>Waiting…</t>
  </si>
  <si>
    <t>10e-3</t>
  </si>
  <si>
    <t>DATA:SOURCE CH1</t>
  </si>
  <si>
    <t>DATa:ENCdg ASCIi</t>
  </si>
  <si>
    <t>DATa:WIDth 1</t>
  </si>
  <si>
    <t>CH1</t>
  </si>
  <si>
    <t>DATa:STart 0</t>
  </si>
  <si>
    <t>DATa:STOP 2500</t>
  </si>
  <si>
    <t>WAVEFORM</t>
  </si>
  <si>
    <t>Read L1 Current Monitor</t>
  </si>
  <si>
    <t>L1 Current Monitor Scaled</t>
  </si>
  <si>
    <t>Lens 1 Initialising…</t>
  </si>
  <si>
    <t>subFormatWfm</t>
  </si>
  <si>
    <t>Format Waveform</t>
  </si>
  <si>
    <t>SHOW_STATUS</t>
  </si>
  <si>
    <t>PRINT</t>
  </si>
  <si>
    <t>Formatting Waveform…</t>
  </si>
  <si>
    <t>HIDE_STATUS</t>
  </si>
  <si>
    <t>Low</t>
  </si>
  <si>
    <t>Please set up the ATE load as displayed:</t>
  </si>
  <si>
    <t>Color Code</t>
  </si>
  <si>
    <t>Pink</t>
  </si>
  <si>
    <t>Subroutine</t>
  </si>
  <si>
    <t>Purple</t>
  </si>
  <si>
    <t>COMs/Equ/GUI</t>
  </si>
  <si>
    <t>TBS2000B OSCILLOSCOPE</t>
  </si>
  <si>
    <t>WAIT</t>
  </si>
  <si>
    <t>ACQUIRE:STATE STOP</t>
  </si>
  <si>
    <t>ACQUIRE:STATE RUN</t>
  </si>
  <si>
    <t>subOscWobbleView</t>
  </si>
  <si>
    <t>Stop/Start Osc</t>
  </si>
  <si>
    <t>:init:cont off:abor</t>
  </si>
  <si>
    <t>SUBCURRENTKILLTEST</t>
  </si>
  <si>
    <t>734|GND|REG1|DEC(0)</t>
  </si>
  <si>
    <t>734|GND|REG1|DEC(4)</t>
  </si>
  <si>
    <t>734|GND|REG1|DEC(6)</t>
  </si>
  <si>
    <t>734|GND|REG1|DEC(8)</t>
  </si>
  <si>
    <t>734|GND|REG1|DEC(10)</t>
  </si>
  <si>
    <t>734|GND|REG1|DEC(12)</t>
  </si>
  <si>
    <t>734|GND|REG1|DEC(14)</t>
  </si>
  <si>
    <t>TRACe:MAKE 'FIB_BUFFER', 1000, STAN</t>
  </si>
  <si>
    <t>TRACe:DELete 'FIB_BUFFER'</t>
  </si>
  <si>
    <t>TRACe:POINts 10, 'defbuffer1'</t>
  </si>
  <si>
    <t>TRACe:POINts 10, 'defbuffer2'</t>
  </si>
  <si>
    <t>TRACe:FILL:MODE ONCE, 'FIB_BUFFER'</t>
  </si>
  <si>
    <t>:TRACe:TRIGger  'FIB_BUFFER'</t>
  </si>
  <si>
    <t>:FETCh?</t>
  </si>
  <si>
    <t>:SENSe:FUNCtion "CURRent"</t>
  </si>
  <si>
    <t>:READ? "FIB_BUFFER"</t>
  </si>
  <si>
    <t>TRACe:CLEar 'FIB_BUFFER'</t>
  </si>
  <si>
    <t>:MEAS:CURRENT?  'FIB_BUFFER'</t>
  </si>
  <si>
    <t>:TRACe:POINts? 'FIB_BUFFER'</t>
  </si>
  <si>
    <t>:TRACe:FILL:MODE? 'FIB_BUFFER'</t>
  </si>
  <si>
    <t>:TRACe:ACT?</t>
  </si>
  <si>
    <t>:SYSTem:ERRor:CODE?</t>
  </si>
  <si>
    <t>:DISPlay:BUFFer:ACTive?</t>
  </si>
  <si>
    <t>DISP:CLE</t>
  </si>
  <si>
    <t>DISP:USER1:TEXT "CURRENT TRIP"</t>
  </si>
  <si>
    <t>*CLS</t>
  </si>
  <si>
    <t>TRACe:STAT:MAXimum? "FIB_BUFFER"</t>
  </si>
  <si>
    <t>TRACe:STAT:MIN? "FIB_BUFFER"</t>
  </si>
  <si>
    <t>TRIGger:STAT?</t>
  </si>
  <si>
    <t>TRIGger:BLOCk:WAIT 1, COMM</t>
  </si>
  <si>
    <t>TRIGger:BLOCk:MDIGitize 2, "FIB_BUFFER"</t>
  </si>
  <si>
    <t>TRIGger:BLOCk:BRANch:ALWays 3, 2</t>
  </si>
  <si>
    <t>:TRIGger:BLOCk:LIST?</t>
  </si>
  <si>
    <t>*TRG</t>
  </si>
  <si>
    <t>INIT</t>
  </si>
  <si>
    <t>DISP:SCR GRAPh</t>
  </si>
  <si>
    <t>subSetupBuff</t>
  </si>
  <si>
    <t>Column1</t>
  </si>
  <si>
    <t>Column2</t>
  </si>
  <si>
    <t>Column9</t>
  </si>
  <si>
    <t>Setup CT Buffer</t>
  </si>
  <si>
    <t>subTriggerBuff</t>
  </si>
  <si>
    <t>Trigger CT Buffer</t>
  </si>
  <si>
    <t>Setting up Buffer…</t>
  </si>
  <si>
    <t>Current Trip</t>
  </si>
  <si>
    <t>Please check the front of the UUT to see if LENS 1 fault LED is illuminated. Is it illuminated?</t>
  </si>
  <si>
    <t>Now the GUI has been refreshed, please check the GUI to monitor if the error has cleared, and that the fault LED for LENS 1 on the UUT has gone out. Are these both true?</t>
  </si>
  <si>
    <t>Diagram</t>
  </si>
  <si>
    <t>Enable Lens 2 (GUI)</t>
  </si>
  <si>
    <t>Set HV Demand Lens 2 (GUI)</t>
  </si>
  <si>
    <t>DMM1 Read Voltage (Lens 2 HV)</t>
  </si>
  <si>
    <t>L2 Vout (V)</t>
  </si>
  <si>
    <t>L2 Vout minimum V (V)</t>
  </si>
  <si>
    <t>Output Current Off Load</t>
  </si>
  <si>
    <t>L2 Output Current Off Load (uA)</t>
  </si>
  <si>
    <t>Lens 2 Initialising…</t>
  </si>
  <si>
    <t>Lens 2 Initialising… (-ve min voltage off load)</t>
  </si>
  <si>
    <t>Lens 2 Initialising… (+ve min voltage off load)</t>
  </si>
  <si>
    <t>Lens 2 Initialising… (-ve max voltage off load)</t>
  </si>
  <si>
    <t>Full Load Positive</t>
  </si>
  <si>
    <t>K116</t>
  </si>
  <si>
    <t>Set Lens 2 Current Trip (EasyDAQ)</t>
  </si>
  <si>
    <t>L2 Current Limit (uA)</t>
  </si>
  <si>
    <t>Please check the front of the UUT to see if LENS 2 fault LED is illuminated. Is it illuminated?</t>
  </si>
  <si>
    <t>Now the GUI has been refreshed, please check the GUI to monitor if the error has cleared, and that the fault LED for LENS 2 on the UUT has gone out. Are these both true?</t>
  </si>
  <si>
    <t>Set Lens 2 Positive (EasyDAQ)</t>
  </si>
  <si>
    <t>734|GND|MON28</t>
  </si>
  <si>
    <t>L2 Voltage Monitor</t>
  </si>
  <si>
    <t>Full Load Negative</t>
  </si>
  <si>
    <t>Set Lens 2 Negative (EasyDAQ)</t>
  </si>
  <si>
    <t>734|GND|REG1|DEC(7)</t>
  </si>
  <si>
    <t>Positive Load Regulation</t>
  </si>
  <si>
    <t>Disable Lens 2 (GUI)</t>
  </si>
  <si>
    <t>Load Regulation Positive</t>
  </si>
  <si>
    <t>Load Regulation Negative</t>
  </si>
  <si>
    <t>Negative Load Regulation</t>
  </si>
  <si>
    <t>PLEASE ENSURE UUT IS SWITCH ON VIA FRONT PANEL!</t>
  </si>
  <si>
    <t>DMM1 SELECT CHANNEL 2</t>
  </si>
  <si>
    <t>SELECT</t>
  </si>
  <si>
    <t>Lens 2 Initialising… (+ve max voltage off load)</t>
  </si>
  <si>
    <t>Load Scope Settings (Lens 1 HF)</t>
  </si>
  <si>
    <t>Load Scope Settings (Lens 1 LF)</t>
  </si>
  <si>
    <t>Load Scope Settings (Lens 2 Pos HF)</t>
  </si>
  <si>
    <t>Load Scope Settings (Lens 2 Pos LF)</t>
  </si>
  <si>
    <t>Accelerator</t>
  </si>
  <si>
    <t>Output Current Off Load  @ 0V</t>
  </si>
  <si>
    <t>Enable Accelerator (GUI)</t>
  </si>
  <si>
    <t>Set Accelerator Current Trip (EasyDAQ)</t>
  </si>
  <si>
    <t>Set HV Demand Accelerator (GUI)</t>
  </si>
  <si>
    <t>Accelerator Initialising…</t>
  </si>
  <si>
    <t>LENS2 uA</t>
  </si>
  <si>
    <t>Accelerator V</t>
  </si>
  <si>
    <t>Accelerator uA</t>
  </si>
  <si>
    <t>Please check the front of the UUT to see if ACCEL fault LED is illuminated. Is it illuminated?</t>
  </si>
  <si>
    <t>DMM1 Read Voltage</t>
  </si>
  <si>
    <t>ACC Output Current Off Load  @ 0V (uA)</t>
  </si>
  <si>
    <t xml:space="preserve">Accelerator Initialising… </t>
  </si>
  <si>
    <t>Acc Vout (V)</t>
  </si>
  <si>
    <t>ACC Output Current Off Load (uA)</t>
  </si>
  <si>
    <t>Set Accelerator (EasyDAQ)</t>
  </si>
  <si>
    <t>Set HV Demand Acclerator (GUI)</t>
  </si>
  <si>
    <t>734|GND|MON22</t>
  </si>
  <si>
    <t>Read Acc Current Monitor</t>
  </si>
  <si>
    <t>734|GND|MON23</t>
  </si>
  <si>
    <t>DMM1 SELECT CHANNEL 3</t>
  </si>
  <si>
    <t>EXTRACTOR uA</t>
  </si>
  <si>
    <t>DMM1 SELECT CHANNEL 4</t>
  </si>
  <si>
    <t>Enable Extractor (GUI)</t>
  </si>
  <si>
    <t>subExtDelayTrip</t>
  </si>
  <si>
    <t>734|FLOAT|OUT5|FLT(255)</t>
  </si>
  <si>
    <t>734|FLOAT|OUT4|FLT(400)</t>
  </si>
  <si>
    <t>Extractor Delay Trip</t>
  </si>
  <si>
    <t>Extractor Initialising…</t>
  </si>
  <si>
    <t>Set HV Demand Extractor (GUI)</t>
  </si>
  <si>
    <t>Ext Vout (V)</t>
  </si>
  <si>
    <t>Low Load Tests</t>
  </si>
  <si>
    <t>subExtDelayTrip9uA</t>
  </si>
  <si>
    <t>subExtDelayTrip11uA</t>
  </si>
  <si>
    <t>734|FLOAT|OUT4|FLT(9)</t>
  </si>
  <si>
    <t>734|FLOAT|OUT4|FLT(11)</t>
  </si>
  <si>
    <t>Extractor Delay Trip 9uA</t>
  </si>
  <si>
    <t>Extractor Delay Trip 11uA</t>
  </si>
  <si>
    <t>Set Extractor Low Load (EasyDAQ)</t>
  </si>
  <si>
    <t>Read Ext Voltage Monitor</t>
  </si>
  <si>
    <t>Ext Iout @ 2.5kV</t>
  </si>
  <si>
    <t>734|FLOAT|MON15</t>
  </si>
  <si>
    <t>Ext Imon @ 2.5kV</t>
  </si>
  <si>
    <t>Ext Output Current Off Load (uA)</t>
  </si>
  <si>
    <t>Vout Off Load</t>
  </si>
  <si>
    <t>Ext Vout Off Load (V)</t>
  </si>
  <si>
    <t>Ext Vout Off Load Minimum (V)</t>
  </si>
  <si>
    <t>Vout Off Load Minimum</t>
  </si>
  <si>
    <t>Current Limit Resoultion</t>
  </si>
  <si>
    <t>High Load Tests</t>
  </si>
  <si>
    <t>Set Extractor High Load (EasyDAQ)</t>
  </si>
  <si>
    <t>Ext Output Current High Load (uA)</t>
  </si>
  <si>
    <t>Output Current High Load</t>
  </si>
  <si>
    <t>Current Monitor Error High Load</t>
  </si>
  <si>
    <t>734|FLOAT|OUT4|FLT(5)</t>
  </si>
  <si>
    <t>734|FLOAT|OUT5|FLT(400)</t>
  </si>
  <si>
    <t>subExtDelayTrip5uA400mS</t>
  </si>
  <si>
    <t>Extractor Delay Trip 5uA 400mS</t>
  </si>
  <si>
    <t>Ext Imon</t>
  </si>
  <si>
    <t>Disable Extractor (GUI)</t>
  </si>
  <si>
    <t xml:space="preserve">Extractor Initialising… </t>
  </si>
  <si>
    <t>FAIL</t>
  </si>
  <si>
    <t>Settling…</t>
  </si>
  <si>
    <t>Please press "Reset" on the product GUI, and wait for Polling to restart. Press yes if the UUT continues communicating.</t>
  </si>
  <si>
    <t>L1 Current Limit (uA)</t>
  </si>
  <si>
    <t>subExtDelayTrip400uA15mS</t>
  </si>
  <si>
    <t>734|FLOAT|OUT4|FLT(15)</t>
  </si>
  <si>
    <t>Extractor Delay Trip 400uA 15mS</t>
  </si>
  <si>
    <t>Ext Current Limit (uA)</t>
  </si>
  <si>
    <t>Filament</t>
  </si>
  <si>
    <t>Please check the front of the UUT to see if FLOAT fault LED is illuminated. Is it illuminated?</t>
  </si>
  <si>
    <t>Now the GUI has been refreshed, please check the GUI to monitor if the error has cleared, and that the fault LED for FLOAT on the UUT has gone out. Are these both true?</t>
  </si>
  <si>
    <t>SUPP</t>
  </si>
  <si>
    <t>DMM1 SELECT CHANNEL 5</t>
  </si>
  <si>
    <t xml:space="preserve">Make Sure Splitter Fil Low OP is connected to Filament Load Module Fil Lo IP
Make Sure Splitter Fil High OP is connected to Filament Load Module Fil Hi IP
Switch Filament Switch on Load Base to FILAMENT
</t>
  </si>
  <si>
    <t>4A Tests</t>
  </si>
  <si>
    <t>Enable Filament (GUI)</t>
  </si>
  <si>
    <t>Set Filament Ground (EasyDAQ)</t>
  </si>
  <si>
    <t>Set Demand Filament (GUI)</t>
  </si>
  <si>
    <t>Filament Initialising…</t>
  </si>
  <si>
    <t>734|FLOAT|MON17</t>
  </si>
  <si>
    <t>Fil Shunt Iout (A)</t>
  </si>
  <si>
    <t>734|FLOAT|MON16</t>
  </si>
  <si>
    <t>Disable Filament (GUI)</t>
  </si>
  <si>
    <t>2.5A Tests</t>
  </si>
  <si>
    <t>Current Regulation</t>
  </si>
  <si>
    <t>Set Filament Short (EasyDAQ)</t>
  </si>
  <si>
    <t>Please press the "Disable Trips" tick box on the product GUI.</t>
  </si>
  <si>
    <t>Please press the "Reset" button on the GUI.</t>
  </si>
  <si>
    <t>734|GND|MON29</t>
  </si>
  <si>
    <t>Lens 2 Ramping down... DO NOT SKIP</t>
  </si>
  <si>
    <t>Disable Accelerator (GUI)</t>
  </si>
  <si>
    <t>Lens 2 Initialising… (Pos Load Reg)</t>
  </si>
  <si>
    <t>Lens 2 Initialising… (Neg Load Reg)</t>
  </si>
  <si>
    <t>Set Extractor Current Limit (EasyDAQ)</t>
  </si>
  <si>
    <t>734|FLOAT|MON14</t>
  </si>
  <si>
    <t>Please now untick "Disable trips", this should cause the Extractor OP to trip off and disable itself in the GUI. Press yes to confirm this has happend.</t>
  </si>
  <si>
    <t>Going off load…</t>
  </si>
  <si>
    <t>Enable Supressor (GUI)</t>
  </si>
  <si>
    <t>Supressor Initialising…</t>
  </si>
  <si>
    <t>Sup Output Current Off Load (uA)</t>
  </si>
  <si>
    <t>Sup Vout Off Load Minimum (V)</t>
  </si>
  <si>
    <t>Set HV Demand Supressor (GUI)</t>
  </si>
  <si>
    <t xml:space="preserve">Supressor Initialising… </t>
  </si>
  <si>
    <t>Sup Vout Off Load Neg (V)</t>
  </si>
  <si>
    <t>Sup Vout Off Load Pos (V)</t>
  </si>
  <si>
    <t>Set Supressor High Load (EasyDAQ)</t>
  </si>
  <si>
    <t>Set Supressor Low Load (EasyDAQ)</t>
  </si>
  <si>
    <t>Sup Vout Full Load Pos (V)</t>
  </si>
  <si>
    <t>Sup Voltage Monitor</t>
  </si>
  <si>
    <t>Sup Vout Full Load Neg (V)</t>
  </si>
  <si>
    <t>Vout Off Load Neg</t>
  </si>
  <si>
    <t>Vout Off Load Pos</t>
  </si>
  <si>
    <t>Vout Full Load Pos</t>
  </si>
  <si>
    <t>Load Regulation Pos</t>
  </si>
  <si>
    <t>Voltage Monitor Error Pos</t>
  </si>
  <si>
    <t>Load Regulation Neg</t>
  </si>
  <si>
    <t>Voltage Monitor Error Neg</t>
  </si>
  <si>
    <t>Vout Full Load Neg</t>
  </si>
  <si>
    <t>Fil Imon (A)</t>
  </si>
  <si>
    <t>FILAMENT A</t>
  </si>
  <si>
    <t>Shunt Iout</t>
  </si>
  <si>
    <t>Fil Vmon (V)</t>
  </si>
  <si>
    <t>Fil Imon On Load (A)</t>
  </si>
  <si>
    <t>Fil Imon Off Load (A)</t>
  </si>
  <si>
    <t>Imon On Load</t>
  </si>
  <si>
    <t>Imon Off Load</t>
  </si>
  <si>
    <t>mA</t>
  </si>
  <si>
    <t>Going Off Load…</t>
  </si>
  <si>
    <t>734|GND|REG1|DEC(1)</t>
  </si>
  <si>
    <t>734|GND|OUT1|FLT(34550)</t>
  </si>
  <si>
    <t>Shorting…</t>
  </si>
  <si>
    <t>Accelerator RAMPING DOWN DO NOT SKIP</t>
  </si>
  <si>
    <t>RAMPING DOWN DO NOT SKIP</t>
  </si>
  <si>
    <t>SUPPRESSOR uA</t>
  </si>
  <si>
    <t>`</t>
  </si>
  <si>
    <t>HAS UUT PASSED 80103 SAFETY TEST?</t>
  </si>
  <si>
    <t>PULL_VALUE</t>
  </si>
  <si>
    <t>FILE_LOCATION</t>
  </si>
  <si>
    <t>\\shvukfs2\Operations\Manufacturing\Safety_Test_Log\</t>
  </si>
  <si>
    <t>FILE_NO</t>
  </si>
  <si>
    <t>COLUMN</t>
  </si>
  <si>
    <t>SHEET_NAME</t>
  </si>
  <si>
    <t>sheet1</t>
  </si>
  <si>
    <t>IPBOX</t>
  </si>
  <si>
    <t>Y/N</t>
  </si>
  <si>
    <t>Enter Ground DSP Firmware from GUI</t>
  </si>
  <si>
    <t>Float DSP Firmware from GUI</t>
  </si>
  <si>
    <t>Fan Test</t>
  </si>
  <si>
    <t>Are both Fans on Unit under Test drawing in Air ?</t>
  </si>
  <si>
    <t>PLEASE ENSURE UUT IS ENABLED VIA THE FRONT PANNEL!</t>
  </si>
  <si>
    <t>Is the green power LED on?</t>
  </si>
  <si>
    <t>Power LED</t>
  </si>
  <si>
    <t>Is the INT/LK OK light illuminated?</t>
  </si>
  <si>
    <t>Is the HV ENABLE LED illuminated?</t>
  </si>
  <si>
    <t>Interlock LED</t>
  </si>
  <si>
    <t>HV LED</t>
  </si>
  <si>
    <t>Is the activity light flashing?</t>
  </si>
  <si>
    <t>Coms</t>
  </si>
  <si>
    <t>Temp Mons</t>
  </si>
  <si>
    <t>734|GND|MON6</t>
  </si>
  <si>
    <t>Accelerator Buck</t>
  </si>
  <si>
    <t>Accelerator Control</t>
  </si>
  <si>
    <t>734|GND|MON7</t>
  </si>
  <si>
    <t>Accelerator Regulator</t>
  </si>
  <si>
    <t>734|GND|MON8</t>
  </si>
  <si>
    <t>Lens 1 Buck</t>
  </si>
  <si>
    <t>Lens 1 Control</t>
  </si>
  <si>
    <t>Lens 1 Regulator</t>
  </si>
  <si>
    <t>734|GND|MON9</t>
  </si>
  <si>
    <t>734|GND|MON10</t>
  </si>
  <si>
    <t>734|GND|MON11</t>
  </si>
  <si>
    <t>Lens 2 Buck</t>
  </si>
  <si>
    <t>Lens 2 Regulator</t>
  </si>
  <si>
    <t>734|GND|MON14</t>
  </si>
  <si>
    <t>734|GND|MON15</t>
  </si>
  <si>
    <t>734|GND|MON16</t>
  </si>
  <si>
    <t>Lens 2 Pos Control</t>
  </si>
  <si>
    <t>Lens 2 Neg Control</t>
  </si>
  <si>
    <t>734|GND|MON17</t>
  </si>
  <si>
    <t>ISO Buck</t>
  </si>
  <si>
    <t>ISO Control</t>
  </si>
  <si>
    <t>734|GND|MON18</t>
  </si>
  <si>
    <t>734|GND|MON19</t>
  </si>
  <si>
    <t>Suppressor Control</t>
  </si>
  <si>
    <t>Suppressor Regulator</t>
  </si>
  <si>
    <t>734|FLOAT|MON7</t>
  </si>
  <si>
    <t>734|FLOAT|MON6</t>
  </si>
  <si>
    <t>Extractor Buck</t>
  </si>
  <si>
    <t>Extractor Control</t>
  </si>
  <si>
    <t>Extractor Regulator</t>
  </si>
  <si>
    <t>734|FLOAT|MON8</t>
  </si>
  <si>
    <t>734|FLOAT|MON9</t>
  </si>
  <si>
    <t>734|FLOAT|MON10</t>
  </si>
  <si>
    <t>734|FLOAT|MON11</t>
  </si>
  <si>
    <t>°C</t>
  </si>
  <si>
    <t>Rails</t>
  </si>
  <si>
    <t>734|GND|MON1</t>
  </si>
  <si>
    <t>734|GND|MON2</t>
  </si>
  <si>
    <t>734|GND|MON3</t>
  </si>
  <si>
    <t>734|GND|MON4</t>
  </si>
  <si>
    <t>734|GND|MON5</t>
  </si>
  <si>
    <t>Positive 3v3 Ground</t>
  </si>
  <si>
    <t>Positive 5V Ground</t>
  </si>
  <si>
    <t>Positive 15V Ground</t>
  </si>
  <si>
    <t>Positive 24V Ground</t>
  </si>
  <si>
    <t>Negative 15V Ground</t>
  </si>
  <si>
    <t>734|FLOAT|MON2</t>
  </si>
  <si>
    <t>734|FLOAT|MON1</t>
  </si>
  <si>
    <t>734|FLOAT|MON3</t>
  </si>
  <si>
    <t>734|FLOAT|MON4</t>
  </si>
  <si>
    <t>734|FLOAT|MON5</t>
  </si>
  <si>
    <t>Positive 3v3 Float</t>
  </si>
  <si>
    <t>Positive 5V Float</t>
  </si>
  <si>
    <t>Positive 15V Float</t>
  </si>
  <si>
    <t>Positive 24V Float</t>
  </si>
  <si>
    <t>Negative 15V Float</t>
  </si>
  <si>
    <t>Initializing</t>
  </si>
  <si>
    <t>L1_ATE</t>
  </si>
  <si>
    <t>L2_ATE</t>
  </si>
  <si>
    <t>ACC_ATE</t>
  </si>
  <si>
    <t>EXT_ATE</t>
  </si>
  <si>
    <t>SUPP_ATE</t>
  </si>
  <si>
    <t>FIL_ATE</t>
  </si>
  <si>
    <r>
      <rPr>
        <b/>
        <u/>
        <sz val="12"/>
        <rFont val="Arial"/>
        <family val="2"/>
      </rPr>
      <t xml:space="preserve">Please ensure the following instructions are executed:
</t>
    </r>
    <r>
      <rPr>
        <sz val="10"/>
        <rFont val="Arial"/>
        <family val="2"/>
      </rPr>
      <t xml:space="preserve">
</t>
    </r>
    <r>
      <rPr>
        <b/>
        <sz val="10"/>
        <rFont val="Arial"/>
        <family val="2"/>
      </rPr>
      <t xml:space="preserve">Turn rotary switch to "LENS 2"
Ensure CH1 on the Oscilloscpe is connected to cap coupler via BNC
connect cap coupler lead to "COUPLER" on Lens 2 load (also earth to stud)
Ensure "FIL LOW" is connected to "ACCELERATOR" HV
Ensure both "INPUT" sockets are connected to UUT via their bespoke connectors
</t>
    </r>
    <r>
      <rPr>
        <b/>
        <sz val="16"/>
        <color rgb="FFFF0000"/>
        <rFont val="Arial"/>
        <family val="2"/>
      </rPr>
      <t xml:space="preserve">
IMPORTANT: Ensure a bung has been fitted in place of Extractor lead on UUT, failing to do so will result in arcing on test
</t>
    </r>
    <r>
      <rPr>
        <b/>
        <sz val="16"/>
        <color theme="1"/>
        <rFont val="Arial"/>
        <family val="2"/>
      </rPr>
      <t>Press "Test Lens 2" to begin output test.</t>
    </r>
    <r>
      <rPr>
        <sz val="16"/>
        <rFont val="Arial"/>
        <family val="2"/>
      </rPr>
      <t xml:space="preserve">
</t>
    </r>
  </si>
  <si>
    <r>
      <rPr>
        <b/>
        <u/>
        <sz val="12"/>
        <rFont val="Arial"/>
        <family val="2"/>
      </rPr>
      <t xml:space="preserve">Please ensure the following instructions are executed:
</t>
    </r>
    <r>
      <rPr>
        <sz val="10"/>
        <rFont val="Arial"/>
        <family val="2"/>
      </rPr>
      <t xml:space="preserve">
</t>
    </r>
    <r>
      <rPr>
        <b/>
        <sz val="10"/>
        <rFont val="Arial"/>
        <family val="2"/>
      </rPr>
      <t xml:space="preserve">Turn rotary switch to "ACCL"
Ensure CH1 on the Oscilloscpe is connected to cap coupler via BNC
connect cap coupler lead to "COUPLER" on Accelerator load (also earth to stud)
Ensure "FIL LOW" is connected to "ACCELERATOR" HV
Ensure both "INPUT" sockets are connected to UUT via their bespoke connectors
</t>
    </r>
    <r>
      <rPr>
        <b/>
        <sz val="16"/>
        <color rgb="FFFF0000"/>
        <rFont val="Arial"/>
        <family val="2"/>
      </rPr>
      <t xml:space="preserve">
IMPORTANT: Ensure a bung has been fitted in place of Extractor lead on UUT, failing to do so will result in arcing on test
</t>
    </r>
    <r>
      <rPr>
        <b/>
        <sz val="16"/>
        <color theme="1"/>
        <rFont val="Arial"/>
        <family val="2"/>
      </rPr>
      <t>Press "Test Accelerator" to begin output test.</t>
    </r>
    <r>
      <rPr>
        <sz val="16"/>
        <rFont val="Arial"/>
        <family val="2"/>
      </rPr>
      <t xml:space="preserve">
</t>
    </r>
  </si>
  <si>
    <r>
      <rPr>
        <b/>
        <u/>
        <sz val="14"/>
        <color rgb="FFFF0000"/>
        <rFont val="Arial"/>
        <family val="2"/>
      </rPr>
      <t xml:space="preserve">NOTICE: ALL FLOATING OUTPUTS ARE NEARLY IDENTICAL IN SETUP ON ATE LOAD.
</t>
    </r>
    <r>
      <rPr>
        <b/>
        <u/>
        <sz val="12"/>
        <rFont val="Arial"/>
        <family val="2"/>
      </rPr>
      <t xml:space="preserve">
Please ensure the following instructions are executed:
</t>
    </r>
    <r>
      <rPr>
        <b/>
        <sz val="12"/>
        <rFont val="Arial"/>
        <family val="2"/>
      </rPr>
      <t xml:space="preserve">Patch lead from FIL LO to FIL LO
Patch lead from FIL HIGH to FIL HIGH
Patch lead from SUPPRESSOR to SUPPRESSOR
Coupler to SUPPRESSOR coupler
Rotary switch to </t>
    </r>
    <r>
      <rPr>
        <b/>
        <sz val="12"/>
        <color rgb="FFF2D072"/>
        <rFont val="Arial"/>
        <family val="2"/>
      </rPr>
      <t>EXT</t>
    </r>
    <r>
      <rPr>
        <b/>
        <sz val="12"/>
        <rFont val="Arial"/>
        <family val="2"/>
      </rPr>
      <t xml:space="preserve">
Lens 1 lead to Lens 1 OP on UUT
Lens 2 lead to Lens 2 OP on UUT
</t>
    </r>
    <r>
      <rPr>
        <b/>
        <sz val="16"/>
        <color rgb="FFFF0000"/>
        <rFont val="Arial"/>
        <family val="2"/>
      </rPr>
      <t>PLEASE REMOVE BUNG FROM EXTRACTOR OUTPUT AND CONNECT EXTRACTOR LEAD FROM EXTRACTOR LOAD</t>
    </r>
    <r>
      <rPr>
        <sz val="10"/>
        <rFont val="Arial"/>
        <family val="2"/>
      </rPr>
      <t xml:space="preserve">
</t>
    </r>
    <r>
      <rPr>
        <b/>
        <sz val="16"/>
        <rFont val="Arial"/>
        <family val="2"/>
      </rPr>
      <t>Press "Test Extractor" to begin output test.</t>
    </r>
  </si>
  <si>
    <r>
      <rPr>
        <b/>
        <u/>
        <sz val="14"/>
        <color rgb="FFFF0000"/>
        <rFont val="Arial"/>
        <family val="2"/>
      </rPr>
      <t xml:space="preserve">NOTICE: ALL FLOATING OUTPUTS ARE NEARLY IDENTICAL IN SETUP ON ATE LOAD.
</t>
    </r>
    <r>
      <rPr>
        <b/>
        <u/>
        <sz val="12"/>
        <rFont val="Arial"/>
        <family val="2"/>
      </rPr>
      <t xml:space="preserve">
Please ensure the following instructions are executed:
</t>
    </r>
    <r>
      <rPr>
        <b/>
        <sz val="12"/>
        <rFont val="Arial"/>
        <family val="2"/>
      </rPr>
      <t xml:space="preserve">Patch lead from FIL LO to FIL LO
Patch lead from FIL HIGH to FIL HIGH
Patch lead from SUPPRESSOR to SUPPRESSOR
Coupler to SUPPRESSOR coupler
Rotary switch to </t>
    </r>
    <r>
      <rPr>
        <b/>
        <sz val="12"/>
        <color rgb="FFCC66FF"/>
        <rFont val="Arial"/>
        <family val="2"/>
      </rPr>
      <t>Supp</t>
    </r>
    <r>
      <rPr>
        <b/>
        <sz val="12"/>
        <rFont val="Arial"/>
        <family val="2"/>
      </rPr>
      <t xml:space="preserve">
Lens 1 lead to Lens 1 OP on UUT
Lens 2 lead to Lens 2 OP on UUT
</t>
    </r>
    <r>
      <rPr>
        <b/>
        <sz val="16"/>
        <color rgb="FFFF0000"/>
        <rFont val="Arial"/>
        <family val="2"/>
      </rPr>
      <t xml:space="preserve">PLEASE REMOVE BUNG FROM EXTRACTOR OUTPUT AND CONNECT EXTRACTOR LEAD FROM EXTRACTOR LOAD
</t>
    </r>
    <r>
      <rPr>
        <b/>
        <sz val="16"/>
        <rFont val="Arial"/>
        <family val="2"/>
      </rPr>
      <t>Press "Test Suppressor" to begin output test.</t>
    </r>
    <r>
      <rPr>
        <sz val="10"/>
        <rFont val="Arial"/>
        <family val="2"/>
      </rPr>
      <t xml:space="preserve">
</t>
    </r>
  </si>
  <si>
    <r>
      <rPr>
        <b/>
        <u/>
        <sz val="14"/>
        <color rgb="FFFF0000"/>
        <rFont val="Arial"/>
        <family val="2"/>
      </rPr>
      <t xml:space="preserve">NOTICE: ALL FLOATING OUTPUTS ARE NEARLY IDENTICAL IN SETUP ON ATE LOAD.
</t>
    </r>
    <r>
      <rPr>
        <b/>
        <u/>
        <sz val="12"/>
        <rFont val="Arial"/>
        <family val="2"/>
      </rPr>
      <t xml:space="preserve">
Please ensure the following instructions are executed:
</t>
    </r>
    <r>
      <rPr>
        <b/>
        <sz val="12"/>
        <rFont val="Arial"/>
        <family val="2"/>
      </rPr>
      <t xml:space="preserve">Patch lead from FIL LO to FIL LO
Patch lead from FIL HIGH to FIL HIGH
Patch lead from SUPPRESSOR to SUPPRESSOR
Coupler to SUPPRESSOR coupler
</t>
    </r>
    <r>
      <rPr>
        <b/>
        <sz val="12"/>
        <color rgb="FFFF0000"/>
        <rFont val="Arial"/>
        <family val="2"/>
      </rPr>
      <t>ENSURE FILAMENT SWITCH IS FLICKED TO FILAMENT</t>
    </r>
    <r>
      <rPr>
        <b/>
        <sz val="12"/>
        <rFont val="Arial"/>
        <family val="2"/>
      </rPr>
      <t xml:space="preserve">
Lens 1 lead to Lens 1 OP on UUT
Lens 2 lead to Lens 2 OP on UUT
</t>
    </r>
    <r>
      <rPr>
        <b/>
        <sz val="16"/>
        <color rgb="FFFF0000"/>
        <rFont val="Arial"/>
        <family val="2"/>
      </rPr>
      <t xml:space="preserve">PLEASE REMOVE BUNG FROM EXTRACTOR OUTPUT AND CONNECT EXTRACTOR LEAD FROM EXTRACTOR LOAD
</t>
    </r>
    <r>
      <rPr>
        <sz val="10"/>
        <rFont val="Arial"/>
        <family val="2"/>
      </rPr>
      <t xml:space="preserve">
</t>
    </r>
    <r>
      <rPr>
        <b/>
        <sz val="18"/>
        <rFont val="Arial"/>
        <family val="2"/>
      </rPr>
      <t>Press "Test Filament" to begin output test.</t>
    </r>
  </si>
  <si>
    <t>Lens 1 HF</t>
  </si>
  <si>
    <t>Lens 1 LF</t>
  </si>
  <si>
    <t>Lens 2 HF</t>
  </si>
  <si>
    <t>Lens 2 LF</t>
  </si>
  <si>
    <t>Acc HF</t>
  </si>
  <si>
    <t>Acc LF</t>
  </si>
  <si>
    <t>Ext HF</t>
  </si>
  <si>
    <t>Ext LF</t>
  </si>
  <si>
    <t>Supp HF</t>
  </si>
  <si>
    <t>Supp LF</t>
  </si>
  <si>
    <t>MEASUREMENT:MEAS1:VALUE?</t>
  </si>
  <si>
    <t>ACQUIRE:STATE 0</t>
  </si>
  <si>
    <t>Run/Stop Osc</t>
  </si>
  <si>
    <t>Load Scope Settings (Acc 1 HF)</t>
  </si>
  <si>
    <t>Load Scope Settings (Acc 1 LF)</t>
  </si>
  <si>
    <t>Load Scope Settings (Ext 1 HF)</t>
  </si>
  <si>
    <t>Load Scope Settings (Ext 1 LF)</t>
  </si>
  <si>
    <t>Load Scope Settings (Sup 1 HF)</t>
  </si>
  <si>
    <t>Load Scope Settings (Sup 1 LF)</t>
  </si>
  <si>
    <t>L2 Ripple Raw</t>
  </si>
  <si>
    <t>Also that Load IMon Rotary Switch is Set to LENS 1
ENSURE A BUNG HAS BEEN FITTED TO THE EXTRACTOR OUTPUT TO PREVENT ARCING.</t>
  </si>
  <si>
    <t>Make sure Load IMon Rotary Switch is Set to LENS 2
ENSURE A BUNG HAS BEEN FITTED TO THE EXTRACTOR OUTPUT TO PREVENT ARCING.</t>
  </si>
  <si>
    <t>Make sure Load IMon Rotary Switch is Set to ACCL
ENSURE A BUNG HAS BEEN FITTED TO THE EXTRACTOR OUTPUT TO PREVENT ARCING.</t>
  </si>
  <si>
    <t>Make sure Load IMon Rotary Switch is Set to EXT
ENSURE A BUNG HAS BEEN FITTED TO THE EXTRACTOR OUTPUT TO PREVENT ARCING.</t>
  </si>
  <si>
    <t>Message</t>
  </si>
  <si>
    <t>tblMainDiags</t>
  </si>
  <si>
    <t>Image Name (In Excel)</t>
  </si>
  <si>
    <t>Main Diagram</t>
  </si>
  <si>
    <t>Daq Wiring</t>
  </si>
  <si>
    <t>14,15</t>
  </si>
  <si>
    <t>Isolate Supressor &amp; Ground Filament</t>
  </si>
  <si>
    <t>8,14,15</t>
  </si>
  <si>
    <t>9,14,15</t>
  </si>
  <si>
    <t>10,14,15</t>
  </si>
  <si>
    <t>EXT Ripple Raw</t>
  </si>
  <si>
    <t>Current Error Low Load</t>
  </si>
  <si>
    <t>12,15</t>
  </si>
  <si>
    <t>13,15</t>
  </si>
  <si>
    <t>Ground Fil</t>
  </si>
  <si>
    <t>Make sure Load IMon Rotary Switch is Set to SUPPR.</t>
  </si>
  <si>
    <t>Current Limit Pos</t>
  </si>
  <si>
    <t>Current Limit Neg</t>
  </si>
  <si>
    <t>Sup Current Limit Pos (uA)</t>
  </si>
  <si>
    <t>Sup Current Limit Neg (uA)</t>
  </si>
  <si>
    <t>734|FLOAT|MON12</t>
  </si>
  <si>
    <t>SUP Ripple Raw</t>
  </si>
  <si>
    <t>15,16</t>
  </si>
  <si>
    <t>Current Monitor Error mA</t>
  </si>
  <si>
    <t>Voltage Monitor Error V</t>
  </si>
  <si>
    <t>FILAMENT SHUNT (734)</t>
  </si>
  <si>
    <t>FILAMENT SHUNT (FIBEX)</t>
  </si>
  <si>
    <t>DMM1 Voltage (With Shunt Scaling)</t>
  </si>
  <si>
    <t>Black</t>
  </si>
  <si>
    <t>Standard</t>
  </si>
  <si>
    <t>ACC Vout (V)</t>
  </si>
  <si>
    <t>ACC Vout minimum V (V)</t>
  </si>
  <si>
    <t>ACC Ripple Raw</t>
  </si>
  <si>
    <t>Read ACC Voltage Monitor</t>
  </si>
  <si>
    <t>ACC Current Limit (uA)</t>
  </si>
  <si>
    <t>TBS2000B OSCILLOSCOPE
10X SCOPE PROBE
SCOPE PROBE TO BNC ADAPTER
20880 CAP COUPLER
21504 EASYDAQ (SEE DIAGRAM)
KEITHLEY 2002 MULTIMETER /W SCANNER CARD
KEITHLEY 6500 DMM (CURRENT MEASUREMENT)
GENERIC USB HUB
RS232 TO USB HUB
20702 CAN TO OPTO CONVERTER
FIB RS232 INTERLOCK OVERRIDE
240V MAINS LEAD
20741 LOAD
47792 FIB/734 GUI</t>
  </si>
  <si>
    <t>Initial</t>
  </si>
  <si>
    <r>
      <rPr>
        <b/>
        <sz val="16"/>
        <color rgb="FFFF0000"/>
        <rFont val="Arial"/>
        <family val="2"/>
      </rPr>
      <t>PLEASE ENSURE UUT HAS BEEN TESTED UNDER 80103 SAFTEY TEST AND PASSED, THIS TEST MUST BE COMPLETED FIRST IN ORDER TO CONTINUE.</t>
    </r>
    <r>
      <rPr>
        <sz val="11"/>
        <rFont val="Arial"/>
        <family val="2"/>
      </rPr>
      <t xml:space="preserve">
</t>
    </r>
    <r>
      <rPr>
        <b/>
        <sz val="11"/>
        <rFont val="Arial"/>
        <family val="2"/>
      </rPr>
      <t>Before testing, please carry out the saftey test described in 80103. Following its completion, please press the button to the right to verify the result.</t>
    </r>
    <r>
      <rPr>
        <sz val="11"/>
        <rFont val="Arial"/>
        <family val="2"/>
      </rPr>
      <t xml:space="preserve">
</t>
    </r>
  </si>
  <si>
    <t>Using the Cursor Function To Remove Ticks, Please Measure Waveform Ripple (mV).</t>
  </si>
  <si>
    <r>
      <rPr>
        <b/>
        <u/>
        <sz val="12"/>
        <rFont val="Arial"/>
        <family val="2"/>
      </rPr>
      <t xml:space="preserve">Please ensure the following instructions are executed:
</t>
    </r>
    <r>
      <rPr>
        <sz val="10"/>
        <rFont val="Arial"/>
        <family val="2"/>
      </rPr>
      <t xml:space="preserve">
</t>
    </r>
    <r>
      <rPr>
        <b/>
        <sz val="10"/>
        <rFont val="Arial"/>
        <family val="2"/>
      </rPr>
      <t xml:space="preserve">Turn rotary switch to "LENS 1"
Ensure CH1 on the Oscilloscpe is connected to cap coupler via BNC
connect cap coupler lead to "COUPLER" on Lens 1 load (also earth to stud)
Ensure "FIL LOW" is connected to "ACCELERATOR" HV
Ensure both "INPUT" sockets are connected to UUT via their bespoke connectors
</t>
    </r>
    <r>
      <rPr>
        <b/>
        <sz val="16"/>
        <color rgb="FFFF0000"/>
        <rFont val="Arial"/>
        <family val="2"/>
      </rPr>
      <t xml:space="preserve">
IMPORTANT: Ensure a bung has been fitted in place of Extractor lead on UUT, failing to do so will result in arcing on test
</t>
    </r>
    <r>
      <rPr>
        <b/>
        <sz val="16"/>
        <color theme="1"/>
        <rFont val="Arial"/>
        <family val="2"/>
      </rPr>
      <t>Press "Test Lens 1" to begin output test.</t>
    </r>
    <r>
      <rPr>
        <sz val="16"/>
        <rFont val="Arial"/>
        <family val="2"/>
      </rPr>
      <t xml:space="preserve">
</t>
    </r>
  </si>
  <si>
    <t>\\shvukfs2\Eng\FIB Series\FIB35P_734 (FEI)\Test Equipment\FIB35P_734 SSATS\Final Test\Scope_Settings\82097_Lens1_HF.txt</t>
  </si>
  <si>
    <t>\\shvukfs2\Eng\FIB Series\FIB35P_734 (FEI)\Test Equipment\FIB35P_734 SSATS\Final Test\Scope_Settings\82097_Lens1_LF.txt</t>
  </si>
  <si>
    <t>\\shvukfs2\Eng\FIB Series\FIB35P_734 (FEI)\Test Equipment\FIB35P_734 SSATS\Final Test\Scope_Settings\82097_Lens2_HF.txt</t>
  </si>
  <si>
    <t>\\shvukfs2\Eng\FIB Series\FIB35P_734 (FEI)\Test Equipment\FIB35P_734 SSATS\Final Test\Scope_Settings\82097_Lens2_LF.txt</t>
  </si>
  <si>
    <t>\\shvukfs2\Eng\FIB Series\FIB35P_734 (FEI)\Test Equipment\FIB35P_734 SSATS\Final Test\Scope_Settings\82097_Acc_HF.txt</t>
  </si>
  <si>
    <t>\\shvukfs2\Eng\FIB Series\FIB35P_734 (FEI)\Test Equipment\FIB35P_734 SSATS\Final Test\Scope_Settings\82097_Acc_LF.txt</t>
  </si>
  <si>
    <t>\\shvukfs2\Eng\FIB Series\FIB35P_734 (FEI)\Test Equipment\FIB35P_734 SSATS\Final Test\Scope_Settings\82097_Ext_HF.txt</t>
  </si>
  <si>
    <t>\\shvukfs2\Eng\FIB Series\FIB35P_734 (FEI)\Test Equipment\FIB35P_734 SSATS\Final Test\Scope_Settings\82097_Ext_LF.txt</t>
  </si>
  <si>
    <t>\\shvukfs2\Eng\FIB Series\FIB35P_734 (FEI)\Test Equipment\FIB35P_734 SSATS\Final Test\Scope_Settings\82097_Supp_HF.txt</t>
  </si>
  <si>
    <t>\\shvukfs2\Eng\FIB Series\FIB35P_734 (FEI)\Test Equipment\FIB35P_734 SSATS\Final Test\Scope_Settings\82097_Supp_LF.txt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</si>
</sst>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 #,##0_-;_-* &quot;-&quot;_-;_-@_-"/>
    <numFmt numFmtId="44" formatCode="_-&quot;£&quot;* #,##0.00_-;\-&quot;£&quot;* #,##0.00_-;_-&quot;£&quot;* &quot;-&quot;??_-;_-@_-"/>
    <numFmt numFmtId="43" formatCode="_-* #,##0.00_-;\-* #,##0.00_-;_-* &quot;-&quot;??_-;_-@_-"/>
    <numFmt numFmtId="164" formatCode="_(* #,##0_);_(* \(#,##0\);_(* &quot;-&quot;_);_(@_)"/>
    <numFmt numFmtId="165" formatCode="_(* #,##0.00_);_(* \(#,##0.00\);_(* &quot;-&quot;??_);_(@_)"/>
    <numFmt numFmtId="166" formatCode="_(&quot;£&quot;* #,##0.00_);_(&quot;£&quot;* \(#,##0.00\);_(&quot;£&quot;* &quot;-&quot;??_);_(@_)"/>
    <numFmt numFmtId="167" formatCode="dd/mm/yy;@"/>
    <numFmt numFmtId="168" formatCode="0E+00"/>
    <numFmt numFmtId="169" formatCode="0.0000"/>
    <numFmt numFmtId="170" formatCode="0.0"/>
  </numFmts>
  <fonts count="77">
    <font>
      <sz val="11"/>
      <color theme="1"/>
      <name val="Calibri"/>
      <family val="2"/>
      <scheme val="minor"/>
    </font>
    <font>
      <sz val="11"/>
      <color theme="1"/>
      <name val="Calibri"/>
      <family val="2"/>
      <scheme val="minor"/>
    </font>
    <font>
      <sz val="10"/>
      <name val="Arial"/>
      <family val="2"/>
    </font>
    <font>
      <b/>
      <sz val="12"/>
      <name val="Arial"/>
      <family val="2"/>
    </font>
    <font>
      <b/>
      <sz val="10"/>
      <name val="Arial"/>
      <family val="2"/>
    </font>
    <font>
      <sz val="10"/>
      <color theme="1"/>
      <name val="Arial"/>
      <family val="2"/>
    </font>
    <font>
      <sz val="20"/>
      <name val="Arial"/>
      <family val="2"/>
    </font>
    <font>
      <b/>
      <sz val="11"/>
      <name val="Arial"/>
      <family val="2"/>
    </font>
    <font>
      <sz val="10"/>
      <color rgb="FF000000"/>
      <name val="Arial"/>
      <family val="2"/>
    </font>
    <font>
      <b/>
      <sz val="11"/>
      <color rgb="FFFA7D00"/>
      <name val="Calibri"/>
      <family val="2"/>
      <scheme val="minor"/>
    </font>
    <font>
      <u/>
      <sz val="10"/>
      <color indexed="12"/>
      <name val="Arial"/>
      <family val="2"/>
    </font>
    <font>
      <sz val="8"/>
      <name val="Calibri"/>
      <family val="2"/>
      <scheme val="minor"/>
    </font>
    <font>
      <i/>
      <sz val="11"/>
      <color theme="1"/>
      <name val="Calibri"/>
      <family val="2"/>
      <scheme val="minor"/>
    </font>
    <font>
      <u/>
      <sz val="11"/>
      <color theme="10"/>
      <name val="Calibri"/>
      <family val="2"/>
      <scheme val="minor"/>
    </font>
    <font>
      <b/>
      <sz val="11"/>
      <color theme="1"/>
      <name val="Arial"/>
      <family val="2"/>
    </font>
    <font>
      <b/>
      <sz val="11"/>
      <color theme="0"/>
      <name val="Calibri"/>
      <family val="2"/>
      <scheme val="minor"/>
    </font>
    <font>
      <b/>
      <sz val="11"/>
      <name val="Calibri"/>
      <family val="2"/>
      <scheme val="minor"/>
    </font>
    <font>
      <sz val="11"/>
      <name val="Calibri"/>
      <family val="2"/>
      <scheme val="minor"/>
    </font>
    <font>
      <b/>
      <sz val="11"/>
      <color theme="0"/>
      <name val="Arial"/>
      <family val="2"/>
    </font>
    <font>
      <b/>
      <sz val="14"/>
      <color theme="0"/>
      <name val="Arial"/>
      <family val="2"/>
    </font>
    <font>
      <b/>
      <sz val="11"/>
      <color theme="1"/>
      <name val="Calibri"/>
      <family val="2"/>
      <scheme val="minor"/>
    </font>
    <font>
      <b/>
      <sz val="10"/>
      <color rgb="FFE26B0A"/>
      <name val="Arial"/>
      <family val="2"/>
    </font>
    <font>
      <sz val="11"/>
      <color rgb="FF000000"/>
      <name val="Calibri"/>
      <family val="2"/>
      <scheme val="minor"/>
    </font>
    <font>
      <b/>
      <sz val="11"/>
      <color theme="7"/>
      <name val="Calibri"/>
      <family val="2"/>
      <scheme val="minor"/>
    </font>
    <font>
      <i/>
      <sz val="11"/>
      <color rgb="FFFF0000"/>
      <name val="Calibri"/>
      <family val="2"/>
      <scheme val="minor"/>
    </font>
    <font>
      <sz val="11"/>
      <color theme="0"/>
      <name val="Calibri"/>
      <family val="2"/>
      <scheme val="minor"/>
    </font>
    <font>
      <b/>
      <sz val="10"/>
      <color rgb="FF7030A0"/>
      <name val="Arial"/>
      <family val="2"/>
    </font>
    <font>
      <b/>
      <sz val="10"/>
      <color rgb="FFFF0000"/>
      <name val="Arial"/>
      <family val="2"/>
    </font>
    <font>
      <b/>
      <i/>
      <sz val="10"/>
      <color rgb="FFFF0000"/>
      <name val="Arial"/>
      <family val="2"/>
    </font>
    <font>
      <b/>
      <sz val="10"/>
      <color theme="1"/>
      <name val="Arial"/>
      <family val="2"/>
    </font>
    <font>
      <b/>
      <sz val="10"/>
      <color theme="0"/>
      <name val="Arial"/>
      <family val="2"/>
    </font>
    <font>
      <b/>
      <sz val="14"/>
      <name val="Arial"/>
      <family val="2"/>
    </font>
    <font>
      <b/>
      <sz val="18"/>
      <name val="Arial"/>
      <family val="2"/>
    </font>
    <font>
      <b/>
      <sz val="14"/>
      <color rgb="FFE26B0A"/>
      <name val="Arial"/>
      <family val="2"/>
    </font>
    <font>
      <b/>
      <sz val="18"/>
      <color theme="1"/>
      <name val="Arial"/>
      <family val="2"/>
    </font>
    <font>
      <b/>
      <sz val="16"/>
      <color theme="1"/>
      <name val="Arial"/>
      <family val="2"/>
    </font>
    <font>
      <sz val="10"/>
      <color theme="1"/>
      <name val="Calibri"/>
      <family val="2"/>
      <scheme val="minor"/>
    </font>
    <font>
      <b/>
      <sz val="11"/>
      <color rgb="FF00B050"/>
      <name val="Calibri"/>
      <family val="2"/>
      <scheme val="minor"/>
    </font>
    <font>
      <b/>
      <sz val="16"/>
      <name val="Arial"/>
      <family val="2"/>
    </font>
    <font>
      <sz val="10"/>
      <color theme="0" tint="-0.14999847407452621"/>
      <name val="Arial"/>
      <family val="2"/>
    </font>
    <font>
      <sz val="10"/>
      <color theme="0"/>
      <name val="Arial"/>
      <family val="2"/>
    </font>
    <font>
      <b/>
      <u/>
      <sz val="14"/>
      <color theme="1"/>
      <name val="Calibri"/>
      <family val="2"/>
      <scheme val="minor"/>
    </font>
    <font>
      <b/>
      <u/>
      <sz val="16"/>
      <color theme="1"/>
      <name val="Calibri"/>
      <family val="2"/>
      <scheme val="minor"/>
    </font>
    <font>
      <sz val="10"/>
      <color theme="1"/>
      <name val="Var(--ff-mono)"/>
    </font>
    <font>
      <u/>
      <sz val="11"/>
      <color theme="1"/>
      <name val="Calibri"/>
      <family val="2"/>
      <scheme val="minor"/>
    </font>
    <font>
      <sz val="16"/>
      <name val="Arial"/>
      <family val="2"/>
    </font>
    <font>
      <b/>
      <sz val="18"/>
      <color theme="0"/>
      <name val="Arial"/>
      <family val="2"/>
    </font>
    <font>
      <b/>
      <sz val="10"/>
      <color theme="1" tint="0.249977111117893"/>
      <name val="Arial"/>
      <family val="2"/>
    </font>
    <font>
      <b/>
      <sz val="11"/>
      <color theme="9" tint="-0.249977111117893"/>
      <name val="Calibri"/>
      <family val="2"/>
      <scheme val="minor"/>
    </font>
    <font>
      <sz val="10"/>
      <color theme="9" tint="-0.249977111117893"/>
      <name val="Arial"/>
      <family val="2"/>
    </font>
    <font>
      <sz val="11"/>
      <color rgb="FF00B050"/>
      <name val="Calibri"/>
      <family val="2"/>
      <scheme val="minor"/>
    </font>
    <font>
      <sz val="22"/>
      <name val="Arial"/>
      <family val="2"/>
    </font>
    <font>
      <b/>
      <u/>
      <sz val="12"/>
      <name val="Arial"/>
      <family val="2"/>
    </font>
    <font>
      <b/>
      <sz val="16"/>
      <color rgb="FFFF0000"/>
      <name val="Arial"/>
      <family val="2"/>
    </font>
    <font>
      <b/>
      <sz val="16"/>
      <color theme="1"/>
      <name val="Calibri"/>
      <family val="2"/>
      <scheme val="minor"/>
    </font>
    <font>
      <sz val="11"/>
      <color rgb="FFFD63EB"/>
      <name val="Calibri"/>
      <family val="2"/>
      <scheme val="minor"/>
    </font>
    <font>
      <sz val="11"/>
      <color rgb="FF9900FF"/>
      <name val="Calibri"/>
      <family val="2"/>
      <scheme val="minor"/>
    </font>
    <font>
      <b/>
      <sz val="11"/>
      <color rgb="FF000000"/>
      <name val="Calibri"/>
      <family val="2"/>
      <scheme val="minor"/>
    </font>
    <font>
      <b/>
      <sz val="11"/>
      <color rgb="FFFF0000"/>
      <name val="Calibri"/>
      <family val="2"/>
      <scheme val="minor"/>
    </font>
    <font>
      <b/>
      <sz val="10"/>
      <color rgb="FFF949FD"/>
      <name val="Arial"/>
      <family val="2"/>
    </font>
    <font>
      <b/>
      <sz val="11"/>
      <color rgb="FFFD63EB"/>
      <name val="Calibri"/>
      <family val="2"/>
      <scheme val="minor"/>
    </font>
    <font>
      <b/>
      <sz val="10"/>
      <color rgb="FF9900FF"/>
      <name val="Arial"/>
      <family val="2"/>
    </font>
    <font>
      <b/>
      <sz val="11"/>
      <color rgb="FF9900FF"/>
      <name val="Calibri"/>
      <family val="2"/>
      <scheme val="minor"/>
    </font>
    <font>
      <b/>
      <sz val="11"/>
      <color rgb="FF1DE377"/>
      <name val="Calibri"/>
      <family val="2"/>
      <scheme val="minor"/>
    </font>
    <font>
      <sz val="11"/>
      <color rgb="FF000000"/>
      <name val="Calibri"/>
      <family val="2"/>
    </font>
    <font>
      <sz val="11"/>
      <name val="Arial"/>
      <family val="2"/>
    </font>
    <font>
      <u/>
      <sz val="10"/>
      <color theme="10"/>
      <name val="Arial"/>
      <family val="2"/>
    </font>
    <font>
      <b/>
      <sz val="12"/>
      <color rgb="FFCC66FF"/>
      <name val="Arial"/>
      <family val="2"/>
    </font>
    <font>
      <b/>
      <sz val="12"/>
      <color rgb="FFF2D072"/>
      <name val="Arial"/>
      <family val="2"/>
    </font>
    <font>
      <b/>
      <u/>
      <sz val="14"/>
      <color rgb="FFFF0000"/>
      <name val="Arial"/>
      <family val="2"/>
    </font>
    <font>
      <b/>
      <sz val="12"/>
      <color rgb="FFFF0000"/>
      <name val="Arial"/>
      <family val="2"/>
    </font>
    <font>
      <sz val="11"/>
      <color rgb="FF1DE377"/>
      <name val="Calibri"/>
      <family val="2"/>
      <scheme val="minor"/>
    </font>
    <font>
      <b/>
      <sz val="11"/>
      <color rgb="FF00FFFF"/>
      <name val="Calibri"/>
      <family val="2"/>
      <scheme val="minor"/>
    </font>
    <font>
      <b/>
      <sz val="10"/>
      <color rgb="FF1DE377"/>
      <name val="Arial"/>
      <family val="2"/>
    </font>
    <font>
      <b/>
      <sz val="12"/>
      <color theme="1"/>
      <name val="Calibri"/>
      <family val="2"/>
      <scheme val="minor"/>
    </font>
    <font>
      <b/>
      <sz val="12"/>
      <color rgb="FFE26B0A"/>
      <name val="Arial"/>
      <family val="2"/>
    </font>
    <font>
      <b/>
      <sz val="18"/>
      <color rgb="FF000000"/>
      <name val="Arial"/>
      <family val="2"/>
    </font>
  </fonts>
  <fills count="30">
    <fill>
      <patternFill patternType="none"/>
    </fill>
    <fill>
      <patternFill patternType="gray125"/>
    </fill>
    <fill>
      <patternFill patternType="solid">
        <fgColor indexed="42"/>
        <bgColor indexed="64"/>
      </patternFill>
    </fill>
    <fill>
      <patternFill patternType="solid">
        <fgColor theme="3" tint="0.59996337778862885"/>
        <bgColor indexed="64"/>
      </patternFill>
    </fill>
    <fill>
      <patternFill patternType="solid">
        <fgColor theme="0" tint="-0.14999847407452621"/>
        <bgColor indexed="64"/>
      </patternFill>
    </fill>
    <fill>
      <patternFill patternType="solid">
        <fgColor rgb="FFCCFFCC"/>
        <bgColor indexed="64"/>
      </patternFill>
    </fill>
    <fill>
      <patternFill patternType="solid">
        <fgColor theme="0" tint="-0.14996795556505021"/>
        <bgColor indexed="64"/>
      </patternFill>
    </fill>
    <fill>
      <patternFill patternType="solid">
        <fgColor rgb="FFCCFFFF"/>
        <bgColor indexed="64"/>
      </patternFill>
    </fill>
    <fill>
      <patternFill patternType="solid">
        <fgColor theme="0"/>
        <bgColor indexed="64"/>
      </patternFill>
    </fill>
    <fill>
      <patternFill patternType="solid">
        <fgColor theme="3" tint="0.59999389629810485"/>
        <bgColor indexed="64"/>
      </patternFill>
    </fill>
    <fill>
      <patternFill patternType="solid">
        <fgColor rgb="FFF2F2F2"/>
      </patternFill>
    </fill>
    <fill>
      <patternFill patternType="solid">
        <fgColor theme="6" tint="0.39997558519241921"/>
        <bgColor indexed="64"/>
      </patternFill>
    </fill>
    <fill>
      <patternFill patternType="solid">
        <fgColor rgb="FF0070C0"/>
        <bgColor indexed="64"/>
      </patternFill>
    </fill>
    <fill>
      <patternFill patternType="solid">
        <fgColor rgb="FF55F240"/>
        <bgColor indexed="64"/>
      </patternFill>
    </fill>
    <fill>
      <patternFill patternType="solid">
        <fgColor theme="1"/>
        <bgColor theme="1"/>
      </patternFill>
    </fill>
    <fill>
      <patternFill patternType="solid">
        <fgColor theme="0" tint="-0.34998626667073579"/>
        <bgColor indexed="64"/>
      </patternFill>
    </fill>
    <fill>
      <patternFill patternType="solid">
        <fgColor rgb="FFD9D9D9"/>
        <bgColor rgb="FFD9D9D9"/>
      </patternFill>
    </fill>
    <fill>
      <patternFill patternType="solid">
        <fgColor theme="6" tint="0.59999389629810485"/>
        <bgColor indexed="64"/>
      </patternFill>
    </fill>
    <fill>
      <patternFill patternType="solid">
        <fgColor rgb="FFFA6A6A"/>
        <bgColor rgb="FF8DB4E2"/>
      </patternFill>
    </fill>
    <fill>
      <patternFill patternType="solid">
        <fgColor rgb="FFFA6A6A"/>
        <bgColor indexed="64"/>
      </patternFill>
    </fill>
    <fill>
      <patternFill patternType="solid">
        <fgColor theme="5" tint="0.59996337778862885"/>
        <bgColor indexed="64"/>
      </patternFill>
    </fill>
    <fill>
      <patternFill patternType="solid">
        <fgColor theme="0"/>
        <bgColor rgb="FFCCFFCC"/>
      </patternFill>
    </fill>
    <fill>
      <patternFill patternType="solid">
        <fgColor rgb="FF264D9A"/>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rgb="FFFF8119"/>
        <bgColor indexed="64"/>
      </patternFill>
    </fill>
    <fill>
      <patternFill patternType="solid">
        <fgColor rgb="FF00FFFF"/>
        <bgColor indexed="64"/>
      </patternFill>
    </fill>
    <fill>
      <patternFill patternType="solid">
        <fgColor rgb="FFCC66FF"/>
        <bgColor indexed="64"/>
      </patternFill>
    </fill>
    <fill>
      <patternFill patternType="solid">
        <fgColor rgb="FFF2D072"/>
        <bgColor indexed="64"/>
      </patternFill>
    </fill>
    <fill>
      <patternFill patternType="solid">
        <fgColor indexed="9"/>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style="hair">
        <color indexed="64"/>
      </left>
      <right style="hair">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9"/>
      </left>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auto="1"/>
      </left>
      <right style="thin">
        <color auto="1"/>
      </right>
      <top style="medium">
        <color auto="1"/>
      </top>
      <bottom style="thin">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thick">
        <color indexed="64"/>
      </left>
      <right style="thick">
        <color indexed="64"/>
      </right>
      <top style="thin">
        <color indexed="64"/>
      </top>
      <bottom style="thin">
        <color indexed="64"/>
      </bottom>
      <diagonal/>
    </border>
    <border>
      <left style="medium">
        <color theme="1"/>
      </left>
      <right style="medium">
        <color theme="1"/>
      </right>
      <top style="medium">
        <color theme="1"/>
      </top>
      <bottom style="medium">
        <color theme="1"/>
      </bottom>
      <diagonal/>
    </border>
    <border>
      <left style="medium">
        <color rgb="FF7030A0"/>
      </left>
      <right style="medium">
        <color rgb="FF7030A0"/>
      </right>
      <top style="medium">
        <color rgb="FF7030A0"/>
      </top>
      <bottom style="medium">
        <color rgb="FF7030A0"/>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medium">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ck">
        <color indexed="64"/>
      </right>
      <top style="medium">
        <color indexed="64"/>
      </top>
      <bottom/>
      <diagonal/>
    </border>
    <border>
      <left/>
      <right style="thick">
        <color indexed="64"/>
      </right>
      <top style="medium">
        <color indexed="64"/>
      </top>
      <bottom/>
      <diagonal/>
    </border>
    <border>
      <left style="medium">
        <color indexed="64"/>
      </left>
      <right style="hair">
        <color indexed="64"/>
      </right>
      <top style="medium">
        <color indexed="64"/>
      </top>
      <bottom/>
      <diagonal/>
    </border>
    <border>
      <left style="medium">
        <color indexed="64"/>
      </left>
      <right style="hair">
        <color indexed="64"/>
      </right>
      <top/>
      <bottom style="medium">
        <color indexed="64"/>
      </bottom>
      <diagonal/>
    </border>
    <border>
      <left style="hair">
        <color indexed="64"/>
      </left>
      <right style="hair">
        <color indexed="64"/>
      </right>
      <top style="medium">
        <color indexed="64"/>
      </top>
      <bottom/>
      <diagonal/>
    </border>
    <border>
      <left style="hair">
        <color indexed="64"/>
      </left>
      <right style="hair">
        <color indexed="64"/>
      </right>
      <top/>
      <bottom style="medium">
        <color indexed="64"/>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style="medium">
        <color theme="9" tint="-0.249977111117893"/>
      </left>
      <right style="medium">
        <color theme="9" tint="-0.249977111117893"/>
      </right>
      <top style="medium">
        <color theme="9" tint="-0.249977111117893"/>
      </top>
      <bottom style="medium">
        <color theme="9" tint="-0.249977111117893"/>
      </bottom>
      <diagonal/>
    </border>
    <border>
      <left style="medium">
        <color theme="9" tint="-0.249977111117893"/>
      </left>
      <right/>
      <top style="medium">
        <color theme="9" tint="-0.249977111117893"/>
      </top>
      <bottom style="medium">
        <color theme="9" tint="-0.249977111117893"/>
      </bottom>
      <diagonal/>
    </border>
    <border>
      <left style="medium">
        <color indexed="64"/>
      </left>
      <right style="thick">
        <color theme="1"/>
      </right>
      <top style="thin">
        <color indexed="64"/>
      </top>
      <bottom style="thin">
        <color indexed="64"/>
      </bottom>
      <diagonal/>
    </border>
    <border>
      <left style="thick">
        <color theme="1"/>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top style="thin">
        <color theme="6" tint="0.39997558519241921"/>
      </top>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9900FF"/>
      </left>
      <right style="medium">
        <color rgb="FF9900FF"/>
      </right>
      <top style="medium">
        <color rgb="FF9900FF"/>
      </top>
      <bottom style="medium">
        <color rgb="FF9900FF"/>
      </bottom>
      <diagonal/>
    </border>
    <border>
      <left style="medium">
        <color rgb="FFFF0000"/>
      </left>
      <right style="medium">
        <color rgb="FFFF0000"/>
      </right>
      <top style="medium">
        <color rgb="FFFF0000"/>
      </top>
      <bottom style="medium">
        <color rgb="FFFF0000"/>
      </bottom>
      <diagonal/>
    </border>
    <border>
      <left style="thick">
        <color indexed="64"/>
      </left>
      <right style="medium">
        <color indexed="64"/>
      </right>
      <top style="thin">
        <color indexed="64"/>
      </top>
      <bottom style="thin">
        <color indexed="64"/>
      </bottom>
      <diagonal/>
    </border>
    <border>
      <left style="medium">
        <color indexed="64"/>
      </left>
      <right/>
      <top style="thin">
        <color theme="0"/>
      </top>
      <bottom/>
      <diagonal/>
    </border>
    <border>
      <left/>
      <right/>
      <top style="thin">
        <color theme="0"/>
      </top>
      <bottom/>
      <diagonal/>
    </border>
    <border>
      <left/>
      <right style="medium">
        <color indexed="64"/>
      </right>
      <top style="thin">
        <color theme="0"/>
      </top>
      <bottom/>
      <diagonal/>
    </border>
    <border>
      <left style="thick">
        <color indexed="64"/>
      </left>
      <right/>
      <top style="thin">
        <color indexed="64"/>
      </top>
      <bottom style="thin">
        <color indexed="64"/>
      </bottom>
      <diagonal/>
    </border>
    <border>
      <left style="thick">
        <color theme="1"/>
      </left>
      <right style="thick">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s>
  <cellStyleXfs count="368">
    <xf numFmtId="0" fontId="0" fillId="0" borderId="0"/>
    <xf numFmtId="0" fontId="1" fillId="0" borderId="0"/>
    <xf numFmtId="0" fontId="2" fillId="6" borderId="22"/>
    <xf numFmtId="0" fontId="3" fillId="3" borderId="4"/>
    <xf numFmtId="0" fontId="2" fillId="0" borderId="0"/>
    <xf numFmtId="0" fontId="2" fillId="0" borderId="0"/>
    <xf numFmtId="0" fontId="1" fillId="0" borderId="0"/>
    <xf numFmtId="0" fontId="9" fillId="10" borderId="25" applyNumberFormat="0" applyAlignment="0" applyProtection="0"/>
    <xf numFmtId="0" fontId="1" fillId="0" borderId="0"/>
    <xf numFmtId="0" fontId="1" fillId="0" borderId="0"/>
    <xf numFmtId="0" fontId="2" fillId="0" borderId="0" applyNumberFormat="0" applyFill="0" applyBorder="0" applyProtection="0"/>
    <xf numFmtId="164" fontId="2" fillId="0" borderId="0" applyFont="0" applyFill="0" applyBorder="0" applyAlignment="0" applyProtection="0"/>
    <xf numFmtId="0" fontId="1" fillId="0" borderId="0"/>
    <xf numFmtId="0" fontId="2" fillId="0" borderId="0"/>
    <xf numFmtId="0" fontId="10" fillId="0" borderId="0" applyNumberFormat="0" applyFill="0" applyBorder="0" applyAlignment="0" applyProtection="0">
      <alignment vertical="top"/>
      <protection locked="0"/>
    </xf>
    <xf numFmtId="0" fontId="1" fillId="0" borderId="0"/>
    <xf numFmtId="164" fontId="2" fillId="0" borderId="0" applyFont="0" applyFill="0" applyBorder="0" applyAlignment="0" applyProtection="0"/>
    <xf numFmtId="0" fontId="1" fillId="0" borderId="0"/>
    <xf numFmtId="0" fontId="2" fillId="0" borderId="0"/>
    <xf numFmtId="0" fontId="1" fillId="0" borderId="0"/>
    <xf numFmtId="0" fontId="2" fillId="0" borderId="0" applyNumberFormat="0" applyFill="0" applyBorder="0" applyProtection="0"/>
    <xf numFmtId="164" fontId="2" fillId="0" borderId="0" applyFont="0" applyFill="0" applyBorder="0" applyAlignment="0" applyProtection="0"/>
    <xf numFmtId="0" fontId="1" fillId="0" borderId="0"/>
    <xf numFmtId="164" fontId="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13" fillId="0" borderId="0" applyNumberForma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1"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2" fillId="0" borderId="0"/>
    <xf numFmtId="0" fontId="2"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2" fillId="0" borderId="0"/>
    <xf numFmtId="165" fontId="1" fillId="0" borderId="0" applyFont="0" applyFill="0" applyBorder="0" applyAlignment="0" applyProtection="0"/>
    <xf numFmtId="0" fontId="66" fillId="0" borderId="0" applyNumberForma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cellStyleXfs>
  <cellXfs count="700">
    <xf numFmtId="0" fontId="0" fillId="0" borderId="0" xfId="0"/>
    <xf numFmtId="49" fontId="2" fillId="0" borderId="4" xfId="2" applyNumberFormat="1" applyFont="1" applyFill="1" applyBorder="1" applyAlignment="1" applyProtection="1">
      <alignment horizontal="center" vertical="center" wrapText="1"/>
    </xf>
    <xf numFmtId="0" fontId="2" fillId="0" borderId="5" xfId="2" applyFont="1" applyFill="1" applyBorder="1" applyAlignment="1" applyProtection="1">
      <alignment horizontal="center" vertical="center" wrapText="1"/>
    </xf>
    <xf numFmtId="0" fontId="2" fillId="0" borderId="4" xfId="2" applyFont="1" applyFill="1" applyBorder="1" applyAlignment="1" applyProtection="1">
      <alignment horizontal="center" vertical="center" wrapText="1"/>
    </xf>
    <xf numFmtId="0" fontId="2" fillId="0" borderId="9" xfId="3" applyFont="1" applyFill="1" applyBorder="1" applyAlignment="1" applyProtection="1">
      <alignment horizontal="center" vertical="center"/>
    </xf>
    <xf numFmtId="0" fontId="2" fillId="0" borderId="7" xfId="2" applyFont="1" applyFill="1" applyBorder="1" applyAlignment="1" applyProtection="1">
      <alignment horizontal="center" vertical="center" wrapText="1"/>
    </xf>
    <xf numFmtId="0" fontId="2" fillId="0" borderId="3" xfId="2" applyFont="1" applyFill="1" applyBorder="1" applyAlignment="1" applyProtection="1">
      <alignment horizontal="center" vertical="center"/>
    </xf>
    <xf numFmtId="49" fontId="2" fillId="0" borderId="2" xfId="2" applyNumberFormat="1" applyFont="1" applyFill="1" applyBorder="1" applyAlignment="1" applyProtection="1">
      <alignment horizontal="center" vertical="center"/>
    </xf>
    <xf numFmtId="49" fontId="2" fillId="0" borderId="8" xfId="2" applyNumberFormat="1" applyFont="1" applyFill="1" applyBorder="1" applyAlignment="1" applyProtection="1">
      <alignment horizontal="center" vertical="center"/>
    </xf>
    <xf numFmtId="0" fontId="2" fillId="0" borderId="9" xfId="2" applyFont="1" applyFill="1" applyBorder="1" applyAlignment="1" applyProtection="1">
      <alignment horizontal="center" vertical="center"/>
    </xf>
    <xf numFmtId="49" fontId="2" fillId="2" borderId="18" xfId="0" applyNumberFormat="1" applyFont="1" applyFill="1" applyBorder="1" applyAlignment="1" applyProtection="1">
      <alignment horizontal="center" vertical="center" wrapText="1"/>
      <protection locked="0"/>
    </xf>
    <xf numFmtId="0" fontId="0" fillId="0" borderId="0" xfId="0"/>
    <xf numFmtId="14" fontId="2" fillId="0" borderId="9" xfId="3" applyNumberFormat="1" applyFont="1" applyFill="1" applyBorder="1" applyAlignment="1" applyProtection="1">
      <alignment horizontal="center" vertical="center"/>
    </xf>
    <xf numFmtId="14" fontId="2" fillId="0" borderId="9" xfId="2" applyNumberFormat="1" applyFont="1" applyFill="1" applyBorder="1" applyAlignment="1" applyProtection="1">
      <alignment horizontal="center" vertical="center"/>
    </xf>
    <xf numFmtId="14" fontId="2" fillId="0" borderId="3" xfId="2" applyNumberFormat="1" applyFont="1" applyFill="1" applyBorder="1" applyAlignment="1" applyProtection="1">
      <alignment horizontal="center" vertical="center"/>
    </xf>
    <xf numFmtId="0" fontId="2" fillId="0" borderId="9" xfId="3" applyNumberFormat="1" applyFont="1" applyFill="1" applyBorder="1" applyAlignment="1" applyProtection="1">
      <alignment horizontal="center" vertical="center"/>
    </xf>
    <xf numFmtId="0" fontId="2" fillId="0" borderId="9" xfId="2" applyNumberFormat="1" applyFont="1" applyFill="1" applyBorder="1" applyAlignment="1" applyProtection="1">
      <alignment horizontal="center" vertical="center" wrapText="1"/>
    </xf>
    <xf numFmtId="49" fontId="2" fillId="0" borderId="18" xfId="0" applyNumberFormat="1" applyFont="1" applyFill="1" applyBorder="1" applyAlignment="1" applyProtection="1">
      <alignment horizontal="center" vertical="center" wrapText="1"/>
      <protection locked="0"/>
    </xf>
    <xf numFmtId="0" fontId="2" fillId="0" borderId="10" xfId="5" applyFont="1" applyBorder="1" applyAlignment="1">
      <alignment horizontal="center" vertical="center" wrapText="1"/>
    </xf>
    <xf numFmtId="14" fontId="2" fillId="0" borderId="10" xfId="5" applyNumberFormat="1" applyFont="1" applyBorder="1" applyAlignment="1">
      <alignment horizontal="center" vertical="center" wrapText="1"/>
    </xf>
    <xf numFmtId="0" fontId="2" fillId="0" borderId="0" xfId="0" applyFont="1" applyAlignment="1" applyProtection="1">
      <alignment horizontal="left" vertical="top"/>
    </xf>
    <xf numFmtId="0" fontId="2" fillId="0" borderId="0" xfId="0" applyFont="1" applyAlignment="1">
      <alignment horizontal="left" vertical="top"/>
    </xf>
    <xf numFmtId="0" fontId="2" fillId="0" borderId="0" xfId="0" applyFont="1" applyAlignment="1" applyProtection="1">
      <alignment horizontal="center" vertical="center"/>
    </xf>
    <xf numFmtId="0" fontId="0" fillId="0" borderId="0" xfId="0" applyAlignment="1">
      <alignment horizontal="left"/>
    </xf>
    <xf numFmtId="0" fontId="12" fillId="0" borderId="0" xfId="0" applyFont="1" applyAlignment="1">
      <alignment horizontal="left"/>
    </xf>
    <xf numFmtId="0" fontId="0" fillId="0" borderId="0" xfId="0" applyAlignment="1">
      <alignment horizontal="center"/>
    </xf>
    <xf numFmtId="0" fontId="0" fillId="0" borderId="0" xfId="0" applyAlignment="1">
      <alignment horizontal="center" vertical="center"/>
    </xf>
    <xf numFmtId="0" fontId="16" fillId="11" borderId="7" xfId="0" applyFont="1" applyFill="1" applyBorder="1" applyAlignment="1">
      <alignment horizontal="center"/>
    </xf>
    <xf numFmtId="0" fontId="17" fillId="11" borderId="5" xfId="0" applyFont="1" applyFill="1" applyBorder="1" applyAlignment="1">
      <alignment horizontal="left"/>
    </xf>
    <xf numFmtId="0" fontId="17" fillId="11" borderId="8" xfId="0" applyFont="1" applyFill="1" applyBorder="1"/>
    <xf numFmtId="0" fontId="0" fillId="0" borderId="0" xfId="0" applyNumberFormat="1" applyAlignment="1">
      <alignment horizontal="left"/>
    </xf>
    <xf numFmtId="0" fontId="0" fillId="0" borderId="0" xfId="0" applyNumberFormat="1" applyAlignment="1">
      <alignment horizontal="center" vertical="center"/>
    </xf>
    <xf numFmtId="0" fontId="0" fillId="0" borderId="0" xfId="0" applyAlignment="1">
      <alignment horizontal="left" vertical="center"/>
    </xf>
    <xf numFmtId="0" fontId="2" fillId="0" borderId="0" xfId="1" applyFont="1" applyAlignment="1" applyProtection="1">
      <alignment horizontal="center" vertical="center"/>
    </xf>
    <xf numFmtId="0" fontId="2" fillId="0" borderId="0" xfId="1" applyFont="1" applyAlignment="1" applyProtection="1">
      <alignment horizontal="center" vertical="center" wrapText="1"/>
    </xf>
    <xf numFmtId="49" fontId="2" fillId="0" borderId="0" xfId="1" applyNumberFormat="1" applyFont="1" applyAlignment="1" applyProtection="1">
      <alignment horizontal="center" vertical="center"/>
    </xf>
    <xf numFmtId="0" fontId="2" fillId="0" borderId="0" xfId="0" applyFont="1" applyAlignment="1" applyProtection="1">
      <alignment horizontal="center" vertical="center" wrapText="1"/>
    </xf>
    <xf numFmtId="49" fontId="2" fillId="0" borderId="0" xfId="0" applyNumberFormat="1" applyFont="1" applyAlignment="1" applyProtection="1">
      <alignment horizontal="center" vertical="center"/>
    </xf>
    <xf numFmtId="0" fontId="2" fillId="0" borderId="0" xfId="1" applyFont="1" applyAlignment="1" applyProtection="1">
      <alignment horizontal="left" vertical="center"/>
    </xf>
    <xf numFmtId="0" fontId="2" fillId="9" borderId="8" xfId="0" applyFont="1" applyFill="1" applyBorder="1" applyAlignment="1" applyProtection="1">
      <alignment horizontal="center" vertical="center"/>
    </xf>
    <xf numFmtId="0" fontId="17" fillId="0" borderId="0" xfId="0" applyFont="1" applyAlignment="1">
      <alignment horizontal="center" vertical="center"/>
    </xf>
    <xf numFmtId="0" fontId="0" fillId="0" borderId="0" xfId="0" applyFill="1" applyBorder="1" applyAlignment="1">
      <alignment horizontal="center" vertical="center"/>
    </xf>
    <xf numFmtId="49" fontId="2" fillId="8" borderId="12" xfId="2" applyNumberFormat="1" applyFont="1" applyFill="1" applyBorder="1" applyAlignment="1" applyProtection="1">
      <alignment horizontal="center" vertical="center"/>
    </xf>
    <xf numFmtId="0" fontId="0" fillId="0" borderId="0" xfId="0"/>
    <xf numFmtId="0" fontId="4" fillId="9" borderId="5" xfId="0" applyFont="1" applyFill="1" applyBorder="1" applyAlignment="1" applyProtection="1">
      <alignment horizontal="center" vertical="center" wrapText="1"/>
    </xf>
    <xf numFmtId="0" fontId="2" fillId="0" borderId="0" xfId="0" applyFont="1" applyAlignment="1" applyProtection="1">
      <alignment horizontal="center" vertical="center"/>
    </xf>
    <xf numFmtId="0" fontId="2" fillId="0" borderId="0" xfId="0" applyFont="1" applyAlignment="1" applyProtection="1">
      <alignment horizontal="left" vertical="top"/>
    </xf>
    <xf numFmtId="0" fontId="20" fillId="0" borderId="0" xfId="0" applyFont="1" applyAlignment="1">
      <alignment horizontal="center" vertical="center"/>
    </xf>
    <xf numFmtId="0" fontId="4" fillId="0" borderId="0" xfId="0" applyFont="1" applyAlignment="1">
      <alignment horizontal="center" vertical="center"/>
    </xf>
    <xf numFmtId="0" fontId="0" fillId="0" borderId="0" xfId="0" applyAlignment="1">
      <alignment horizontal="center" vertical="center" wrapText="1"/>
    </xf>
    <xf numFmtId="0" fontId="4" fillId="0" borderId="0" xfId="0" applyFont="1" applyAlignment="1" applyProtection="1">
      <alignment horizontal="center" vertical="center"/>
    </xf>
    <xf numFmtId="0" fontId="2" fillId="0" borderId="18" xfId="0" applyFont="1" applyFill="1" applyBorder="1" applyAlignment="1" applyProtection="1">
      <alignment horizontal="center" vertical="center" wrapText="1"/>
    </xf>
    <xf numFmtId="49" fontId="2" fillId="0" borderId="18" xfId="0" applyNumberFormat="1" applyFont="1" applyFill="1" applyBorder="1" applyAlignment="1" applyProtection="1">
      <alignment horizontal="center" vertical="center" wrapText="1"/>
    </xf>
    <xf numFmtId="1" fontId="2" fillId="4" borderId="18" xfId="0" applyNumberFormat="1" applyFont="1" applyFill="1" applyBorder="1" applyAlignment="1" applyProtection="1">
      <alignment horizontal="center" vertical="center" wrapText="1"/>
    </xf>
    <xf numFmtId="0" fontId="19" fillId="12" borderId="7" xfId="3" applyFont="1" applyFill="1" applyBorder="1" applyAlignment="1">
      <alignment horizontal="center" vertical="center"/>
    </xf>
    <xf numFmtId="0" fontId="19" fillId="12" borderId="5" xfId="3" applyFont="1" applyFill="1" applyBorder="1" applyAlignment="1">
      <alignment horizontal="center" vertical="center"/>
    </xf>
    <xf numFmtId="0" fontId="19" fillId="12" borderId="8" xfId="3" applyFont="1" applyFill="1" applyBorder="1" applyAlignment="1">
      <alignment horizontal="center" vertical="center"/>
    </xf>
    <xf numFmtId="0" fontId="2" fillId="4" borderId="18" xfId="0" applyFont="1" applyFill="1" applyBorder="1" applyAlignment="1">
      <alignment horizontal="center" vertical="center"/>
    </xf>
    <xf numFmtId="0" fontId="2" fillId="4" borderId="21" xfId="0" applyFont="1" applyFill="1" applyBorder="1" applyAlignment="1">
      <alignment horizontal="center" vertical="center"/>
    </xf>
    <xf numFmtId="0" fontId="21" fillId="8" borderId="18" xfId="0" applyFont="1" applyFill="1" applyBorder="1" applyAlignment="1">
      <alignment horizontal="center" vertical="center" wrapText="1"/>
    </xf>
    <xf numFmtId="0" fontId="2" fillId="0" borderId="0" xfId="0" applyFont="1" applyAlignment="1">
      <alignment horizontal="center"/>
    </xf>
    <xf numFmtId="0" fontId="2" fillId="0" borderId="0" xfId="0" applyFont="1" applyAlignment="1">
      <alignment horizontal="center" wrapText="1"/>
    </xf>
    <xf numFmtId="0" fontId="22" fillId="0" borderId="0" xfId="0" applyFont="1"/>
    <xf numFmtId="49" fontId="2" fillId="0" borderId="13" xfId="0" applyNumberFormat="1" applyFont="1" applyFill="1" applyBorder="1" applyAlignment="1" applyProtection="1">
      <alignment horizontal="center" vertical="center" wrapText="1"/>
    </xf>
    <xf numFmtId="49" fontId="2" fillId="0" borderId="0" xfId="0" applyNumberFormat="1" applyFont="1" applyFill="1" applyBorder="1" applyAlignment="1" applyProtection="1">
      <alignment horizontal="center" vertical="center" wrapText="1"/>
      <protection locked="0"/>
    </xf>
    <xf numFmtId="0" fontId="2" fillId="0" borderId="0" xfId="0" applyFont="1" applyAlignment="1">
      <alignment horizontal="left" vertical="center"/>
    </xf>
    <xf numFmtId="0" fontId="26" fillId="4" borderId="18" xfId="0" applyFont="1" applyFill="1" applyBorder="1" applyAlignment="1">
      <alignment horizontal="center" vertical="center"/>
    </xf>
    <xf numFmtId="0" fontId="26" fillId="0" borderId="0" xfId="0" applyFont="1" applyAlignment="1" applyProtection="1">
      <alignment horizontal="left" vertical="top"/>
    </xf>
    <xf numFmtId="0" fontId="24" fillId="0" borderId="0" xfId="0" applyFont="1" applyAlignment="1">
      <alignment horizontal="left"/>
    </xf>
    <xf numFmtId="0" fontId="15" fillId="14" borderId="29" xfId="0" applyFont="1" applyFill="1" applyBorder="1" applyAlignment="1">
      <alignment horizontal="center"/>
    </xf>
    <xf numFmtId="0" fontId="15" fillId="14" borderId="30" xfId="0" applyFont="1" applyFill="1" applyBorder="1" applyAlignment="1">
      <alignment horizontal="center"/>
    </xf>
    <xf numFmtId="0" fontId="15" fillId="14" borderId="31" xfId="0" applyFont="1" applyFill="1" applyBorder="1" applyAlignment="1">
      <alignment horizontal="center"/>
    </xf>
    <xf numFmtId="0" fontId="0" fillId="15" borderId="0" xfId="0" applyFill="1" applyAlignment="1">
      <alignment horizontal="center" vertical="center"/>
    </xf>
    <xf numFmtId="0" fontId="0" fillId="4" borderId="0" xfId="0" applyFill="1" applyAlignment="1">
      <alignment horizontal="center" vertical="center"/>
    </xf>
    <xf numFmtId="0" fontId="16" fillId="0" borderId="0" xfId="0" applyFont="1"/>
    <xf numFmtId="0" fontId="15" fillId="0" borderId="0" xfId="0" applyFont="1" applyAlignment="1">
      <alignment horizontal="left"/>
    </xf>
    <xf numFmtId="0" fontId="0" fillId="0" borderId="0" xfId="0" applyNumberFormat="1"/>
    <xf numFmtId="0" fontId="16" fillId="0" borderId="0" xfId="0" applyNumberFormat="1" applyFont="1"/>
    <xf numFmtId="0" fontId="27" fillId="4" borderId="21" xfId="0" applyFont="1" applyFill="1" applyBorder="1" applyAlignment="1">
      <alignment horizontal="center" vertical="center"/>
    </xf>
    <xf numFmtId="0" fontId="2" fillId="0" borderId="0" xfId="0" applyFont="1" applyAlignment="1">
      <alignment horizontal="center" vertical="center"/>
    </xf>
    <xf numFmtId="2" fontId="2" fillId="4" borderId="18" xfId="0" applyNumberFormat="1" applyFont="1" applyFill="1" applyBorder="1" applyAlignment="1">
      <alignment horizontal="center" vertical="center"/>
    </xf>
    <xf numFmtId="0" fontId="2" fillId="0" borderId="0" xfId="0" applyFont="1" applyAlignment="1">
      <alignment horizontal="left" vertical="top" wrapText="1"/>
    </xf>
    <xf numFmtId="0" fontId="5" fillId="0" borderId="0" xfId="0" applyFont="1" applyAlignment="1">
      <alignment horizontal="left" vertical="top"/>
    </xf>
    <xf numFmtId="0" fontId="2" fillId="0" borderId="0" xfId="4" applyAlignment="1">
      <alignment horizontal="left" vertical="top"/>
    </xf>
    <xf numFmtId="0" fontId="2" fillId="16" borderId="21" xfId="0" applyFont="1" applyFill="1" applyBorder="1" applyAlignment="1">
      <alignment horizontal="center" vertical="center" wrapText="1"/>
    </xf>
    <xf numFmtId="0" fontId="0" fillId="6" borderId="18" xfId="0" applyFill="1" applyBorder="1" applyAlignment="1">
      <alignment horizontal="center" vertical="center"/>
    </xf>
    <xf numFmtId="0" fontId="2" fillId="0" borderId="21" xfId="0" applyFont="1" applyBorder="1" applyAlignment="1">
      <alignment horizontal="center" vertical="center" wrapText="1"/>
    </xf>
    <xf numFmtId="0" fontId="20" fillId="0" borderId="0" xfId="0" applyFont="1"/>
    <xf numFmtId="0" fontId="4" fillId="0" borderId="0" xfId="0" applyFont="1" applyAlignment="1">
      <alignment horizontal="left" vertical="top"/>
    </xf>
    <xf numFmtId="0" fontId="20" fillId="0" borderId="0" xfId="0" applyFont="1" applyAlignment="1">
      <alignment horizontal="center" vertical="center" wrapText="1"/>
    </xf>
    <xf numFmtId="0" fontId="2" fillId="4" borderId="33" xfId="0" applyFont="1" applyFill="1" applyBorder="1" applyAlignment="1">
      <alignment horizontal="center" vertical="center"/>
    </xf>
    <xf numFmtId="0" fontId="0" fillId="0" borderId="0" xfId="0" applyNumberFormat="1" applyBorder="1" applyAlignment="1">
      <alignment horizontal="center" vertical="center"/>
    </xf>
    <xf numFmtId="0" fontId="2" fillId="0" borderId="0" xfId="0" applyFont="1" applyAlignment="1">
      <alignment horizontal="center" vertical="center" wrapText="1"/>
    </xf>
    <xf numFmtId="49" fontId="2" fillId="0" borderId="0" xfId="0" applyNumberFormat="1" applyFont="1" applyAlignment="1">
      <alignment horizontal="center" vertical="center"/>
    </xf>
    <xf numFmtId="0" fontId="4" fillId="0" borderId="4" xfId="0" applyFont="1" applyBorder="1" applyAlignment="1">
      <alignment horizontal="center" vertical="center" wrapText="1"/>
    </xf>
    <xf numFmtId="0" fontId="4" fillId="0" borderId="4" xfId="0" applyFont="1" applyBorder="1" applyAlignment="1">
      <alignment horizontal="left" vertical="center" wrapText="1"/>
    </xf>
    <xf numFmtId="0" fontId="4" fillId="0" borderId="0" xfId="0" applyFont="1" applyAlignment="1" applyProtection="1">
      <alignment horizontal="left" vertical="top"/>
    </xf>
    <xf numFmtId="0" fontId="4" fillId="4" borderId="4" xfId="0" applyFont="1" applyFill="1" applyBorder="1" applyAlignment="1">
      <alignment horizontal="center" vertical="center" wrapText="1"/>
    </xf>
    <xf numFmtId="0" fontId="7" fillId="19" borderId="4" xfId="0" applyFont="1" applyFill="1" applyBorder="1" applyAlignment="1">
      <alignment horizontal="center" vertical="center" wrapText="1"/>
    </xf>
    <xf numFmtId="0" fontId="21" fillId="8" borderId="4" xfId="0" applyFont="1" applyFill="1" applyBorder="1" applyAlignment="1">
      <alignment horizontal="center" vertical="center" wrapText="1"/>
    </xf>
    <xf numFmtId="0" fontId="32" fillId="18" borderId="4" xfId="0" applyFont="1" applyFill="1" applyBorder="1" applyAlignment="1">
      <alignment horizontal="center" vertical="center" wrapText="1"/>
    </xf>
    <xf numFmtId="0" fontId="5" fillId="0" borderId="22" xfId="0" applyFont="1" applyBorder="1" applyAlignment="1">
      <alignment horizontal="center"/>
    </xf>
    <xf numFmtId="0" fontId="5" fillId="0" borderId="35" xfId="0" applyFont="1" applyBorder="1" applyAlignment="1">
      <alignment horizontal="center"/>
    </xf>
    <xf numFmtId="0" fontId="36" fillId="0" borderId="36" xfId="0" applyFont="1" applyBorder="1"/>
    <xf numFmtId="0" fontId="36" fillId="0" borderId="37" xfId="0" applyFont="1" applyBorder="1"/>
    <xf numFmtId="0" fontId="5" fillId="0" borderId="38" xfId="0" applyFont="1" applyBorder="1"/>
    <xf numFmtId="0" fontId="36" fillId="0" borderId="40" xfId="0" applyFont="1" applyBorder="1"/>
    <xf numFmtId="0" fontId="5" fillId="0" borderId="41" xfId="0" applyFont="1" applyBorder="1"/>
    <xf numFmtId="0" fontId="5" fillId="0" borderId="43" xfId="0" applyFont="1" applyBorder="1" applyAlignment="1">
      <alignment vertical="top" wrapText="1"/>
    </xf>
    <xf numFmtId="0" fontId="5" fillId="0" borderId="44" xfId="0" applyFont="1" applyBorder="1" applyAlignment="1">
      <alignment vertical="top" wrapText="1"/>
    </xf>
    <xf numFmtId="0" fontId="5" fillId="0" borderId="45" xfId="0" applyFont="1" applyBorder="1" applyAlignment="1">
      <alignment vertical="top" wrapText="1"/>
    </xf>
    <xf numFmtId="0" fontId="4" fillId="4" borderId="14" xfId="0" applyFont="1" applyFill="1" applyBorder="1" applyAlignment="1">
      <alignment horizontal="center" vertical="center" wrapText="1"/>
    </xf>
    <xf numFmtId="0" fontId="7" fillId="17" borderId="16" xfId="0" applyFont="1" applyFill="1" applyBorder="1" applyAlignment="1">
      <alignment horizontal="center" vertical="center"/>
    </xf>
    <xf numFmtId="0" fontId="0" fillId="4" borderId="18" xfId="0" applyFill="1" applyBorder="1" applyAlignment="1">
      <alignment horizontal="center" vertical="center"/>
    </xf>
    <xf numFmtId="0" fontId="2" fillId="0" borderId="0" xfId="0" applyFont="1" applyAlignment="1" applyProtection="1">
      <alignment horizontal="left" vertical="center"/>
    </xf>
    <xf numFmtId="0" fontId="20" fillId="0" borderId="0" xfId="0" applyFont="1" applyFill="1" applyBorder="1" applyAlignment="1">
      <alignment horizontal="center" vertical="center"/>
    </xf>
    <xf numFmtId="0" fontId="27" fillId="0" borderId="0" xfId="0" applyFont="1" applyAlignment="1">
      <alignment horizontal="center" vertical="center"/>
    </xf>
    <xf numFmtId="0" fontId="4" fillId="0" borderId="0" xfId="0" applyFont="1" applyAlignment="1" applyProtection="1">
      <alignment horizontal="center" vertical="center" wrapText="1"/>
    </xf>
    <xf numFmtId="0" fontId="2" fillId="0" borderId="0" xfId="1" applyFont="1" applyBorder="1" applyAlignment="1" applyProtection="1">
      <alignment horizontal="center" vertical="center" wrapText="1"/>
    </xf>
    <xf numFmtId="0" fontId="4" fillId="0" borderId="0" xfId="0" applyFont="1" applyBorder="1" applyAlignment="1" applyProtection="1">
      <alignment horizontal="center" vertical="center" wrapText="1"/>
    </xf>
    <xf numFmtId="0" fontId="4" fillId="0" borderId="0" xfId="1" applyFont="1" applyAlignment="1" applyProtection="1">
      <alignment horizontal="center" vertical="center" wrapText="1"/>
    </xf>
    <xf numFmtId="0" fontId="25" fillId="0" borderId="0" xfId="0" applyFont="1" applyAlignment="1">
      <alignment horizontal="center" vertical="center"/>
    </xf>
    <xf numFmtId="0" fontId="2" fillId="0" borderId="0" xfId="1" applyFont="1" applyAlignment="1">
      <alignment horizontal="center" vertical="center"/>
    </xf>
    <xf numFmtId="0" fontId="2" fillId="13" borderId="27" xfId="0" applyFont="1" applyFill="1" applyBorder="1" applyAlignment="1">
      <alignment horizontal="center" vertical="center"/>
    </xf>
    <xf numFmtId="0" fontId="4" fillId="16" borderId="21" xfId="0" applyFont="1" applyFill="1" applyBorder="1" applyAlignment="1">
      <alignment horizontal="center" vertical="center" wrapText="1"/>
    </xf>
    <xf numFmtId="49" fontId="4" fillId="0" borderId="0" xfId="0" applyNumberFormat="1" applyFont="1" applyBorder="1" applyAlignment="1" applyProtection="1">
      <alignment horizontal="left" vertical="center"/>
    </xf>
    <xf numFmtId="0" fontId="4" fillId="9" borderId="7" xfId="0" applyNumberFormat="1" applyFont="1" applyFill="1" applyBorder="1" applyAlignment="1" applyProtection="1">
      <alignment horizontal="left" vertical="center"/>
    </xf>
    <xf numFmtId="0" fontId="2" fillId="0" borderId="18" xfId="0" applyFont="1" applyFill="1" applyBorder="1" applyAlignment="1" applyProtection="1">
      <alignment horizontal="left" vertical="center" wrapText="1"/>
    </xf>
    <xf numFmtId="0" fontId="0" fillId="0" borderId="13" xfId="0" applyBorder="1" applyAlignment="1">
      <alignment horizontal="left" vertical="center"/>
    </xf>
    <xf numFmtId="0" fontId="2" fillId="16" borderId="21" xfId="0" applyFont="1" applyFill="1" applyBorder="1" applyAlignment="1">
      <alignment horizontal="left" vertical="center" wrapText="1"/>
    </xf>
    <xf numFmtId="0" fontId="2" fillId="4" borderId="21" xfId="0" applyFont="1" applyFill="1" applyBorder="1" applyAlignment="1">
      <alignment horizontal="left" vertical="center"/>
    </xf>
    <xf numFmtId="0" fontId="0" fillId="4" borderId="18" xfId="0" applyFill="1" applyBorder="1" applyAlignment="1">
      <alignment horizontal="left" vertical="center"/>
    </xf>
    <xf numFmtId="0" fontId="2" fillId="8" borderId="21" xfId="0" applyFont="1" applyFill="1" applyBorder="1" applyAlignment="1">
      <alignment horizontal="left" vertical="center"/>
    </xf>
    <xf numFmtId="0" fontId="2" fillId="4" borderId="18" xfId="0" applyFont="1" applyFill="1" applyBorder="1" applyAlignment="1">
      <alignment horizontal="left" vertical="center"/>
    </xf>
    <xf numFmtId="0" fontId="18" fillId="12" borderId="7" xfId="3" applyFont="1" applyFill="1" applyBorder="1" applyAlignment="1">
      <alignment horizontal="left" vertical="center"/>
    </xf>
    <xf numFmtId="0" fontId="2" fillId="4" borderId="46" xfId="0" applyFont="1" applyFill="1" applyBorder="1" applyAlignment="1">
      <alignment horizontal="center" vertical="center"/>
    </xf>
    <xf numFmtId="0" fontId="2" fillId="4" borderId="47" xfId="0" applyFont="1" applyFill="1" applyBorder="1" applyAlignment="1">
      <alignment horizontal="center" vertical="center"/>
    </xf>
    <xf numFmtId="0" fontId="37" fillId="0" borderId="0" xfId="0" applyFont="1" applyAlignment="1">
      <alignment horizontal="center" vertical="center"/>
    </xf>
    <xf numFmtId="0" fontId="4" fillId="0" borderId="48" xfId="5" applyFont="1" applyBorder="1" applyAlignment="1">
      <alignment horizontal="center" vertical="center"/>
    </xf>
    <xf numFmtId="0" fontId="4" fillId="0" borderId="2" xfId="5" applyFont="1" applyBorder="1" applyAlignment="1">
      <alignment horizontal="center" vertical="center"/>
    </xf>
    <xf numFmtId="0" fontId="4" fillId="0" borderId="1" xfId="5" applyFont="1" applyBorder="1"/>
    <xf numFmtId="49" fontId="2" fillId="0" borderId="49" xfId="5" applyNumberFormat="1" applyBorder="1" applyAlignment="1">
      <alignment horizontal="center" vertical="center"/>
    </xf>
    <xf numFmtId="0" fontId="4" fillId="0" borderId="7" xfId="5" applyFont="1" applyBorder="1" applyAlignment="1">
      <alignment horizontal="center" vertical="center"/>
    </xf>
    <xf numFmtId="14" fontId="2" fillId="0" borderId="10" xfId="5" applyNumberFormat="1" applyBorder="1" applyAlignment="1">
      <alignment horizontal="center" vertical="center" wrapText="1"/>
    </xf>
    <xf numFmtId="0" fontId="2" fillId="0" borderId="10" xfId="5" applyBorder="1" applyAlignment="1">
      <alignment horizontal="center" vertical="center" wrapText="1"/>
    </xf>
    <xf numFmtId="0" fontId="4" fillId="0" borderId="7" xfId="5" applyFont="1" applyBorder="1"/>
    <xf numFmtId="0" fontId="2" fillId="0" borderId="8" xfId="5" applyBorder="1"/>
    <xf numFmtId="0" fontId="4" fillId="0" borderId="11" xfId="5" applyFont="1" applyBorder="1"/>
    <xf numFmtId="0" fontId="2" fillId="0" borderId="4" xfId="5" applyBorder="1" applyAlignment="1">
      <alignment horizontal="center" vertical="center" wrapText="1"/>
    </xf>
    <xf numFmtId="14" fontId="2" fillId="0" borderId="4" xfId="5" applyNumberFormat="1" applyBorder="1" applyAlignment="1">
      <alignment horizontal="center" vertical="center" wrapText="1"/>
    </xf>
    <xf numFmtId="0" fontId="2" fillId="0" borderId="0" xfId="5" applyAlignment="1">
      <alignment horizontal="center" vertical="center"/>
    </xf>
    <xf numFmtId="0" fontId="2" fillId="0" borderId="0" xfId="5"/>
    <xf numFmtId="0" fontId="4" fillId="20" borderId="4" xfId="5" applyFont="1" applyFill="1" applyBorder="1" applyAlignment="1">
      <alignment horizontal="center" vertical="center"/>
    </xf>
    <xf numFmtId="0" fontId="2" fillId="0" borderId="4" xfId="5" applyBorder="1" applyAlignment="1">
      <alignment horizontal="center" vertical="center"/>
    </xf>
    <xf numFmtId="0" fontId="17" fillId="0" borderId="0" xfId="0" applyFont="1"/>
    <xf numFmtId="0" fontId="17" fillId="0" borderId="0" xfId="0" applyFont="1" applyAlignment="1">
      <alignment wrapText="1"/>
    </xf>
    <xf numFmtId="0" fontId="18" fillId="22" borderId="16" xfId="0" applyFont="1" applyFill="1" applyBorder="1" applyAlignment="1">
      <alignment horizontal="center" vertical="center"/>
    </xf>
    <xf numFmtId="0" fontId="21" fillId="8" borderId="14" xfId="0" applyFont="1" applyFill="1" applyBorder="1" applyAlignment="1">
      <alignment horizontal="center" vertical="center" wrapText="1"/>
    </xf>
    <xf numFmtId="0" fontId="29" fillId="0" borderId="0" xfId="0" applyFont="1" applyAlignment="1">
      <alignment horizontal="center" vertical="center"/>
    </xf>
    <xf numFmtId="0" fontId="2" fillId="16" borderId="13" xfId="0" applyFont="1" applyFill="1" applyBorder="1" applyAlignment="1">
      <alignment horizontal="center" vertical="center" wrapText="1"/>
    </xf>
    <xf numFmtId="49" fontId="40" fillId="0" borderId="0" xfId="0" applyNumberFormat="1" applyFont="1" applyAlignment="1">
      <alignment horizontal="left" vertical="top"/>
    </xf>
    <xf numFmtId="0" fontId="5" fillId="0" borderId="0" xfId="0" applyFont="1" applyAlignment="1">
      <alignment horizontal="center" vertical="center"/>
    </xf>
    <xf numFmtId="0" fontId="30" fillId="0" borderId="0" xfId="0" applyFont="1" applyAlignment="1">
      <alignment horizontal="center" vertical="center"/>
    </xf>
    <xf numFmtId="0" fontId="40" fillId="0" borderId="0" xfId="0" applyFont="1" applyAlignment="1" applyProtection="1">
      <alignment horizontal="left" vertical="top"/>
    </xf>
    <xf numFmtId="0" fontId="2" fillId="16" borderId="15" xfId="0" applyFont="1" applyFill="1" applyBorder="1" applyAlignment="1">
      <alignment horizontal="left" vertical="center" wrapText="1"/>
    </xf>
    <xf numFmtId="0" fontId="39" fillId="16" borderId="15" xfId="0" applyFont="1" applyFill="1" applyBorder="1" applyAlignment="1">
      <alignment horizontal="left" vertical="center" wrapText="1"/>
    </xf>
    <xf numFmtId="0" fontId="2" fillId="16" borderId="16" xfId="0" applyFont="1" applyFill="1" applyBorder="1" applyAlignment="1">
      <alignment horizontal="center" vertical="center" wrapText="1"/>
    </xf>
    <xf numFmtId="0" fontId="2" fillId="16" borderId="6" xfId="0" applyFont="1" applyFill="1" applyBorder="1" applyAlignment="1">
      <alignment horizontal="left" vertical="center" wrapText="1"/>
    </xf>
    <xf numFmtId="0" fontId="2" fillId="16" borderId="0" xfId="0" applyFont="1" applyFill="1" applyBorder="1" applyAlignment="1">
      <alignment horizontal="left" vertical="center" wrapText="1"/>
    </xf>
    <xf numFmtId="0" fontId="39" fillId="16" borderId="0" xfId="0" applyFont="1" applyFill="1" applyBorder="1" applyAlignment="1">
      <alignment horizontal="left" vertical="center" wrapText="1"/>
    </xf>
    <xf numFmtId="0" fontId="2" fillId="16" borderId="11" xfId="0" applyFont="1" applyFill="1" applyBorder="1" applyAlignment="1">
      <alignment horizontal="left" vertical="center" wrapText="1"/>
    </xf>
    <xf numFmtId="0" fontId="15" fillId="0" borderId="0" xfId="0" applyFont="1" applyAlignment="1">
      <alignment horizontal="center" vertical="center"/>
    </xf>
    <xf numFmtId="0" fontId="0" fillId="0" borderId="0" xfId="0" applyBorder="1" applyAlignment="1">
      <alignment horizontal="center" vertical="center"/>
    </xf>
    <xf numFmtId="0" fontId="43" fillId="0" borderId="0" xfId="0" applyFont="1" applyAlignment="1">
      <alignment horizontal="left" vertical="center" indent="1"/>
    </xf>
    <xf numFmtId="0" fontId="42" fillId="0" borderId="0" xfId="0" applyFont="1" applyAlignment="1">
      <alignment vertical="center"/>
    </xf>
    <xf numFmtId="0" fontId="0" fillId="0" borderId="0" xfId="0"/>
    <xf numFmtId="14" fontId="2" fillId="0" borderId="9" xfId="3" applyNumberFormat="1" applyFont="1" applyFill="1" applyBorder="1" applyAlignment="1" applyProtection="1">
      <alignment horizontal="center" vertical="center"/>
    </xf>
    <xf numFmtId="0" fontId="2" fillId="0" borderId="0" xfId="0" applyFont="1" applyAlignment="1" applyProtection="1">
      <alignment horizontal="left" vertical="top"/>
    </xf>
    <xf numFmtId="0" fontId="2" fillId="0" borderId="0" xfId="0" applyFont="1" applyAlignment="1">
      <alignment horizontal="left" vertical="top"/>
    </xf>
    <xf numFmtId="0" fontId="2" fillId="8" borderId="2" xfId="2" applyFont="1" applyFill="1" applyBorder="1" applyAlignment="1" applyProtection="1">
      <alignment horizontal="center" vertical="center"/>
    </xf>
    <xf numFmtId="0" fontId="2" fillId="0" borderId="0" xfId="0" applyFont="1" applyAlignment="1">
      <alignment horizontal="center" vertical="center"/>
    </xf>
    <xf numFmtId="0" fontId="0" fillId="0" borderId="0" xfId="0" applyAlignment="1">
      <alignment horizontal="center"/>
    </xf>
    <xf numFmtId="0" fontId="0" fillId="0" borderId="0" xfId="0" applyAlignment="1">
      <alignment horizontal="left"/>
    </xf>
    <xf numFmtId="0" fontId="13" fillId="0" borderId="0" xfId="40" applyFill="1" applyAlignment="1">
      <alignment wrapText="1"/>
    </xf>
    <xf numFmtId="0" fontId="0" fillId="0" borderId="0" xfId="0" applyAlignment="1">
      <alignment horizontal="center" vertical="center"/>
    </xf>
    <xf numFmtId="0" fontId="23" fillId="0" borderId="28" xfId="0" applyFont="1" applyBorder="1" applyAlignment="1">
      <alignment horizontal="center" vertical="center"/>
    </xf>
    <xf numFmtId="0" fontId="2" fillId="8" borderId="1" xfId="0" applyFont="1" applyFill="1" applyBorder="1" applyAlignment="1" applyProtection="1">
      <alignment horizontal="center" vertical="center" wrapText="1"/>
    </xf>
    <xf numFmtId="0" fontId="0" fillId="0" borderId="0" xfId="0" applyAlignment="1">
      <alignment horizontal="center"/>
    </xf>
    <xf numFmtId="0" fontId="32" fillId="17" borderId="4" xfId="0" applyFont="1" applyFill="1" applyBorder="1" applyAlignment="1">
      <alignment horizontal="center" vertical="center"/>
    </xf>
    <xf numFmtId="0" fontId="32" fillId="17" borderId="7" xfId="0" applyFont="1" applyFill="1" applyBorder="1" applyAlignment="1">
      <alignment horizontal="center" vertical="center"/>
    </xf>
    <xf numFmtId="0" fontId="32" fillId="17" borderId="5" xfId="0" applyFont="1" applyFill="1" applyBorder="1" applyAlignment="1">
      <alignment horizontal="center" vertical="center"/>
    </xf>
    <xf numFmtId="0" fontId="32" fillId="17" borderId="8" xfId="0" applyFont="1" applyFill="1" applyBorder="1" applyAlignment="1">
      <alignment horizontal="center" vertical="center"/>
    </xf>
    <xf numFmtId="0" fontId="46" fillId="22" borderId="4" xfId="0" applyFont="1" applyFill="1" applyBorder="1" applyAlignment="1">
      <alignment horizontal="center" vertical="center"/>
    </xf>
    <xf numFmtId="0" fontId="4" fillId="4" borderId="6" xfId="0" applyFont="1" applyFill="1" applyBorder="1" applyAlignment="1">
      <alignment vertical="center" wrapText="1"/>
    </xf>
    <xf numFmtId="0" fontId="4" fillId="4" borderId="0" xfId="0" applyFont="1" applyFill="1" applyBorder="1" applyAlignment="1">
      <alignment vertical="center" wrapText="1"/>
    </xf>
    <xf numFmtId="0" fontId="4" fillId="4" borderId="13" xfId="0" applyFont="1" applyFill="1" applyBorder="1" applyAlignment="1">
      <alignment vertical="center" wrapText="1"/>
    </xf>
    <xf numFmtId="0" fontId="4" fillId="4" borderId="7" xfId="0" applyFont="1" applyFill="1" applyBorder="1" applyAlignment="1">
      <alignment vertical="center" wrapText="1"/>
    </xf>
    <xf numFmtId="0" fontId="4" fillId="4" borderId="5" xfId="0" applyFont="1" applyFill="1" applyBorder="1" applyAlignment="1">
      <alignment vertical="center" wrapText="1"/>
    </xf>
    <xf numFmtId="0" fontId="4" fillId="4" borderId="8" xfId="0" applyFont="1" applyFill="1" applyBorder="1" applyAlignment="1">
      <alignment vertical="center" wrapText="1"/>
    </xf>
    <xf numFmtId="0" fontId="4" fillId="4" borderId="11" xfId="0" applyFont="1" applyFill="1" applyBorder="1" applyAlignment="1">
      <alignment vertical="center" wrapText="1"/>
    </xf>
    <xf numFmtId="0" fontId="4" fillId="4" borderId="15" xfId="0" applyFont="1" applyFill="1" applyBorder="1" applyAlignment="1">
      <alignment vertical="center" wrapText="1"/>
    </xf>
    <xf numFmtId="0" fontId="4" fillId="4" borderId="16" xfId="0" applyFont="1" applyFill="1" applyBorder="1" applyAlignment="1">
      <alignment vertical="center" wrapText="1"/>
    </xf>
    <xf numFmtId="0" fontId="47" fillId="4" borderId="18" xfId="0" applyFont="1" applyFill="1" applyBorder="1" applyAlignment="1">
      <alignment horizontal="center" vertical="center"/>
    </xf>
    <xf numFmtId="0" fontId="49" fillId="0" borderId="0" xfId="0" applyFont="1" applyAlignment="1" applyProtection="1">
      <alignment horizontal="left" vertical="top"/>
    </xf>
    <xf numFmtId="0" fontId="48" fillId="0" borderId="57" xfId="0" applyFont="1" applyBorder="1" applyAlignment="1">
      <alignment horizontal="center" vertical="center"/>
    </xf>
    <xf numFmtId="0" fontId="48" fillId="0" borderId="56" xfId="0" applyFont="1" applyBorder="1" applyAlignment="1">
      <alignment horizontal="center" vertical="center"/>
    </xf>
    <xf numFmtId="0" fontId="2" fillId="16" borderId="58" xfId="0" applyFont="1" applyFill="1" applyBorder="1" applyAlignment="1">
      <alignment horizontal="center" vertical="center" wrapText="1"/>
    </xf>
    <xf numFmtId="0" fontId="2" fillId="0" borderId="59" xfId="0" applyFont="1" applyBorder="1" applyAlignment="1">
      <alignment horizontal="center" vertical="center" wrapText="1"/>
    </xf>
    <xf numFmtId="49" fontId="2" fillId="0" borderId="34" xfId="0" applyNumberFormat="1" applyFont="1" applyFill="1" applyBorder="1" applyAlignment="1" applyProtection="1">
      <alignment horizontal="center" vertical="center" wrapText="1"/>
      <protection locked="0"/>
    </xf>
    <xf numFmtId="0" fontId="50" fillId="0" borderId="0" xfId="0" applyFont="1"/>
    <xf numFmtId="0" fontId="27" fillId="0" borderId="0" xfId="0" applyFont="1" applyAlignment="1" applyProtection="1">
      <alignment horizontal="center" vertical="center"/>
    </xf>
    <xf numFmtId="0" fontId="2" fillId="16" borderId="32" xfId="0" applyFont="1" applyFill="1" applyBorder="1" applyAlignment="1">
      <alignment horizontal="center" vertical="center" wrapText="1"/>
    </xf>
    <xf numFmtId="0" fontId="2" fillId="0" borderId="61" xfId="0" applyFont="1" applyBorder="1" applyAlignment="1">
      <alignment horizontal="center" vertical="center" wrapText="1"/>
    </xf>
    <xf numFmtId="0" fontId="20" fillId="0" borderId="0" xfId="0" applyFont="1" applyAlignment="1">
      <alignment horizontal="center" vertical="center"/>
    </xf>
    <xf numFmtId="0" fontId="0" fillId="0" borderId="0" xfId="0" applyBorder="1" applyAlignment="1">
      <alignment horizontal="left"/>
    </xf>
    <xf numFmtId="0" fontId="0" fillId="0" borderId="62" xfId="0" applyNumberFormat="1" applyFont="1" applyBorder="1" applyAlignment="1">
      <alignment horizontal="left"/>
    </xf>
    <xf numFmtId="0" fontId="20" fillId="0" borderId="0" xfId="0" applyFont="1" applyBorder="1" applyAlignment="1">
      <alignment horizontal="center" vertical="center"/>
    </xf>
    <xf numFmtId="0" fontId="23" fillId="0" borderId="0" xfId="0" applyFont="1" applyBorder="1" applyAlignment="1">
      <alignment horizontal="center" vertical="center"/>
    </xf>
    <xf numFmtId="0" fontId="20" fillId="0" borderId="0" xfId="0" applyFont="1" applyAlignment="1">
      <alignment horizontal="center" vertical="center"/>
    </xf>
    <xf numFmtId="0" fontId="17" fillId="0" borderId="0" xfId="0" applyFont="1" applyAlignment="1">
      <alignment horizontal="left" vertical="top"/>
    </xf>
    <xf numFmtId="165" fontId="2" fillId="13" borderId="4" xfId="124" applyFont="1" applyFill="1" applyBorder="1" applyAlignment="1" applyProtection="1">
      <alignment horizontal="center" vertical="center"/>
    </xf>
    <xf numFmtId="0" fontId="55" fillId="0" borderId="6" xfId="0" applyFont="1" applyBorder="1" applyAlignment="1">
      <alignment horizontal="center" vertical="center"/>
    </xf>
    <xf numFmtId="0" fontId="0" fillId="0" borderId="13" xfId="0" applyBorder="1" applyAlignment="1">
      <alignment horizontal="center" vertical="center"/>
    </xf>
    <xf numFmtId="0" fontId="56" fillId="0" borderId="6" xfId="0" applyFont="1" applyBorder="1" applyAlignment="1">
      <alignment horizontal="center" vertical="center"/>
    </xf>
    <xf numFmtId="0" fontId="0" fillId="0" borderId="16" xfId="0" applyBorder="1"/>
    <xf numFmtId="0" fontId="20" fillId="0" borderId="0" xfId="0" applyFont="1" applyAlignment="1">
      <alignment horizontal="center" vertical="center"/>
    </xf>
    <xf numFmtId="0" fontId="13" fillId="0" borderId="0" xfId="40" applyAlignment="1">
      <alignment horizontal="center" vertical="center" wrapText="1"/>
    </xf>
    <xf numFmtId="0" fontId="20" fillId="0" borderId="0" xfId="0" applyFont="1" applyAlignment="1">
      <alignment horizontal="center" vertical="center"/>
    </xf>
    <xf numFmtId="0" fontId="28" fillId="0" borderId="0" xfId="0" applyFont="1" applyAlignment="1">
      <alignment horizontal="center" vertical="center"/>
    </xf>
    <xf numFmtId="0" fontId="26" fillId="0" borderId="0" xfId="0" applyFont="1" applyAlignment="1" applyProtection="1">
      <alignment horizontal="center" vertical="center"/>
    </xf>
    <xf numFmtId="0" fontId="0" fillId="23" borderId="7" xfId="0" applyFill="1" applyBorder="1"/>
    <xf numFmtId="0" fontId="0" fillId="24" borderId="63" xfId="0" applyFill="1" applyBorder="1" applyAlignment="1">
      <alignment vertical="center"/>
    </xf>
    <xf numFmtId="0" fontId="0" fillId="24" borderId="64" xfId="0" applyFill="1" applyBorder="1" applyAlignment="1">
      <alignment vertical="center"/>
    </xf>
    <xf numFmtId="0" fontId="20" fillId="0" borderId="0" xfId="0" applyFont="1" applyAlignment="1">
      <alignment horizontal="center" vertical="center"/>
    </xf>
    <xf numFmtId="0" fontId="20" fillId="0" borderId="0" xfId="0" applyFont="1" applyAlignment="1">
      <alignment horizontal="center" vertical="center"/>
    </xf>
    <xf numFmtId="0" fontId="2" fillId="0" borderId="0" xfId="4" applyFont="1" applyAlignment="1" applyProtection="1">
      <alignment horizontal="center" vertical="center"/>
    </xf>
    <xf numFmtId="0" fontId="57" fillId="0" borderId="0" xfId="0" applyFont="1"/>
    <xf numFmtId="0" fontId="27" fillId="0" borderId="21" xfId="0" applyFont="1" applyFill="1" applyBorder="1" applyAlignment="1">
      <alignment horizontal="center" vertical="center"/>
    </xf>
    <xf numFmtId="0" fontId="60" fillId="0" borderId="4" xfId="0" applyFont="1" applyBorder="1" applyAlignment="1">
      <alignment horizontal="center" vertical="center"/>
    </xf>
    <xf numFmtId="0" fontId="59" fillId="0" borderId="19" xfId="0" applyFont="1" applyBorder="1" applyAlignment="1">
      <alignment horizontal="center" vertical="center"/>
    </xf>
    <xf numFmtId="0" fontId="62" fillId="8" borderId="18" xfId="0" applyFont="1" applyFill="1" applyBorder="1" applyAlignment="1">
      <alignment horizontal="center" vertical="center" wrapText="1"/>
    </xf>
    <xf numFmtId="0" fontId="62" fillId="0" borderId="0" xfId="0" applyFont="1" applyAlignment="1">
      <alignment horizontal="center" vertical="center"/>
    </xf>
    <xf numFmtId="0" fontId="61" fillId="7" borderId="18" xfId="0" applyFont="1" applyFill="1" applyBorder="1" applyAlignment="1">
      <alignment horizontal="center" vertical="center"/>
    </xf>
    <xf numFmtId="0" fontId="61" fillId="4" borderId="18" xfId="0" applyFont="1" applyFill="1" applyBorder="1" applyAlignment="1">
      <alignment horizontal="center" vertical="center"/>
    </xf>
    <xf numFmtId="0" fontId="29" fillId="7" borderId="18" xfId="0" applyFont="1" applyFill="1" applyBorder="1" applyAlignment="1">
      <alignment horizontal="center" vertical="center"/>
    </xf>
    <xf numFmtId="0" fontId="62" fillId="0" borderId="65" xfId="0" applyFont="1" applyBorder="1" applyAlignment="1">
      <alignment horizontal="center" vertical="center"/>
    </xf>
    <xf numFmtId="0" fontId="63" fillId="0" borderId="6" xfId="0" applyFont="1" applyBorder="1" applyAlignment="1">
      <alignment horizontal="center" vertical="center"/>
    </xf>
    <xf numFmtId="0" fontId="63" fillId="0" borderId="0" xfId="0" applyFont="1" applyBorder="1" applyAlignment="1">
      <alignment horizontal="center" vertical="center"/>
    </xf>
    <xf numFmtId="0" fontId="4" fillId="7" borderId="18" xfId="0" applyFont="1" applyFill="1" applyBorder="1" applyAlignment="1">
      <alignment horizontal="center" vertical="center"/>
    </xf>
    <xf numFmtId="0" fontId="63" fillId="0" borderId="6" xfId="0" applyFont="1" applyBorder="1" applyAlignment="1">
      <alignment horizontal="center" vertical="center" wrapText="1"/>
    </xf>
    <xf numFmtId="0" fontId="58" fillId="0" borderId="66" xfId="0" applyFont="1" applyBorder="1" applyAlignment="1">
      <alignment horizontal="center" vertical="center"/>
    </xf>
    <xf numFmtId="11" fontId="2" fillId="4" borderId="21" xfId="0" applyNumberFormat="1" applyFont="1" applyFill="1" applyBorder="1" applyAlignment="1">
      <alignment horizontal="center" vertical="center"/>
    </xf>
    <xf numFmtId="0" fontId="20" fillId="0" borderId="0" xfId="0" applyFont="1" applyAlignment="1">
      <alignment horizontal="center" vertical="center"/>
    </xf>
    <xf numFmtId="0" fontId="63" fillId="0" borderId="18" xfId="0" applyFont="1" applyBorder="1" applyAlignment="1">
      <alignment horizontal="center" vertical="center" wrapText="1"/>
    </xf>
    <xf numFmtId="0" fontId="0" fillId="0" borderId="0" xfId="0" applyNumberFormat="1" applyFont="1" applyBorder="1" applyAlignment="1">
      <alignment horizontal="left"/>
    </xf>
    <xf numFmtId="0" fontId="27" fillId="0" borderId="18" xfId="0" applyFont="1" applyFill="1" applyBorder="1" applyAlignment="1">
      <alignment horizontal="center" vertical="center"/>
    </xf>
    <xf numFmtId="0" fontId="32" fillId="17" borderId="7" xfId="0" applyFont="1" applyFill="1" applyBorder="1" applyAlignment="1">
      <alignment horizontal="center" vertical="center"/>
    </xf>
    <xf numFmtId="0" fontId="32" fillId="17" borderId="5" xfId="0" applyFont="1" applyFill="1" applyBorder="1" applyAlignment="1">
      <alignment horizontal="center" vertical="center"/>
    </xf>
    <xf numFmtId="0" fontId="32" fillId="17" borderId="8" xfId="0" applyFont="1" applyFill="1" applyBorder="1" applyAlignment="1">
      <alignment horizontal="center" vertical="center"/>
    </xf>
    <xf numFmtId="0" fontId="20" fillId="0" borderId="0" xfId="0" applyFont="1" applyAlignment="1">
      <alignment horizontal="center" vertical="center"/>
    </xf>
    <xf numFmtId="0" fontId="59" fillId="0" borderId="19" xfId="0" applyFont="1" applyBorder="1" applyAlignment="1">
      <alignment horizontal="center" vertical="center"/>
    </xf>
    <xf numFmtId="0" fontId="59" fillId="0" borderId="19" xfId="0" applyFont="1" applyBorder="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59" fillId="0" borderId="19" xfId="0" applyFont="1" applyBorder="1" applyAlignment="1">
      <alignment horizontal="center" vertical="center"/>
    </xf>
    <xf numFmtId="0" fontId="0" fillId="0" borderId="0" xfId="0" applyAlignment="1">
      <alignment horizontal="center"/>
    </xf>
    <xf numFmtId="0" fontId="32" fillId="22" borderId="7" xfId="0" applyFont="1" applyFill="1" applyBorder="1" applyAlignment="1">
      <alignment horizontal="center" vertical="center"/>
    </xf>
    <xf numFmtId="0" fontId="32" fillId="22" borderId="5" xfId="0" applyFont="1" applyFill="1" applyBorder="1" applyAlignment="1">
      <alignment horizontal="center" vertical="center"/>
    </xf>
    <xf numFmtId="0" fontId="32" fillId="22" borderId="8" xfId="0" applyFont="1" applyFill="1" applyBorder="1" applyAlignment="1">
      <alignment horizontal="center" vertical="center"/>
    </xf>
    <xf numFmtId="0" fontId="19" fillId="22" borderId="5" xfId="0" applyFont="1" applyFill="1" applyBorder="1" applyAlignment="1">
      <alignment horizontal="center" vertical="center"/>
    </xf>
    <xf numFmtId="0" fontId="20" fillId="0" borderId="0" xfId="0" applyFont="1" applyAlignment="1">
      <alignment horizontal="center" vertical="center"/>
    </xf>
    <xf numFmtId="0" fontId="0" fillId="4" borderId="21" xfId="0" applyFill="1" applyBorder="1" applyAlignment="1">
      <alignment horizontal="left" vertical="center"/>
    </xf>
    <xf numFmtId="0" fontId="0" fillId="4" borderId="21" xfId="0" applyFill="1" applyBorder="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13" fillId="0" borderId="0" xfId="40"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13" fillId="0" borderId="0" xfId="40" applyFill="1" applyAlignment="1">
      <alignment horizontal="center" wrapText="1"/>
    </xf>
    <xf numFmtId="0" fontId="32" fillId="25" borderId="4" xfId="0" applyFont="1" applyFill="1" applyBorder="1" applyAlignment="1">
      <alignment horizontal="center" vertical="center"/>
    </xf>
    <xf numFmtId="0" fontId="59" fillId="0" borderId="19" xfId="0" applyFont="1" applyBorder="1" applyAlignment="1">
      <alignment horizontal="center" vertical="center"/>
    </xf>
    <xf numFmtId="0" fontId="20" fillId="0" borderId="0" xfId="0" applyFont="1" applyAlignment="1">
      <alignment horizontal="center" vertical="center"/>
    </xf>
    <xf numFmtId="0" fontId="32" fillId="25" borderId="7" xfId="0" applyFont="1" applyFill="1" applyBorder="1" applyAlignment="1">
      <alignment horizontal="center" vertical="center"/>
    </xf>
    <xf numFmtId="0" fontId="32" fillId="25" borderId="5" xfId="0" applyFont="1" applyFill="1" applyBorder="1" applyAlignment="1">
      <alignment horizontal="center" vertical="center"/>
    </xf>
    <xf numFmtId="0" fontId="32" fillId="25" borderId="8" xfId="0" applyFont="1" applyFill="1" applyBorder="1" applyAlignment="1">
      <alignment horizontal="center" vertical="center"/>
    </xf>
    <xf numFmtId="0" fontId="0" fillId="0" borderId="0" xfId="0" applyAlignment="1">
      <alignment horizontal="center"/>
    </xf>
    <xf numFmtId="0" fontId="20" fillId="0" borderId="0" xfId="0" applyFont="1" applyAlignment="1">
      <alignment horizontal="center" vertical="center"/>
    </xf>
    <xf numFmtId="0" fontId="31" fillId="25" borderId="5" xfId="0" applyFont="1" applyFill="1" applyBorder="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59" fillId="0" borderId="19" xfId="0" applyFont="1" applyBorder="1" applyAlignment="1">
      <alignment horizontal="center" vertical="center"/>
    </xf>
    <xf numFmtId="0" fontId="20" fillId="0" borderId="0" xfId="0" applyFont="1" applyAlignment="1">
      <alignment horizontal="center" vertical="center"/>
    </xf>
    <xf numFmtId="0" fontId="0" fillId="0" borderId="0" xfId="0" applyAlignment="1">
      <alignment horizontal="center"/>
    </xf>
    <xf numFmtId="0" fontId="63" fillId="0" borderId="18" xfId="0" applyFont="1" applyBorder="1" applyAlignment="1">
      <alignment horizontal="center" vertical="center"/>
    </xf>
    <xf numFmtId="0" fontId="59" fillId="0" borderId="19" xfId="0" applyFont="1" applyBorder="1" applyAlignment="1">
      <alignment horizontal="center" vertical="center"/>
    </xf>
    <xf numFmtId="0" fontId="20" fillId="0" borderId="0" xfId="0" applyFont="1" applyAlignment="1">
      <alignment horizontal="center" vertical="center"/>
    </xf>
    <xf numFmtId="0" fontId="0" fillId="0" borderId="0" xfId="0" applyAlignment="1">
      <alignment horizontal="center"/>
    </xf>
    <xf numFmtId="0" fontId="20" fillId="0" borderId="0" xfId="0" applyFont="1" applyAlignment="1">
      <alignment horizontal="center" vertical="center"/>
    </xf>
    <xf numFmtId="0" fontId="59" fillId="0" borderId="19" xfId="0" applyFont="1" applyBorder="1" applyAlignment="1">
      <alignment horizontal="center" vertical="center"/>
    </xf>
    <xf numFmtId="0" fontId="0" fillId="0" borderId="0" xfId="0" applyAlignment="1">
      <alignment horizontal="center"/>
    </xf>
    <xf numFmtId="0" fontId="59" fillId="0" borderId="19" xfId="0" applyFont="1" applyBorder="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59" fillId="0" borderId="19" xfId="0" applyFont="1" applyBorder="1" applyAlignment="1">
      <alignment horizontal="center" vertical="center"/>
    </xf>
    <xf numFmtId="0" fontId="32" fillId="26" borderId="4" xfId="0" applyFont="1" applyFill="1" applyBorder="1" applyAlignment="1">
      <alignment horizontal="center" vertical="center"/>
    </xf>
    <xf numFmtId="0" fontId="32" fillId="26" borderId="7" xfId="0" applyFont="1" applyFill="1" applyBorder="1" applyAlignment="1">
      <alignment horizontal="center" vertical="center"/>
    </xf>
    <xf numFmtId="0" fontId="32" fillId="26" borderId="5" xfId="0" applyFont="1" applyFill="1" applyBorder="1" applyAlignment="1">
      <alignment horizontal="center" vertical="center"/>
    </xf>
    <xf numFmtId="0" fontId="32" fillId="26" borderId="8" xfId="0" applyFont="1" applyFill="1" applyBorder="1" applyAlignment="1">
      <alignment horizontal="center" vertical="center"/>
    </xf>
    <xf numFmtId="0" fontId="31" fillId="17" borderId="5" xfId="0" applyFont="1" applyFill="1" applyBorder="1" applyAlignment="1">
      <alignment horizontal="center" vertical="center"/>
    </xf>
    <xf numFmtId="0" fontId="46" fillId="22" borderId="16" xfId="0" applyFont="1" applyFill="1" applyBorder="1" applyAlignment="1">
      <alignment horizontal="center" vertical="center"/>
    </xf>
    <xf numFmtId="0" fontId="32" fillId="17" borderId="16" xfId="0" applyFont="1" applyFill="1" applyBorder="1" applyAlignment="1">
      <alignment horizontal="center" vertical="center"/>
    </xf>
    <xf numFmtId="0" fontId="32" fillId="19" borderId="4" xfId="0" applyFont="1" applyFill="1" applyBorder="1" applyAlignment="1">
      <alignment horizontal="center" vertical="center" wrapText="1"/>
    </xf>
    <xf numFmtId="0" fontId="7" fillId="25" borderId="8" xfId="0" applyFont="1" applyFill="1" applyBorder="1" applyAlignment="1">
      <alignment horizontal="center" vertical="center"/>
    </xf>
    <xf numFmtId="0" fontId="14" fillId="26" borderId="16" xfId="0" applyFont="1" applyFill="1" applyBorder="1" applyAlignment="1">
      <alignment horizontal="center" vertical="center"/>
    </xf>
    <xf numFmtId="0" fontId="34" fillId="26" borderId="16" xfId="0" applyFont="1" applyFill="1" applyBorder="1" applyAlignment="1">
      <alignment horizontal="center" vertical="center"/>
    </xf>
    <xf numFmtId="0" fontId="46" fillId="27" borderId="8" xfId="0" applyFont="1" applyFill="1" applyBorder="1" applyAlignment="1">
      <alignment horizontal="center" vertical="center"/>
    </xf>
    <xf numFmtId="0" fontId="18" fillId="27" borderId="8" xfId="0" applyFont="1" applyFill="1" applyBorder="1" applyAlignment="1">
      <alignment horizontal="center" vertical="center"/>
    </xf>
    <xf numFmtId="0" fontId="46" fillId="27" borderId="4" xfId="0" applyFont="1" applyFill="1" applyBorder="1" applyAlignment="1">
      <alignment horizontal="center" vertical="center"/>
    </xf>
    <xf numFmtId="0" fontId="32" fillId="28" borderId="8" xfId="0" applyFont="1" applyFill="1" applyBorder="1" applyAlignment="1">
      <alignment horizontal="center" vertical="center"/>
    </xf>
    <xf numFmtId="0" fontId="7" fillId="28" borderId="8" xfId="0" applyFont="1" applyFill="1" applyBorder="1" applyAlignment="1">
      <alignment horizontal="center" vertical="center"/>
    </xf>
    <xf numFmtId="0" fontId="32" fillId="28" borderId="4" xfId="0" applyFont="1" applyFill="1" applyBorder="1" applyAlignment="1">
      <alignment horizontal="center" vertical="center"/>
    </xf>
    <xf numFmtId="0" fontId="32" fillId="27" borderId="7" xfId="0" applyFont="1" applyFill="1" applyBorder="1" applyAlignment="1">
      <alignment horizontal="center" vertical="center"/>
    </xf>
    <xf numFmtId="0" fontId="32" fillId="27" borderId="5" xfId="0" applyFont="1" applyFill="1" applyBorder="1" applyAlignment="1">
      <alignment horizontal="center" vertical="center"/>
    </xf>
    <xf numFmtId="0" fontId="32" fillId="27" borderId="8" xfId="0" applyFont="1" applyFill="1" applyBorder="1" applyAlignment="1">
      <alignment horizontal="center" vertical="center"/>
    </xf>
    <xf numFmtId="0" fontId="19" fillId="27" borderId="5" xfId="0" applyFont="1" applyFill="1" applyBorder="1" applyAlignment="1">
      <alignment horizontal="center" vertical="center"/>
    </xf>
    <xf numFmtId="0" fontId="31" fillId="26" borderId="5" xfId="0" applyFont="1" applyFill="1" applyBorder="1" applyAlignment="1">
      <alignment horizontal="center" vertical="center"/>
    </xf>
    <xf numFmtId="0" fontId="32" fillId="28" borderId="7" xfId="0" applyFont="1" applyFill="1" applyBorder="1" applyAlignment="1">
      <alignment horizontal="center" vertical="center"/>
    </xf>
    <xf numFmtId="0" fontId="32" fillId="28" borderId="5" xfId="0" applyFont="1" applyFill="1" applyBorder="1" applyAlignment="1">
      <alignment horizontal="center" vertical="center"/>
    </xf>
    <xf numFmtId="0" fontId="32" fillId="28" borderId="8" xfId="0" applyFont="1" applyFill="1" applyBorder="1" applyAlignment="1">
      <alignment horizontal="center" vertical="center"/>
    </xf>
    <xf numFmtId="0" fontId="31" fillId="28" borderId="5" xfId="0" applyFont="1" applyFill="1" applyBorder="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59" fillId="0" borderId="19" xfId="0" applyFont="1" applyBorder="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59" fillId="0" borderId="19" xfId="0" applyFont="1" applyBorder="1" applyAlignment="1">
      <alignment horizontal="center" vertical="center"/>
    </xf>
    <xf numFmtId="0" fontId="20" fillId="0" borderId="0" xfId="0" applyFont="1" applyAlignment="1">
      <alignment horizontal="center" vertical="center"/>
    </xf>
    <xf numFmtId="0" fontId="0" fillId="0" borderId="0" xfId="0" applyAlignment="1">
      <alignment horizontal="center"/>
    </xf>
    <xf numFmtId="0" fontId="20" fillId="0" borderId="0" xfId="0" applyFont="1" applyAlignment="1">
      <alignment horizontal="center" vertical="center"/>
    </xf>
    <xf numFmtId="0" fontId="0" fillId="0" borderId="0" xfId="0" applyAlignment="1">
      <alignment horizontal="center"/>
    </xf>
    <xf numFmtId="0" fontId="20" fillId="0" borderId="0" xfId="0" applyFont="1" applyAlignment="1">
      <alignment horizontal="center" vertical="center"/>
    </xf>
    <xf numFmtId="0" fontId="59" fillId="0" borderId="19" xfId="0" applyFont="1" applyBorder="1" applyAlignment="1">
      <alignment horizontal="center" vertical="center"/>
    </xf>
    <xf numFmtId="0" fontId="20" fillId="0" borderId="0" xfId="0" applyFont="1" applyAlignment="1">
      <alignment horizontal="center" vertical="center"/>
    </xf>
    <xf numFmtId="0" fontId="59" fillId="0" borderId="19" xfId="0" applyFont="1" applyBorder="1" applyAlignment="1">
      <alignment horizontal="center" vertical="center"/>
    </xf>
    <xf numFmtId="0" fontId="20" fillId="0" borderId="0" xfId="0" applyFont="1" applyAlignment="1">
      <alignment horizontal="center" vertical="center"/>
    </xf>
    <xf numFmtId="0" fontId="2" fillId="0" borderId="0" xfId="58" applyFont="1"/>
    <xf numFmtId="0" fontId="2" fillId="4" borderId="18" xfId="58" applyFont="1" applyFill="1" applyBorder="1" applyAlignment="1" applyProtection="1">
      <alignment vertical="center" wrapText="1"/>
    </xf>
    <xf numFmtId="0" fontId="5" fillId="0" borderId="0" xfId="58" applyFont="1"/>
    <xf numFmtId="0" fontId="5" fillId="0" borderId="0" xfId="58" applyFont="1" applyAlignment="1">
      <alignment horizontal="center" vertical="center" wrapText="1"/>
    </xf>
    <xf numFmtId="0" fontId="5" fillId="0" borderId="0" xfId="58" applyFont="1"/>
    <xf numFmtId="0" fontId="2" fillId="6" borderId="61" xfId="0" applyFont="1" applyFill="1" applyBorder="1" applyAlignment="1">
      <alignment vertical="top" wrapText="1"/>
    </xf>
    <xf numFmtId="9" fontId="2" fillId="6" borderId="61" xfId="0" applyNumberFormat="1" applyFont="1" applyFill="1" applyBorder="1" applyAlignment="1">
      <alignment horizontal="center" vertical="top" wrapText="1"/>
    </xf>
    <xf numFmtId="0" fontId="2" fillId="4" borderId="21" xfId="0" applyFont="1" applyFill="1" applyBorder="1" applyAlignment="1">
      <alignment vertical="top" wrapText="1"/>
    </xf>
    <xf numFmtId="0" fontId="2" fillId="0" borderId="18" xfId="0" applyFont="1" applyBorder="1" applyAlignment="1">
      <alignment horizontal="center" vertical="center"/>
    </xf>
    <xf numFmtId="0" fontId="65" fillId="29" borderId="18" xfId="0" applyFont="1" applyFill="1" applyBorder="1" applyAlignment="1">
      <alignment horizontal="center" vertical="center"/>
    </xf>
    <xf numFmtId="0" fontId="2" fillId="0" borderId="0" xfId="0" applyFont="1"/>
    <xf numFmtId="0" fontId="2" fillId="6" borderId="20" xfId="0" applyFont="1" applyFill="1" applyBorder="1" applyAlignment="1">
      <alignment horizontal="right" vertical="top" wrapText="1"/>
    </xf>
    <xf numFmtId="9" fontId="2" fillId="6" borderId="20" xfId="0" applyNumberFormat="1" applyFont="1" applyFill="1" applyBorder="1" applyAlignment="1">
      <alignment horizontal="center" vertical="top" wrapText="1"/>
    </xf>
    <xf numFmtId="1" fontId="2" fillId="0" borderId="18" xfId="0" quotePrefix="1" applyNumberFormat="1" applyFont="1" applyBorder="1" applyAlignment="1">
      <alignment horizontal="center" vertical="center"/>
    </xf>
    <xf numFmtId="0" fontId="20" fillId="0" borderId="0" xfId="0" applyFont="1" applyAlignment="1">
      <alignment horizontal="center" vertical="center"/>
    </xf>
    <xf numFmtId="0" fontId="2" fillId="4" borderId="32" xfId="0" applyFont="1" applyFill="1" applyBorder="1" applyAlignment="1">
      <alignment horizontal="center" vertical="center"/>
    </xf>
    <xf numFmtId="0" fontId="60" fillId="0" borderId="0" xfId="0" applyFont="1" applyBorder="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32" fillId="19" borderId="7" xfId="0" applyFont="1" applyFill="1" applyBorder="1" applyAlignment="1">
      <alignment horizontal="center" vertical="center"/>
    </xf>
    <xf numFmtId="0" fontId="32" fillId="19" borderId="5" xfId="0" applyFont="1" applyFill="1" applyBorder="1" applyAlignment="1">
      <alignment horizontal="center" vertical="center"/>
    </xf>
    <xf numFmtId="0" fontId="31" fillId="19" borderId="5" xfId="0" applyFont="1" applyFill="1" applyBorder="1" applyAlignment="1">
      <alignment horizontal="center" vertical="center"/>
    </xf>
    <xf numFmtId="0" fontId="32" fillId="19" borderId="8" xfId="0" applyFont="1" applyFill="1" applyBorder="1" applyAlignment="1">
      <alignment horizontal="center" vertical="center"/>
    </xf>
    <xf numFmtId="170" fontId="2" fillId="0" borderId="18" xfId="0" quotePrefix="1" applyNumberFormat="1" applyFont="1" applyBorder="1" applyAlignment="1">
      <alignment horizontal="center" vertical="center"/>
    </xf>
    <xf numFmtId="0" fontId="20" fillId="0" borderId="0" xfId="0" applyFont="1" applyAlignment="1">
      <alignment horizontal="center" vertical="center"/>
    </xf>
    <xf numFmtId="0" fontId="39" fillId="16" borderId="21" xfId="0" applyFont="1" applyFill="1" applyBorder="1" applyAlignment="1">
      <alignment horizontal="center" vertical="center" wrapText="1"/>
    </xf>
    <xf numFmtId="0" fontId="20" fillId="0" borderId="0" xfId="0" applyFont="1" applyAlignment="1">
      <alignment horizontal="center" vertical="center"/>
    </xf>
    <xf numFmtId="0" fontId="13" fillId="0" borderId="0" xfId="40" applyFill="1" applyAlignment="1">
      <alignment horizontal="center" vertical="center" wrapText="1"/>
    </xf>
    <xf numFmtId="0" fontId="0" fillId="0" borderId="0" xfId="0"/>
    <xf numFmtId="0" fontId="0" fillId="0" borderId="0" xfId="0" applyAlignment="1">
      <alignment horizontal="center" vertical="center"/>
    </xf>
    <xf numFmtId="0" fontId="2" fillId="4" borderId="21" xfId="0" applyFont="1" applyFill="1" applyBorder="1" applyAlignment="1">
      <alignment horizontal="center" vertical="center"/>
    </xf>
    <xf numFmtId="0" fontId="27" fillId="4" borderId="21" xfId="0" applyFont="1" applyFill="1" applyBorder="1" applyAlignment="1">
      <alignment horizontal="center" vertical="center"/>
    </xf>
    <xf numFmtId="0" fontId="20" fillId="0" borderId="0" xfId="0" applyFont="1" applyAlignment="1" applyProtection="1">
      <alignment horizontal="center" vertical="center"/>
    </xf>
    <xf numFmtId="0" fontId="0" fillId="0" borderId="0" xfId="0" applyAlignment="1" applyProtection="1">
      <alignment horizontal="center" vertical="center"/>
    </xf>
    <xf numFmtId="0" fontId="2" fillId="4" borderId="21" xfId="0" applyFont="1" applyFill="1" applyBorder="1" applyAlignment="1">
      <alignment horizontal="left" vertical="center"/>
    </xf>
    <xf numFmtId="0" fontId="0" fillId="0" borderId="0" xfId="0"/>
    <xf numFmtId="0" fontId="2" fillId="0" borderId="0" xfId="0" applyFont="1" applyAlignment="1" applyProtection="1">
      <alignment horizontal="left" vertical="top"/>
    </xf>
    <xf numFmtId="0" fontId="2" fillId="0" borderId="0" xfId="0" applyFont="1" applyAlignment="1">
      <alignment horizontal="left" vertical="top"/>
    </xf>
    <xf numFmtId="0" fontId="2" fillId="0" borderId="0" xfId="0" applyFont="1" applyAlignment="1" applyProtection="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0" fontId="2" fillId="4" borderId="18" xfId="0" applyFont="1" applyFill="1" applyBorder="1" applyAlignment="1">
      <alignment horizontal="center" vertical="center"/>
    </xf>
    <xf numFmtId="0" fontId="2" fillId="4" borderId="21" xfId="0" applyFont="1" applyFill="1" applyBorder="1" applyAlignment="1">
      <alignment horizontal="center" vertical="center"/>
    </xf>
    <xf numFmtId="0" fontId="21" fillId="8" borderId="18" xfId="0" applyFont="1" applyFill="1" applyBorder="1" applyAlignment="1">
      <alignment horizontal="center" vertical="center" wrapText="1"/>
    </xf>
    <xf numFmtId="0" fontId="0" fillId="0" borderId="0" xfId="0" applyNumberFormat="1"/>
    <xf numFmtId="0" fontId="27" fillId="4" borderId="21" xfId="0" applyFont="1" applyFill="1" applyBorder="1" applyAlignment="1">
      <alignment horizontal="center" vertical="center"/>
    </xf>
    <xf numFmtId="0" fontId="2" fillId="0" borderId="0" xfId="0" applyFont="1" applyAlignment="1">
      <alignment horizontal="center" vertical="center"/>
    </xf>
    <xf numFmtId="2" fontId="2" fillId="4" borderId="18" xfId="0" applyNumberFormat="1" applyFont="1" applyFill="1" applyBorder="1" applyAlignment="1">
      <alignment horizontal="center" vertical="center"/>
    </xf>
    <xf numFmtId="0" fontId="2" fillId="16" borderId="21" xfId="0" applyFont="1" applyFill="1" applyBorder="1" applyAlignment="1">
      <alignment horizontal="center" vertical="center" wrapText="1"/>
    </xf>
    <xf numFmtId="0" fontId="2" fillId="0" borderId="21" xfId="0" applyFont="1" applyBorder="1" applyAlignment="1">
      <alignment horizontal="center" vertical="center" wrapText="1"/>
    </xf>
    <xf numFmtId="0" fontId="20" fillId="0" borderId="0" xfId="0" applyFont="1" applyAlignment="1" applyProtection="1">
      <alignment horizontal="center" vertical="center"/>
    </xf>
    <xf numFmtId="0" fontId="0" fillId="0" borderId="0" xfId="0" applyAlignment="1" applyProtection="1">
      <alignment horizontal="center" vertical="center"/>
    </xf>
    <xf numFmtId="0" fontId="27" fillId="0" borderId="0" xfId="0" applyFont="1" applyAlignment="1">
      <alignment horizontal="center" vertical="center"/>
    </xf>
    <xf numFmtId="0" fontId="27" fillId="0" borderId="21" xfId="0" applyFont="1" applyFill="1" applyBorder="1" applyAlignment="1">
      <alignment horizontal="center" vertical="center"/>
    </xf>
    <xf numFmtId="0" fontId="2" fillId="4" borderId="21" xfId="0" applyFont="1" applyFill="1" applyBorder="1" applyAlignment="1">
      <alignment horizontal="left" vertical="center"/>
    </xf>
    <xf numFmtId="0" fontId="2" fillId="8" borderId="21" xfId="0" applyFont="1" applyFill="1" applyBorder="1" applyAlignment="1">
      <alignment horizontal="left" vertical="center"/>
    </xf>
    <xf numFmtId="0" fontId="2" fillId="4" borderId="18" xfId="0" applyFont="1" applyFill="1" applyBorder="1" applyAlignment="1">
      <alignment horizontal="left" vertical="center"/>
    </xf>
    <xf numFmtId="0" fontId="47" fillId="4" borderId="19" xfId="0" applyFont="1" applyFill="1" applyBorder="1" applyAlignment="1">
      <alignment horizontal="center" vertical="center"/>
    </xf>
    <xf numFmtId="0" fontId="2" fillId="0" borderId="67" xfId="0" applyFont="1" applyBorder="1" applyAlignment="1">
      <alignment horizontal="center" vertical="center" wrapText="1"/>
    </xf>
    <xf numFmtId="0" fontId="20" fillId="0" borderId="0" xfId="0" applyFont="1" applyAlignment="1" applyProtection="1">
      <alignment horizontal="center" vertical="center" wrapText="1"/>
    </xf>
    <xf numFmtId="0" fontId="20" fillId="0" borderId="0" xfId="0" applyFont="1" applyAlignment="1">
      <alignment horizontal="center" vertical="center"/>
    </xf>
    <xf numFmtId="0" fontId="42" fillId="0" borderId="0" xfId="0" applyFont="1" applyAlignment="1">
      <alignment horizontal="center" vertical="center"/>
    </xf>
    <xf numFmtId="0" fontId="41" fillId="0" borderId="0" xfId="0" applyFont="1" applyAlignment="1">
      <alignment vertical="center"/>
    </xf>
    <xf numFmtId="0" fontId="71" fillId="0" borderId="11" xfId="0" applyFont="1" applyBorder="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51" fillId="8" borderId="6" xfId="0" applyFont="1" applyFill="1" applyBorder="1" applyAlignment="1" applyProtection="1">
      <alignment vertical="top"/>
    </xf>
    <xf numFmtId="0" fontId="51" fillId="8" borderId="0" xfId="0" applyFont="1" applyFill="1" applyBorder="1" applyAlignment="1" applyProtection="1">
      <alignment vertical="top"/>
    </xf>
    <xf numFmtId="0" fontId="51" fillId="8" borderId="13" xfId="0" applyFont="1" applyFill="1" applyBorder="1" applyAlignment="1" applyProtection="1">
      <alignment vertical="top"/>
    </xf>
    <xf numFmtId="0" fontId="51" fillId="8" borderId="11" xfId="0" applyFont="1" applyFill="1" applyBorder="1" applyAlignment="1" applyProtection="1">
      <alignment vertical="top"/>
    </xf>
    <xf numFmtId="0" fontId="51" fillId="8" borderId="15" xfId="0" applyFont="1" applyFill="1" applyBorder="1" applyAlignment="1" applyProtection="1">
      <alignment vertical="top"/>
    </xf>
    <xf numFmtId="0" fontId="51" fillId="8" borderId="16" xfId="0" applyFont="1" applyFill="1" applyBorder="1" applyAlignment="1" applyProtection="1">
      <alignment vertical="top"/>
    </xf>
    <xf numFmtId="0" fontId="20" fillId="0" borderId="0" xfId="0" applyFont="1" applyAlignment="1">
      <alignment horizontal="center" vertical="center"/>
    </xf>
    <xf numFmtId="0" fontId="42" fillId="0" borderId="0" xfId="0" applyFont="1" applyAlignment="1">
      <alignment horizontal="center" vertical="center"/>
    </xf>
    <xf numFmtId="0" fontId="0" fillId="0" borderId="0" xfId="0" applyFont="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2" fontId="2" fillId="4" borderId="21" xfId="0" applyNumberFormat="1" applyFont="1" applyFill="1" applyBorder="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xf>
    <xf numFmtId="0" fontId="0" fillId="0" borderId="0" xfId="0" applyAlignment="1">
      <alignment horizontal="center"/>
    </xf>
    <xf numFmtId="0" fontId="72" fillId="0" borderId="65" xfId="0" applyFont="1" applyBorder="1" applyAlignment="1">
      <alignment horizontal="center" vertical="center"/>
    </xf>
    <xf numFmtId="0" fontId="33" fillId="8" borderId="4" xfId="0" applyFont="1" applyFill="1" applyBorder="1" applyAlignment="1">
      <alignment horizontal="center" vertical="center" wrapText="1"/>
    </xf>
    <xf numFmtId="0" fontId="0" fillId="0" borderId="0" xfId="0"/>
    <xf numFmtId="0" fontId="2" fillId="4" borderId="21" xfId="0" applyFont="1" applyFill="1" applyBorder="1" applyAlignment="1">
      <alignment horizontal="center" vertical="center"/>
    </xf>
    <xf numFmtId="0" fontId="21" fillId="8" borderId="18" xfId="0" applyFont="1" applyFill="1" applyBorder="1" applyAlignment="1">
      <alignment horizontal="center" vertical="center" wrapText="1"/>
    </xf>
    <xf numFmtId="0" fontId="26" fillId="4" borderId="18" xfId="0" applyFont="1" applyFill="1" applyBorder="1" applyAlignment="1">
      <alignment horizontal="center" vertical="center"/>
    </xf>
    <xf numFmtId="0" fontId="20" fillId="0" borderId="0" xfId="0" applyFont="1" applyAlignment="1" applyProtection="1">
      <alignment horizontal="center" vertical="center"/>
    </xf>
    <xf numFmtId="0" fontId="2" fillId="0" borderId="21" xfId="0" applyFont="1" applyBorder="1" applyAlignment="1" applyProtection="1">
      <alignment horizontal="center" vertical="center" wrapText="1"/>
    </xf>
    <xf numFmtId="0" fontId="0" fillId="0" borderId="6" xfId="0" applyFont="1" applyBorder="1" applyAlignment="1">
      <alignment horizontal="center" vertical="center"/>
    </xf>
    <xf numFmtId="0" fontId="0" fillId="0" borderId="13" xfId="0" applyBorder="1" applyAlignment="1">
      <alignment horizontal="center" vertical="center" wrapText="1"/>
    </xf>
    <xf numFmtId="0" fontId="73" fillId="0" borderId="19" xfId="0" applyFont="1" applyBorder="1" applyAlignment="1">
      <alignment horizontal="center" vertical="center" wrapText="1"/>
    </xf>
    <xf numFmtId="0" fontId="63" fillId="0" borderId="33" xfId="0" applyFont="1" applyBorder="1" applyAlignment="1">
      <alignment horizontal="center" vertical="center" wrapText="1"/>
    </xf>
    <xf numFmtId="0" fontId="63" fillId="0" borderId="34" xfId="0" applyFont="1" applyBorder="1" applyAlignment="1">
      <alignment horizontal="center" vertical="center" wrapText="1"/>
    </xf>
    <xf numFmtId="0" fontId="2" fillId="16" borderId="33" xfId="0" applyFont="1" applyFill="1" applyBorder="1" applyAlignment="1">
      <alignment horizontal="center" vertical="center" wrapText="1"/>
    </xf>
    <xf numFmtId="0" fontId="63" fillId="8" borderId="18" xfId="0" applyFont="1" applyFill="1" applyBorder="1" applyAlignment="1">
      <alignment horizontal="center" vertical="center" wrapText="1"/>
    </xf>
    <xf numFmtId="0" fontId="63" fillId="8" borderId="18" xfId="0" applyFont="1" applyFill="1" applyBorder="1" applyAlignment="1">
      <alignment horizontal="center" wrapText="1"/>
    </xf>
    <xf numFmtId="0" fontId="2" fillId="0" borderId="20" xfId="0" applyFont="1" applyBorder="1" applyAlignment="1">
      <alignment horizontal="center" vertical="center" wrapText="1"/>
    </xf>
    <xf numFmtId="0" fontId="2" fillId="0" borderId="18" xfId="0" applyFont="1" applyBorder="1" applyAlignment="1">
      <alignment horizontal="center" vertical="center" wrapText="1"/>
    </xf>
    <xf numFmtId="0" fontId="36" fillId="8" borderId="39" xfId="0" applyFont="1" applyFill="1" applyBorder="1" applyAlignment="1">
      <alignment horizontal="center" vertical="center"/>
    </xf>
    <xf numFmtId="22" fontId="36" fillId="8" borderId="39" xfId="0" applyNumberFormat="1" applyFont="1" applyFill="1" applyBorder="1" applyAlignment="1">
      <alignment horizontal="center" vertical="center"/>
    </xf>
    <xf numFmtId="0" fontId="36" fillId="0" borderId="42" xfId="0" applyFont="1" applyBorder="1" applyAlignment="1">
      <alignment horizontal="center" vertical="center"/>
    </xf>
    <xf numFmtId="0" fontId="2" fillId="4" borderId="61" xfId="0" applyFont="1" applyFill="1" applyBorder="1" applyAlignment="1">
      <alignment horizontal="center" vertical="center"/>
    </xf>
    <xf numFmtId="0" fontId="2" fillId="4" borderId="67" xfId="0" applyFont="1" applyFill="1" applyBorder="1" applyAlignment="1">
      <alignment horizontal="center" vertical="center"/>
    </xf>
    <xf numFmtId="0" fontId="2" fillId="4" borderId="73" xfId="0" applyFont="1" applyFill="1" applyBorder="1" applyAlignment="1">
      <alignment horizontal="center" vertical="center"/>
    </xf>
    <xf numFmtId="0" fontId="2" fillId="21" borderId="60" xfId="0" applyFont="1" applyFill="1" applyBorder="1" applyAlignment="1" applyProtection="1">
      <alignment horizontal="center" vertical="center" wrapText="1"/>
    </xf>
    <xf numFmtId="2" fontId="2" fillId="8" borderId="18" xfId="0" applyNumberFormat="1" applyFont="1" applyFill="1" applyBorder="1" applyAlignment="1" applyProtection="1">
      <alignment horizontal="center" vertical="center"/>
    </xf>
    <xf numFmtId="11" fontId="2" fillId="0" borderId="21" xfId="0" applyNumberFormat="1" applyFont="1" applyBorder="1" applyAlignment="1" applyProtection="1">
      <alignment horizontal="center" vertical="center" wrapText="1"/>
    </xf>
    <xf numFmtId="2" fontId="2" fillId="21" borderId="26" xfId="0" applyNumberFormat="1" applyFont="1" applyFill="1" applyBorder="1" applyAlignment="1" applyProtection="1">
      <alignment horizontal="center" vertical="center" wrapText="1"/>
    </xf>
    <xf numFmtId="0" fontId="2" fillId="21" borderId="26" xfId="0" applyFont="1" applyFill="1" applyBorder="1" applyAlignment="1" applyProtection="1">
      <alignment horizontal="center" vertical="center" wrapText="1"/>
    </xf>
    <xf numFmtId="168" fontId="2" fillId="0" borderId="21" xfId="0" applyNumberFormat="1" applyFont="1" applyBorder="1" applyAlignment="1" applyProtection="1">
      <alignment horizontal="center" vertical="center" wrapText="1"/>
    </xf>
    <xf numFmtId="1" fontId="2" fillId="0" borderId="18" xfId="0" applyNumberFormat="1" applyFont="1" applyBorder="1" applyAlignment="1" applyProtection="1">
      <alignment horizontal="center" vertical="center" wrapText="1"/>
    </xf>
    <xf numFmtId="1" fontId="2" fillId="0" borderId="32" xfId="0" applyNumberFormat="1" applyFont="1" applyBorder="1" applyAlignment="1" applyProtection="1">
      <alignment horizontal="center" vertical="center" wrapText="1"/>
    </xf>
    <xf numFmtId="0" fontId="2" fillId="21" borderId="71" xfId="0" applyFont="1" applyFill="1" applyBorder="1" applyAlignment="1" applyProtection="1">
      <alignment horizontal="center" vertical="center" wrapText="1"/>
    </xf>
    <xf numFmtId="169" fontId="2" fillId="21" borderId="26" xfId="0" applyNumberFormat="1" applyFont="1" applyFill="1" applyBorder="1" applyAlignment="1" applyProtection="1">
      <alignment horizontal="center" vertical="center" wrapText="1"/>
    </xf>
    <xf numFmtId="2" fontId="2" fillId="4" borderId="18" xfId="0" applyNumberFormat="1" applyFont="1" applyFill="1" applyBorder="1" applyAlignment="1" applyProtection="1">
      <alignment horizontal="center" vertical="center"/>
    </xf>
    <xf numFmtId="0" fontId="0" fillId="4" borderId="18" xfId="0" applyFill="1" applyBorder="1" applyAlignment="1" applyProtection="1">
      <alignment horizontal="center" vertical="center"/>
    </xf>
    <xf numFmtId="0" fontId="2" fillId="4" borderId="21" xfId="0" applyFont="1" applyFill="1" applyBorder="1" applyAlignment="1" applyProtection="1">
      <alignment horizontal="center" vertical="center"/>
    </xf>
    <xf numFmtId="0" fontId="2" fillId="21" borderId="72" xfId="0" applyFont="1" applyFill="1" applyBorder="1" applyAlignment="1" applyProtection="1">
      <alignment horizontal="center" vertical="center" wrapText="1"/>
    </xf>
    <xf numFmtId="0" fontId="51" fillId="8" borderId="1" xfId="0" applyFont="1" applyFill="1" applyBorder="1" applyAlignment="1" applyProtection="1">
      <alignment horizontal="center" vertical="top"/>
    </xf>
    <xf numFmtId="0" fontId="51" fillId="8" borderId="2" xfId="0" applyFont="1" applyFill="1" applyBorder="1" applyAlignment="1" applyProtection="1">
      <alignment horizontal="center" vertical="top"/>
    </xf>
    <xf numFmtId="0" fontId="51" fillId="8" borderId="12" xfId="0" applyFont="1" applyFill="1" applyBorder="1" applyAlignment="1" applyProtection="1">
      <alignment horizontal="center" vertical="top"/>
    </xf>
    <xf numFmtId="0" fontId="51" fillId="8" borderId="6" xfId="0" applyFont="1" applyFill="1" applyBorder="1" applyAlignment="1" applyProtection="1">
      <alignment horizontal="center" vertical="top"/>
    </xf>
    <xf numFmtId="0" fontId="51" fillId="8" borderId="0" xfId="0" applyFont="1" applyFill="1" applyBorder="1" applyAlignment="1" applyProtection="1">
      <alignment horizontal="center" vertical="top"/>
    </xf>
    <xf numFmtId="0" fontId="51" fillId="8" borderId="13" xfId="0" applyFont="1" applyFill="1" applyBorder="1" applyAlignment="1" applyProtection="1">
      <alignment horizontal="center" vertical="top"/>
    </xf>
    <xf numFmtId="0" fontId="51" fillId="0" borderId="1" xfId="0" applyFont="1" applyBorder="1" applyAlignment="1" applyProtection="1">
      <alignment horizontal="center" vertical="top"/>
    </xf>
    <xf numFmtId="0" fontId="51" fillId="0" borderId="2" xfId="0" applyFont="1" applyBorder="1" applyAlignment="1" applyProtection="1">
      <alignment horizontal="center" vertical="top"/>
    </xf>
    <xf numFmtId="0" fontId="51" fillId="0" borderId="12" xfId="0" applyFont="1" applyBorder="1" applyAlignment="1" applyProtection="1">
      <alignment horizontal="center" vertical="top"/>
    </xf>
    <xf numFmtId="0" fontId="51" fillId="0" borderId="6" xfId="0" applyFont="1" applyBorder="1" applyAlignment="1" applyProtection="1">
      <alignment horizontal="center" vertical="top"/>
    </xf>
    <xf numFmtId="0" fontId="51" fillId="0" borderId="0" xfId="0" applyFont="1" applyBorder="1" applyAlignment="1" applyProtection="1">
      <alignment horizontal="center" vertical="top"/>
    </xf>
    <xf numFmtId="0" fontId="51" fillId="0" borderId="13" xfId="0" applyFont="1" applyBorder="1" applyAlignment="1" applyProtection="1">
      <alignment horizontal="center" vertical="top"/>
    </xf>
    <xf numFmtId="0" fontId="51" fillId="0" borderId="68" xfId="0" applyFont="1" applyBorder="1" applyAlignment="1" applyProtection="1">
      <alignment horizontal="center" vertical="top"/>
    </xf>
    <xf numFmtId="0" fontId="51" fillId="0" borderId="69" xfId="0" applyFont="1" applyBorder="1" applyAlignment="1" applyProtection="1">
      <alignment horizontal="center" vertical="top"/>
    </xf>
    <xf numFmtId="0" fontId="51" fillId="0" borderId="70" xfId="0" applyFont="1" applyBorder="1" applyAlignment="1" applyProtection="1">
      <alignment horizontal="center" vertical="top"/>
    </xf>
    <xf numFmtId="0" fontId="51" fillId="0" borderId="11" xfId="0" applyFont="1" applyBorder="1" applyAlignment="1" applyProtection="1">
      <alignment horizontal="center" vertical="top"/>
    </xf>
    <xf numFmtId="0" fontId="51" fillId="0" borderId="15" xfId="0" applyFont="1" applyBorder="1" applyAlignment="1" applyProtection="1">
      <alignment horizontal="center" vertical="top"/>
    </xf>
    <xf numFmtId="0" fontId="51" fillId="0" borderId="16" xfId="0" applyFont="1" applyBorder="1" applyAlignment="1" applyProtection="1">
      <alignment horizontal="center" vertical="top"/>
    </xf>
    <xf numFmtId="0" fontId="51" fillId="8" borderId="1" xfId="0" applyFont="1" applyFill="1" applyBorder="1" applyAlignment="1" applyProtection="1">
      <alignment horizontal="center" vertical="center"/>
    </xf>
    <xf numFmtId="0" fontId="51" fillId="8" borderId="2" xfId="0" applyFont="1" applyFill="1" applyBorder="1" applyAlignment="1" applyProtection="1">
      <alignment horizontal="center" vertical="center"/>
    </xf>
    <xf numFmtId="0" fontId="51" fillId="8" borderId="12" xfId="0" applyFont="1" applyFill="1" applyBorder="1" applyAlignment="1" applyProtection="1">
      <alignment horizontal="center" vertical="center"/>
    </xf>
    <xf numFmtId="0" fontId="51" fillId="8" borderId="6" xfId="0" applyFont="1" applyFill="1" applyBorder="1" applyAlignment="1" applyProtection="1">
      <alignment horizontal="center" vertical="center"/>
    </xf>
    <xf numFmtId="0" fontId="51" fillId="8" borderId="0" xfId="0" applyFont="1" applyFill="1" applyBorder="1" applyAlignment="1" applyProtection="1">
      <alignment horizontal="center" vertical="center"/>
    </xf>
    <xf numFmtId="0" fontId="51" fillId="8" borderId="13" xfId="0" applyFont="1" applyFill="1" applyBorder="1" applyAlignment="1" applyProtection="1">
      <alignment horizontal="center" vertical="center"/>
    </xf>
    <xf numFmtId="0" fontId="32" fillId="25" borderId="7" xfId="0" applyFont="1" applyFill="1" applyBorder="1" applyAlignment="1">
      <alignment horizontal="center" vertical="center"/>
    </xf>
    <xf numFmtId="0" fontId="32" fillId="25" borderId="5" xfId="0" applyFont="1" applyFill="1" applyBorder="1" applyAlignment="1">
      <alignment horizontal="center" vertical="center"/>
    </xf>
    <xf numFmtId="0" fontId="32" fillId="25" borderId="8" xfId="0" applyFont="1" applyFill="1" applyBorder="1" applyAlignment="1">
      <alignment horizontal="center" vertical="center"/>
    </xf>
    <xf numFmtId="0" fontId="2" fillId="8" borderId="1" xfId="0" applyFont="1" applyFill="1" applyBorder="1" applyAlignment="1" applyProtection="1">
      <alignment horizontal="center" vertical="top" wrapText="1"/>
    </xf>
    <xf numFmtId="0" fontId="2" fillId="8" borderId="2" xfId="0" applyFont="1" applyFill="1" applyBorder="1" applyAlignment="1" applyProtection="1">
      <alignment horizontal="center" vertical="top"/>
    </xf>
    <xf numFmtId="0" fontId="2" fillId="8" borderId="12" xfId="0" applyFont="1" applyFill="1" applyBorder="1" applyAlignment="1" applyProtection="1">
      <alignment horizontal="center" vertical="top"/>
    </xf>
    <xf numFmtId="0" fontId="2" fillId="8" borderId="6" xfId="0" applyFont="1" applyFill="1" applyBorder="1" applyAlignment="1" applyProtection="1">
      <alignment horizontal="center" vertical="top"/>
    </xf>
    <xf numFmtId="0" fontId="2" fillId="8" borderId="0" xfId="0" applyFont="1" applyFill="1" applyBorder="1" applyAlignment="1" applyProtection="1">
      <alignment horizontal="center" vertical="top"/>
    </xf>
    <xf numFmtId="0" fontId="2" fillId="8" borderId="13" xfId="0" applyFont="1" applyFill="1" applyBorder="1" applyAlignment="1" applyProtection="1">
      <alignment horizontal="center" vertical="top"/>
    </xf>
    <xf numFmtId="0" fontId="2" fillId="8" borderId="11" xfId="0" applyFont="1" applyFill="1" applyBorder="1" applyAlignment="1" applyProtection="1">
      <alignment horizontal="center" vertical="top"/>
    </xf>
    <xf numFmtId="0" fontId="2" fillId="8" borderId="15" xfId="0" applyFont="1" applyFill="1" applyBorder="1" applyAlignment="1" applyProtection="1">
      <alignment horizontal="center" vertical="top"/>
    </xf>
    <xf numFmtId="0" fontId="2" fillId="8" borderId="16" xfId="0" applyFont="1" applyFill="1" applyBorder="1" applyAlignment="1" applyProtection="1">
      <alignment horizontal="center" vertical="top"/>
    </xf>
    <xf numFmtId="0" fontId="32" fillId="0" borderId="1" xfId="0" applyNumberFormat="1" applyFont="1" applyBorder="1" applyAlignment="1" applyProtection="1">
      <alignment horizontal="center" vertical="center"/>
    </xf>
    <xf numFmtId="0" fontId="32" fillId="0" borderId="2" xfId="0" applyNumberFormat="1" applyFont="1" applyBorder="1" applyAlignment="1" applyProtection="1">
      <alignment horizontal="center" vertical="center"/>
    </xf>
    <xf numFmtId="0" fontId="32" fillId="0" borderId="12" xfId="0" applyNumberFormat="1" applyFont="1" applyBorder="1" applyAlignment="1" applyProtection="1">
      <alignment horizontal="center" vertical="center"/>
    </xf>
    <xf numFmtId="0" fontId="32" fillId="0" borderId="6" xfId="0" applyNumberFormat="1" applyFont="1" applyBorder="1" applyAlignment="1" applyProtection="1">
      <alignment horizontal="center" vertical="center"/>
    </xf>
    <xf numFmtId="0" fontId="32" fillId="0" borderId="0" xfId="0" applyNumberFormat="1" applyFont="1" applyBorder="1" applyAlignment="1" applyProtection="1">
      <alignment horizontal="center" vertical="center"/>
    </xf>
    <xf numFmtId="0" fontId="32" fillId="0" borderId="13" xfId="0" applyNumberFormat="1" applyFont="1" applyBorder="1" applyAlignment="1" applyProtection="1">
      <alignment horizontal="center" vertical="center"/>
    </xf>
    <xf numFmtId="0" fontId="32" fillId="0" borderId="11" xfId="0" applyNumberFormat="1" applyFont="1" applyBorder="1" applyAlignment="1" applyProtection="1">
      <alignment horizontal="center" vertical="center"/>
    </xf>
    <xf numFmtId="0" fontId="32" fillId="0" borderId="15" xfId="0" applyNumberFormat="1" applyFont="1" applyBorder="1" applyAlignment="1" applyProtection="1">
      <alignment horizontal="center" vertical="center"/>
    </xf>
    <xf numFmtId="0" fontId="32" fillId="0" borderId="16" xfId="0" applyNumberFormat="1" applyFont="1" applyBorder="1" applyAlignment="1" applyProtection="1">
      <alignment horizontal="center" vertical="center"/>
    </xf>
    <xf numFmtId="0" fontId="33" fillId="8" borderId="1" xfId="0" applyFont="1" applyFill="1" applyBorder="1" applyAlignment="1">
      <alignment horizontal="center" vertical="center" wrapText="1"/>
    </xf>
    <xf numFmtId="0" fontId="33" fillId="8" borderId="12" xfId="0" applyFont="1" applyFill="1" applyBorder="1" applyAlignment="1">
      <alignment horizontal="center" vertical="center" wrapText="1"/>
    </xf>
    <xf numFmtId="0" fontId="33" fillId="8" borderId="6" xfId="0" applyFont="1" applyFill="1" applyBorder="1" applyAlignment="1">
      <alignment horizontal="center" vertical="center" wrapText="1"/>
    </xf>
    <xf numFmtId="0" fontId="33" fillId="8" borderId="13" xfId="0" applyFont="1" applyFill="1" applyBorder="1" applyAlignment="1">
      <alignment horizontal="center" vertical="center" wrapText="1"/>
    </xf>
    <xf numFmtId="0" fontId="33" fillId="8" borderId="11" xfId="0" applyFont="1" applyFill="1" applyBorder="1" applyAlignment="1">
      <alignment horizontal="center" vertical="center" wrapText="1"/>
    </xf>
    <xf numFmtId="0" fontId="33" fillId="8" borderId="16" xfId="0" applyFont="1" applyFill="1" applyBorder="1" applyAlignment="1">
      <alignment horizontal="center" vertical="center" wrapText="1"/>
    </xf>
    <xf numFmtId="0" fontId="74" fillId="0" borderId="1" xfId="0" applyFont="1" applyBorder="1" applyAlignment="1">
      <alignment horizontal="center" vertical="center" wrapText="1"/>
    </xf>
    <xf numFmtId="0" fontId="74" fillId="0" borderId="2" xfId="0" applyFont="1" applyBorder="1" applyAlignment="1">
      <alignment horizontal="center" vertical="center"/>
    </xf>
    <xf numFmtId="0" fontId="74" fillId="0" borderId="12" xfId="0" applyFont="1" applyBorder="1" applyAlignment="1">
      <alignment horizontal="center" vertical="center"/>
    </xf>
    <xf numFmtId="0" fontId="74" fillId="0" borderId="6" xfId="0" applyFont="1" applyBorder="1" applyAlignment="1">
      <alignment horizontal="center" vertical="center"/>
    </xf>
    <xf numFmtId="0" fontId="74" fillId="0" borderId="0" xfId="0" applyFont="1" applyBorder="1" applyAlignment="1">
      <alignment horizontal="center" vertical="center"/>
    </xf>
    <xf numFmtId="0" fontId="74" fillId="0" borderId="13" xfId="0" applyFont="1" applyBorder="1" applyAlignment="1">
      <alignment horizontal="center" vertical="center"/>
    </xf>
    <xf numFmtId="0" fontId="74" fillId="0" borderId="11" xfId="0" applyFont="1" applyBorder="1" applyAlignment="1">
      <alignment horizontal="center" vertical="center"/>
    </xf>
    <xf numFmtId="0" fontId="74" fillId="0" borderId="15" xfId="0" applyFont="1" applyBorder="1" applyAlignment="1">
      <alignment horizontal="center" vertical="center"/>
    </xf>
    <xf numFmtId="0" fontId="74" fillId="0" borderId="16" xfId="0" applyFont="1" applyBorder="1" applyAlignment="1">
      <alignment horizontal="center" vertical="center"/>
    </xf>
    <xf numFmtId="0" fontId="46" fillId="22" borderId="7" xfId="0" applyFont="1" applyFill="1" applyBorder="1" applyAlignment="1">
      <alignment horizontal="center" vertical="center"/>
    </xf>
    <xf numFmtId="0" fontId="46" fillId="22" borderId="5" xfId="0" applyFont="1" applyFill="1" applyBorder="1" applyAlignment="1">
      <alignment horizontal="center" vertical="center"/>
    </xf>
    <xf numFmtId="0" fontId="46" fillId="22" borderId="8" xfId="0" applyFont="1" applyFill="1" applyBorder="1" applyAlignment="1">
      <alignment horizontal="center" vertical="center"/>
    </xf>
    <xf numFmtId="0" fontId="32" fillId="17" borderId="7" xfId="0" applyFont="1" applyFill="1" applyBorder="1" applyAlignment="1">
      <alignment horizontal="center" vertical="center"/>
    </xf>
    <xf numFmtId="0" fontId="32" fillId="17" borderId="5" xfId="0" applyFont="1" applyFill="1" applyBorder="1" applyAlignment="1">
      <alignment horizontal="center" vertical="center"/>
    </xf>
    <xf numFmtId="0" fontId="32" fillId="17" borderId="8" xfId="0" applyFont="1" applyFill="1" applyBorder="1" applyAlignment="1">
      <alignment horizontal="center" vertical="center"/>
    </xf>
    <xf numFmtId="0" fontId="2" fillId="0" borderId="1" xfId="0" applyFont="1" applyBorder="1" applyAlignment="1" applyProtection="1">
      <alignment horizontal="center" vertical="top" wrapText="1"/>
    </xf>
    <xf numFmtId="0" fontId="2" fillId="0" borderId="2" xfId="0" applyFont="1" applyBorder="1" applyAlignment="1" applyProtection="1">
      <alignment horizontal="center" vertical="top"/>
    </xf>
    <xf numFmtId="0" fontId="2" fillId="0" borderId="12" xfId="0" applyFont="1" applyBorder="1" applyAlignment="1" applyProtection="1">
      <alignment horizontal="center" vertical="top"/>
    </xf>
    <xf numFmtId="0" fontId="2" fillId="0" borderId="6" xfId="0" applyFont="1" applyBorder="1" applyAlignment="1" applyProtection="1">
      <alignment horizontal="center" vertical="top"/>
    </xf>
    <xf numFmtId="0" fontId="2" fillId="0" borderId="0" xfId="0" applyFont="1" applyBorder="1" applyAlignment="1" applyProtection="1">
      <alignment horizontal="center" vertical="top"/>
    </xf>
    <xf numFmtId="0" fontId="2" fillId="0" borderId="13" xfId="0" applyFont="1" applyBorder="1" applyAlignment="1" applyProtection="1">
      <alignment horizontal="center" vertical="top"/>
    </xf>
    <xf numFmtId="0" fontId="2" fillId="0" borderId="11" xfId="0" applyFont="1" applyBorder="1" applyAlignment="1" applyProtection="1">
      <alignment horizontal="center" vertical="top"/>
    </xf>
    <xf numFmtId="0" fontId="2" fillId="0" borderId="15" xfId="0" applyFont="1" applyBorder="1" applyAlignment="1" applyProtection="1">
      <alignment horizontal="center" vertical="top"/>
    </xf>
    <xf numFmtId="0" fontId="2" fillId="0" borderId="16" xfId="0" applyFont="1" applyBorder="1" applyAlignment="1" applyProtection="1">
      <alignment horizontal="center" vertical="top"/>
    </xf>
    <xf numFmtId="0" fontId="2" fillId="8" borderId="1" xfId="0" applyFont="1" applyFill="1" applyBorder="1" applyAlignment="1" applyProtection="1">
      <alignment horizontal="center" wrapText="1"/>
    </xf>
    <xf numFmtId="0" fontId="2" fillId="8" borderId="2" xfId="0" applyFont="1" applyFill="1" applyBorder="1" applyAlignment="1" applyProtection="1">
      <alignment horizontal="center"/>
    </xf>
    <xf numFmtId="0" fontId="2" fillId="8" borderId="12" xfId="0" applyFont="1" applyFill="1" applyBorder="1" applyAlignment="1" applyProtection="1">
      <alignment horizontal="center"/>
    </xf>
    <xf numFmtId="0" fontId="2" fillId="8" borderId="6" xfId="0" applyFont="1" applyFill="1" applyBorder="1" applyAlignment="1" applyProtection="1">
      <alignment horizontal="center"/>
    </xf>
    <xf numFmtId="0" fontId="2" fillId="8" borderId="0" xfId="0" applyFont="1" applyFill="1" applyBorder="1" applyAlignment="1" applyProtection="1">
      <alignment horizontal="center"/>
    </xf>
    <xf numFmtId="0" fontId="2" fillId="8" borderId="13" xfId="0" applyFont="1" applyFill="1" applyBorder="1" applyAlignment="1" applyProtection="1">
      <alignment horizontal="center"/>
    </xf>
    <xf numFmtId="0" fontId="2" fillId="8" borderId="11" xfId="0" applyFont="1" applyFill="1" applyBorder="1" applyAlignment="1" applyProtection="1">
      <alignment horizontal="center"/>
    </xf>
    <xf numFmtId="0" fontId="2" fillId="8" borderId="15" xfId="0" applyFont="1" applyFill="1" applyBorder="1" applyAlignment="1" applyProtection="1">
      <alignment horizontal="center"/>
    </xf>
    <xf numFmtId="0" fontId="2" fillId="8" borderId="16" xfId="0" applyFont="1" applyFill="1" applyBorder="1" applyAlignment="1" applyProtection="1">
      <alignment horizontal="center"/>
    </xf>
    <xf numFmtId="0" fontId="65" fillId="0" borderId="7" xfId="58" applyFont="1" applyBorder="1" applyAlignment="1">
      <alignment horizontal="center" vertical="top" wrapText="1"/>
    </xf>
    <xf numFmtId="0" fontId="65" fillId="0" borderId="5" xfId="58" applyFont="1" applyBorder="1" applyAlignment="1">
      <alignment horizontal="center" vertical="top" wrapText="1"/>
    </xf>
    <xf numFmtId="0" fontId="51" fillId="8" borderId="11" xfId="0" applyFont="1" applyFill="1" applyBorder="1" applyAlignment="1" applyProtection="1">
      <alignment horizontal="center" vertical="top"/>
    </xf>
    <xf numFmtId="0" fontId="51" fillId="8" borderId="15" xfId="0" applyFont="1" applyFill="1" applyBorder="1" applyAlignment="1" applyProtection="1">
      <alignment horizontal="center" vertical="top"/>
    </xf>
    <xf numFmtId="0" fontId="51" fillId="8" borderId="16" xfId="0" applyFont="1" applyFill="1" applyBorder="1" applyAlignment="1" applyProtection="1">
      <alignment horizontal="center" vertical="top"/>
    </xf>
    <xf numFmtId="49" fontId="4" fillId="9" borderId="7" xfId="0" applyNumberFormat="1" applyFont="1" applyFill="1" applyBorder="1" applyAlignment="1" applyProtection="1">
      <alignment horizontal="center" vertical="center"/>
    </xf>
    <xf numFmtId="49" fontId="4" fillId="9" borderId="5" xfId="0" applyNumberFormat="1" applyFont="1" applyFill="1" applyBorder="1" applyAlignment="1" applyProtection="1">
      <alignment horizontal="center" vertical="center"/>
    </xf>
    <xf numFmtId="49" fontId="4" fillId="9" borderId="8" xfId="0" applyNumberFormat="1" applyFont="1" applyFill="1" applyBorder="1" applyAlignment="1" applyProtection="1">
      <alignment horizontal="center" vertical="center"/>
    </xf>
    <xf numFmtId="0" fontId="34" fillId="8" borderId="7" xfId="0" applyFont="1" applyFill="1" applyBorder="1" applyAlignment="1">
      <alignment horizontal="center" vertical="center"/>
    </xf>
    <xf numFmtId="0" fontId="34" fillId="8" borderId="8" xfId="0" applyFont="1" applyFill="1" applyBorder="1" applyAlignment="1">
      <alignment horizontal="center" vertical="center"/>
    </xf>
    <xf numFmtId="0" fontId="32" fillId="18" borderId="7" xfId="0" applyFont="1" applyFill="1" applyBorder="1" applyAlignment="1">
      <alignment horizontal="center" vertical="center" wrapText="1"/>
    </xf>
    <xf numFmtId="0" fontId="32" fillId="18" borderId="5" xfId="0" applyFont="1" applyFill="1" applyBorder="1" applyAlignment="1">
      <alignment horizontal="center" vertical="center" wrapText="1"/>
    </xf>
    <xf numFmtId="0" fontId="32" fillId="18" borderId="8" xfId="0" applyFont="1" applyFill="1" applyBorder="1" applyAlignment="1">
      <alignment horizontal="center" vertical="center" wrapText="1"/>
    </xf>
    <xf numFmtId="0" fontId="20" fillId="0" borderId="0" xfId="0" applyFont="1" applyAlignment="1">
      <alignment horizontal="center" vertical="center"/>
    </xf>
    <xf numFmtId="167" fontId="2" fillId="0" borderId="52" xfId="2" applyNumberFormat="1" applyFont="1" applyFill="1" applyBorder="1" applyAlignment="1" applyProtection="1">
      <alignment horizontal="center" vertical="center"/>
    </xf>
    <xf numFmtId="167" fontId="2" fillId="0" borderId="53" xfId="2" applyNumberFormat="1" applyFont="1" applyFill="1" applyBorder="1" applyAlignment="1" applyProtection="1">
      <alignment horizontal="center" vertical="center"/>
    </xf>
    <xf numFmtId="49" fontId="2" fillId="0" borderId="54" xfId="2" applyNumberFormat="1" applyFont="1" applyFill="1" applyBorder="1" applyAlignment="1" applyProtection="1">
      <alignment horizontal="center" vertical="center"/>
    </xf>
    <xf numFmtId="49" fontId="2" fillId="0" borderId="55" xfId="2" applyNumberFormat="1" applyFont="1" applyFill="1" applyBorder="1" applyAlignment="1" applyProtection="1">
      <alignment horizontal="center" vertical="center"/>
    </xf>
    <xf numFmtId="0" fontId="2" fillId="7" borderId="19" xfId="0" applyFont="1" applyFill="1" applyBorder="1" applyAlignment="1" applyProtection="1">
      <alignment horizontal="center" vertical="center" wrapText="1"/>
    </xf>
    <xf numFmtId="0" fontId="2" fillId="7" borderId="20" xfId="0" applyFont="1" applyFill="1" applyBorder="1" applyAlignment="1" applyProtection="1">
      <alignment horizontal="center" vertical="center" wrapText="1"/>
    </xf>
    <xf numFmtId="0" fontId="59" fillId="0" borderId="19" xfId="0" applyFont="1" applyBorder="1" applyAlignment="1">
      <alignment horizontal="center" vertical="center"/>
    </xf>
    <xf numFmtId="0" fontId="59" fillId="0" borderId="20" xfId="0" applyFont="1" applyBorder="1" applyAlignment="1">
      <alignment horizontal="center" vertical="center"/>
    </xf>
    <xf numFmtId="0" fontId="4" fillId="9" borderId="7" xfId="0" applyNumberFormat="1" applyFont="1" applyFill="1" applyBorder="1" applyAlignment="1" applyProtection="1">
      <alignment horizontal="center" vertical="center"/>
    </xf>
    <xf numFmtId="0" fontId="4" fillId="9" borderId="5" xfId="0" applyNumberFormat="1" applyFont="1" applyFill="1" applyBorder="1" applyAlignment="1" applyProtection="1">
      <alignment horizontal="center" vertical="center"/>
    </xf>
    <xf numFmtId="0" fontId="4" fillId="9" borderId="8" xfId="0" applyNumberFormat="1" applyFont="1" applyFill="1" applyBorder="1" applyAlignment="1" applyProtection="1">
      <alignment horizontal="center" vertical="center"/>
    </xf>
    <xf numFmtId="0" fontId="38" fillId="9" borderId="1" xfId="0" applyNumberFormat="1"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9" borderId="12" xfId="0" applyNumberFormat="1" applyFont="1" applyFill="1" applyBorder="1" applyAlignment="1" applyProtection="1">
      <alignment horizontal="center" vertical="center"/>
    </xf>
    <xf numFmtId="0" fontId="38" fillId="9" borderId="11" xfId="0" applyNumberFormat="1" applyFont="1" applyFill="1" applyBorder="1" applyAlignment="1" applyProtection="1">
      <alignment horizontal="center" vertical="center"/>
    </xf>
    <xf numFmtId="0" fontId="38" fillId="9" borderId="15" xfId="0" applyNumberFormat="1" applyFont="1" applyFill="1" applyBorder="1" applyAlignment="1" applyProtection="1">
      <alignment horizontal="center" vertical="center"/>
    </xf>
    <xf numFmtId="0" fontId="38" fillId="9" borderId="16" xfId="0" applyNumberFormat="1" applyFont="1" applyFill="1" applyBorder="1" applyAlignment="1" applyProtection="1">
      <alignment horizontal="center" vertical="center"/>
    </xf>
    <xf numFmtId="0" fontId="76" fillId="19" borderId="1" xfId="0" applyFont="1" applyFill="1" applyBorder="1" applyAlignment="1" applyProtection="1">
      <alignment horizontal="center" vertical="center" wrapText="1"/>
      <protection locked="0"/>
    </xf>
    <xf numFmtId="0" fontId="45" fillId="26" borderId="2" xfId="0" applyFont="1" applyFill="1" applyBorder="1" applyAlignment="1" applyProtection="1">
      <alignment horizontal="center" vertical="center" wrapText="1"/>
      <protection locked="0"/>
    </xf>
    <xf numFmtId="0" fontId="45" fillId="26" borderId="12" xfId="0" applyFont="1" applyFill="1" applyBorder="1" applyAlignment="1" applyProtection="1">
      <alignment horizontal="center" vertical="center" wrapText="1"/>
      <protection locked="0"/>
    </xf>
    <xf numFmtId="0" fontId="45" fillId="26" borderId="6" xfId="0" applyFont="1" applyFill="1" applyBorder="1" applyAlignment="1" applyProtection="1">
      <alignment horizontal="center" vertical="center" wrapText="1"/>
      <protection locked="0"/>
    </xf>
    <xf numFmtId="0" fontId="45" fillId="26" borderId="0" xfId="0" applyFont="1" applyFill="1" applyBorder="1" applyAlignment="1" applyProtection="1">
      <alignment horizontal="center" vertical="center" wrapText="1"/>
      <protection locked="0"/>
    </xf>
    <xf numFmtId="0" fontId="45" fillId="26" borderId="13" xfId="0" applyFont="1" applyFill="1" applyBorder="1" applyAlignment="1" applyProtection="1">
      <alignment horizontal="center" vertical="center" wrapText="1"/>
      <protection locked="0"/>
    </xf>
    <xf numFmtId="0" fontId="45" fillId="26" borderId="11" xfId="0" applyFont="1" applyFill="1" applyBorder="1" applyAlignment="1" applyProtection="1">
      <alignment horizontal="center" vertical="center" wrapText="1"/>
      <protection locked="0"/>
    </xf>
    <xf numFmtId="0" fontId="45" fillId="26" borderId="15" xfId="0" applyFont="1" applyFill="1" applyBorder="1" applyAlignment="1" applyProtection="1">
      <alignment horizontal="center" vertical="center" wrapText="1"/>
      <protection locked="0"/>
    </xf>
    <xf numFmtId="0" fontId="45" fillId="26" borderId="16" xfId="0" applyFont="1" applyFill="1" applyBorder="1" applyAlignment="1" applyProtection="1">
      <alignment horizontal="center" vertical="center" wrapText="1"/>
      <protection locked="0"/>
    </xf>
    <xf numFmtId="0" fontId="20" fillId="0" borderId="1" xfId="0" applyFont="1" applyBorder="1" applyAlignment="1">
      <alignment horizontal="center" vertical="top"/>
    </xf>
    <xf numFmtId="0" fontId="20" fillId="0" borderId="2" xfId="0" applyFont="1" applyBorder="1" applyAlignment="1">
      <alignment horizontal="center" vertical="top"/>
    </xf>
    <xf numFmtId="0" fontId="20" fillId="0" borderId="12" xfId="0" applyFont="1" applyBorder="1" applyAlignment="1">
      <alignment horizontal="center" vertical="top"/>
    </xf>
    <xf numFmtId="0" fontId="2" fillId="0" borderId="1" xfId="2" applyFont="1" applyFill="1" applyBorder="1" applyAlignment="1" applyProtection="1">
      <alignment horizontal="center" vertical="center" wrapText="1"/>
    </xf>
    <xf numFmtId="0" fontId="2" fillId="0" borderId="6" xfId="2" applyFont="1" applyFill="1" applyBorder="1" applyAlignment="1" applyProtection="1">
      <alignment horizontal="center" vertical="center" wrapText="1"/>
    </xf>
    <xf numFmtId="0" fontId="2" fillId="0" borderId="11" xfId="2" applyFont="1" applyFill="1" applyBorder="1" applyAlignment="1" applyProtection="1">
      <alignment horizontal="center" vertical="center" wrapText="1"/>
    </xf>
    <xf numFmtId="0" fontId="4" fillId="0" borderId="2" xfId="2" applyFont="1" applyFill="1" applyBorder="1" applyAlignment="1" applyProtection="1">
      <alignment horizontal="center" vertical="center"/>
    </xf>
    <xf numFmtId="0" fontId="4" fillId="0" borderId="15" xfId="2" applyFont="1" applyFill="1" applyBorder="1" applyAlignment="1" applyProtection="1">
      <alignment horizontal="center" vertical="center"/>
    </xf>
    <xf numFmtId="0" fontId="2" fillId="0" borderId="23" xfId="0" applyFont="1" applyFill="1" applyBorder="1" applyAlignment="1" applyProtection="1">
      <alignment horizontal="center" vertical="center" wrapText="1"/>
    </xf>
    <xf numFmtId="0" fontId="2" fillId="0" borderId="24" xfId="0" applyFont="1" applyFill="1" applyBorder="1" applyAlignment="1" applyProtection="1">
      <alignment horizontal="center" vertical="center" wrapText="1"/>
    </xf>
    <xf numFmtId="4" fontId="2" fillId="2" borderId="0" xfId="2" applyNumberFormat="1" applyFont="1" applyFill="1" applyBorder="1" applyAlignment="1" applyProtection="1">
      <alignment horizontal="center" vertical="center" wrapText="1"/>
      <protection locked="0"/>
    </xf>
    <xf numFmtId="49" fontId="2" fillId="2" borderId="17" xfId="2" applyNumberFormat="1" applyFont="1" applyFill="1" applyBorder="1" applyAlignment="1" applyProtection="1">
      <alignment horizontal="center" vertical="center"/>
      <protection locked="0"/>
    </xf>
    <xf numFmtId="49" fontId="2" fillId="2" borderId="0" xfId="2" applyNumberFormat="1" applyFont="1" applyFill="1" applyBorder="1" applyAlignment="1" applyProtection="1">
      <alignment horizontal="center" vertical="center"/>
      <protection locked="0"/>
    </xf>
    <xf numFmtId="14" fontId="2" fillId="2" borderId="17" xfId="2" applyNumberFormat="1" applyFill="1" applyBorder="1" applyAlignment="1" applyProtection="1">
      <alignment horizontal="center" vertical="center"/>
      <protection locked="0"/>
    </xf>
    <xf numFmtId="14" fontId="2" fillId="2" borderId="0" xfId="2" applyNumberFormat="1" applyFill="1" applyBorder="1" applyAlignment="1" applyProtection="1">
      <alignment horizontal="center" vertical="center"/>
      <protection locked="0"/>
    </xf>
    <xf numFmtId="0" fontId="75" fillId="8" borderId="1" xfId="0" applyFont="1" applyFill="1" applyBorder="1" applyAlignment="1">
      <alignment horizontal="center" vertical="center" wrapText="1"/>
    </xf>
    <xf numFmtId="0" fontId="75" fillId="8" borderId="12" xfId="0" applyFont="1" applyFill="1" applyBorder="1" applyAlignment="1">
      <alignment horizontal="center" vertical="center" wrapText="1"/>
    </xf>
    <xf numFmtId="0" fontId="75" fillId="8" borderId="11" xfId="0" applyFont="1" applyFill="1" applyBorder="1" applyAlignment="1">
      <alignment horizontal="center" vertical="center" wrapText="1"/>
    </xf>
    <xf numFmtId="0" fontId="75" fillId="8" borderId="16" xfId="0" applyFont="1" applyFill="1" applyBorder="1" applyAlignment="1">
      <alignment horizontal="center" vertical="center" wrapText="1"/>
    </xf>
    <xf numFmtId="0" fontId="2" fillId="5" borderId="0" xfId="0" quotePrefix="1" applyFont="1" applyFill="1" applyAlignment="1" applyProtection="1">
      <alignment horizontal="center" vertical="center"/>
      <protection locked="0"/>
    </xf>
    <xf numFmtId="0" fontId="31" fillId="0" borderId="10" xfId="2" applyFont="1" applyFill="1" applyBorder="1" applyAlignment="1" applyProtection="1">
      <alignment horizontal="center" vertical="center" wrapText="1"/>
    </xf>
    <xf numFmtId="0" fontId="31" fillId="0" borderId="9" xfId="2" applyFont="1" applyFill="1" applyBorder="1" applyAlignment="1" applyProtection="1">
      <alignment horizontal="center" vertical="center" wrapText="1"/>
    </xf>
    <xf numFmtId="0" fontId="4" fillId="0" borderId="1" xfId="2" applyFont="1" applyFill="1" applyBorder="1" applyAlignment="1" applyProtection="1">
      <alignment horizontal="center" vertical="center"/>
    </xf>
    <xf numFmtId="0" fontId="4" fillId="0" borderId="11" xfId="2" applyFont="1" applyFill="1" applyBorder="1" applyAlignment="1" applyProtection="1">
      <alignment horizontal="center" vertical="center"/>
    </xf>
    <xf numFmtId="0" fontId="6" fillId="0" borderId="6" xfId="0" applyFont="1" applyBorder="1" applyAlignment="1" applyProtection="1">
      <alignment horizontal="center" vertical="center"/>
    </xf>
    <xf numFmtId="0" fontId="6" fillId="0" borderId="0" xfId="0" applyFont="1" applyBorder="1" applyAlignment="1" applyProtection="1">
      <alignment horizontal="center" vertical="center"/>
    </xf>
    <xf numFmtId="0" fontId="6" fillId="0" borderId="13" xfId="0" applyFont="1" applyBorder="1" applyAlignment="1" applyProtection="1">
      <alignment horizontal="center" vertical="center"/>
    </xf>
    <xf numFmtId="0" fontId="6" fillId="0" borderId="11" xfId="0" applyFont="1" applyBorder="1" applyAlignment="1" applyProtection="1">
      <alignment horizontal="center" vertical="center"/>
    </xf>
    <xf numFmtId="0" fontId="6" fillId="0" borderId="15" xfId="0" applyFont="1" applyBorder="1" applyAlignment="1" applyProtection="1">
      <alignment horizontal="center" vertical="center"/>
    </xf>
    <xf numFmtId="0" fontId="6" fillId="0" borderId="16" xfId="0" applyFont="1" applyBorder="1" applyAlignment="1" applyProtection="1">
      <alignment horizontal="center" vertical="center"/>
    </xf>
    <xf numFmtId="0" fontId="2" fillId="0" borderId="50" xfId="2" applyFont="1" applyFill="1" applyBorder="1" applyAlignment="1" applyProtection="1">
      <alignment horizontal="center" vertical="center" wrapText="1"/>
    </xf>
    <xf numFmtId="0" fontId="2" fillId="0" borderId="51" xfId="2" applyFont="1" applyFill="1" applyBorder="1" applyAlignment="1" applyProtection="1">
      <alignment horizontal="center" vertical="center" wrapText="1"/>
    </xf>
    <xf numFmtId="0" fontId="20" fillId="0" borderId="68" xfId="0" applyFont="1" applyBorder="1" applyAlignment="1">
      <alignment horizontal="center" vertical="top"/>
    </xf>
    <xf numFmtId="0" fontId="20" fillId="0" borderId="69" xfId="0" applyFont="1" applyBorder="1" applyAlignment="1">
      <alignment horizontal="center" vertical="top"/>
    </xf>
    <xf numFmtId="0" fontId="20" fillId="0" borderId="70" xfId="0" applyFont="1" applyBorder="1" applyAlignment="1">
      <alignment horizontal="center" vertical="top"/>
    </xf>
    <xf numFmtId="0" fontId="20" fillId="0" borderId="6" xfId="0" applyFont="1" applyBorder="1" applyAlignment="1">
      <alignment horizontal="center" vertical="top"/>
    </xf>
    <xf numFmtId="0" fontId="20" fillId="0" borderId="0" xfId="0" applyFont="1" applyBorder="1" applyAlignment="1">
      <alignment horizontal="center" vertical="top"/>
    </xf>
    <xf numFmtId="0" fontId="20" fillId="0" borderId="13" xfId="0" applyFont="1" applyBorder="1" applyAlignment="1">
      <alignment horizontal="center" vertical="top"/>
    </xf>
    <xf numFmtId="0" fontId="20" fillId="0" borderId="11" xfId="0" applyFont="1" applyBorder="1" applyAlignment="1">
      <alignment horizontal="center" vertical="top"/>
    </xf>
    <xf numFmtId="0" fontId="20" fillId="0" borderId="15" xfId="0" applyFont="1" applyBorder="1" applyAlignment="1">
      <alignment horizontal="center" vertical="top"/>
    </xf>
    <xf numFmtId="0" fontId="20" fillId="0" borderId="16" xfId="0" applyFont="1" applyBorder="1" applyAlignment="1">
      <alignment horizontal="center" vertical="top"/>
    </xf>
    <xf numFmtId="0" fontId="32" fillId="26" borderId="7" xfId="0" applyFont="1" applyFill="1" applyBorder="1" applyAlignment="1">
      <alignment horizontal="center" vertical="center"/>
    </xf>
    <xf numFmtId="0" fontId="32" fillId="26" borderId="5" xfId="0" applyFont="1" applyFill="1" applyBorder="1" applyAlignment="1">
      <alignment horizontal="center" vertical="center"/>
    </xf>
    <xf numFmtId="0" fontId="32" fillId="26" borderId="8" xfId="0" applyFont="1" applyFill="1" applyBorder="1" applyAlignment="1">
      <alignment horizontal="center" vertical="center"/>
    </xf>
    <xf numFmtId="0" fontId="2" fillId="8" borderId="1" xfId="0" applyFont="1" applyFill="1" applyBorder="1" applyAlignment="1" applyProtection="1">
      <alignment horizontal="center" vertical="center" wrapText="1"/>
    </xf>
    <xf numFmtId="0" fontId="2" fillId="8" borderId="2" xfId="0" applyFont="1" applyFill="1" applyBorder="1" applyAlignment="1" applyProtection="1">
      <alignment horizontal="center" vertical="center"/>
    </xf>
    <xf numFmtId="0" fontId="2" fillId="8" borderId="12" xfId="0" applyFont="1" applyFill="1" applyBorder="1" applyAlignment="1" applyProtection="1">
      <alignment horizontal="center" vertical="center"/>
    </xf>
    <xf numFmtId="0" fontId="2" fillId="8" borderId="6" xfId="0" applyFont="1" applyFill="1" applyBorder="1" applyAlignment="1" applyProtection="1">
      <alignment horizontal="center" vertical="center"/>
    </xf>
    <xf numFmtId="0" fontId="2" fillId="8" borderId="0" xfId="0" applyFont="1" applyFill="1" applyBorder="1" applyAlignment="1" applyProtection="1">
      <alignment horizontal="center" vertical="center"/>
    </xf>
    <xf numFmtId="0" fontId="2" fillId="8" borderId="13" xfId="0" applyFont="1" applyFill="1" applyBorder="1" applyAlignment="1" applyProtection="1">
      <alignment horizontal="center" vertical="center"/>
    </xf>
    <xf numFmtId="0" fontId="2" fillId="8" borderId="11" xfId="0" applyFont="1" applyFill="1" applyBorder="1" applyAlignment="1" applyProtection="1">
      <alignment horizontal="center" vertical="center"/>
    </xf>
    <xf numFmtId="0" fontId="2" fillId="8" borderId="15" xfId="0" applyFont="1" applyFill="1" applyBorder="1" applyAlignment="1" applyProtection="1">
      <alignment horizontal="center" vertical="center"/>
    </xf>
    <xf numFmtId="0" fontId="2" fillId="8" borderId="16" xfId="0" applyFont="1" applyFill="1" applyBorder="1" applyAlignment="1" applyProtection="1">
      <alignment horizontal="center" vertical="center"/>
    </xf>
    <xf numFmtId="0" fontId="46" fillId="27" borderId="7" xfId="0" applyFont="1" applyFill="1" applyBorder="1" applyAlignment="1">
      <alignment horizontal="center" vertical="center"/>
    </xf>
    <xf numFmtId="0" fontId="46" fillId="27" borderId="5" xfId="0" applyFont="1" applyFill="1" applyBorder="1" applyAlignment="1">
      <alignment horizontal="center" vertical="center"/>
    </xf>
    <xf numFmtId="0" fontId="46" fillId="27" borderId="8" xfId="0" applyFont="1" applyFill="1" applyBorder="1" applyAlignment="1">
      <alignment horizontal="center" vertical="center"/>
    </xf>
    <xf numFmtId="0" fontId="32" fillId="28" borderId="7" xfId="0" applyFont="1" applyFill="1" applyBorder="1" applyAlignment="1">
      <alignment horizontal="center" vertical="center"/>
    </xf>
    <xf numFmtId="0" fontId="32" fillId="28" borderId="5" xfId="0" applyFont="1" applyFill="1" applyBorder="1" applyAlignment="1">
      <alignment horizontal="center" vertical="center"/>
    </xf>
    <xf numFmtId="0" fontId="32" fillId="28" borderId="8" xfId="0" applyFont="1" applyFill="1" applyBorder="1" applyAlignment="1">
      <alignment horizontal="center" vertical="center"/>
    </xf>
    <xf numFmtId="0" fontId="35" fillId="0" borderId="10" xfId="0" applyFont="1" applyBorder="1" applyAlignment="1">
      <alignment horizontal="center" vertical="center"/>
    </xf>
    <xf numFmtId="0" fontId="41" fillId="0" borderId="0" xfId="0" applyFont="1" applyAlignment="1">
      <alignment horizontal="center" vertical="center"/>
    </xf>
    <xf numFmtId="0" fontId="42" fillId="0" borderId="0" xfId="0" applyFont="1" applyAlignment="1">
      <alignment horizontal="center" vertical="center"/>
    </xf>
    <xf numFmtId="0" fontId="0" fillId="0" borderId="0" xfId="0" applyAlignment="1">
      <alignment horizontal="center" wrapText="1"/>
    </xf>
    <xf numFmtId="0" fontId="0" fillId="0" borderId="0" xfId="0" applyAlignment="1">
      <alignment horizontal="center"/>
    </xf>
    <xf numFmtId="0" fontId="54" fillId="0" borderId="7" xfId="0" applyFont="1" applyBorder="1" applyAlignment="1">
      <alignment horizontal="center" vertical="center"/>
    </xf>
    <xf numFmtId="0" fontId="54" fillId="0" borderId="8" xfId="0" applyFont="1" applyBorder="1" applyAlignment="1">
      <alignment horizontal="center" vertical="center"/>
    </xf>
    <xf numFmtId="0" fontId="2" fillId="0" borderId="7" xfId="5" applyBorder="1" applyAlignment="1">
      <alignment vertical="center" wrapText="1"/>
    </xf>
    <xf numFmtId="0" fontId="2" fillId="0" borderId="5" xfId="5" applyBorder="1" applyAlignment="1">
      <alignment vertical="center"/>
    </xf>
    <xf numFmtId="0" fontId="2" fillId="0" borderId="8" xfId="5" applyBorder="1" applyAlignment="1">
      <alignment vertical="center"/>
    </xf>
    <xf numFmtId="0" fontId="2" fillId="0" borderId="7" xfId="5" applyBorder="1" applyAlignment="1">
      <alignment wrapText="1"/>
    </xf>
    <xf numFmtId="0" fontId="2" fillId="0" borderId="5" xfId="5" applyBorder="1" applyAlignment="1">
      <alignment wrapText="1"/>
    </xf>
    <xf numFmtId="0" fontId="2" fillId="0" borderId="8" xfId="5" applyBorder="1" applyAlignment="1">
      <alignment wrapText="1"/>
    </xf>
    <xf numFmtId="0" fontId="2" fillId="0" borderId="1" xfId="5" applyBorder="1" applyAlignment="1">
      <alignment horizontal="center"/>
    </xf>
    <xf numFmtId="0" fontId="2" fillId="0" borderId="2" xfId="5" applyBorder="1" applyAlignment="1">
      <alignment horizontal="center"/>
    </xf>
    <xf numFmtId="0" fontId="2" fillId="0" borderId="12" xfId="5" applyBorder="1" applyAlignment="1">
      <alignment horizontal="center"/>
    </xf>
    <xf numFmtId="0" fontId="2" fillId="0" borderId="6" xfId="5" applyBorder="1" applyAlignment="1">
      <alignment horizontal="center"/>
    </xf>
    <xf numFmtId="0" fontId="2" fillId="0" borderId="0" xfId="5" applyAlignment="1">
      <alignment horizontal="center"/>
    </xf>
    <xf numFmtId="0" fontId="2" fillId="0" borderId="13" xfId="5" applyBorder="1" applyAlignment="1">
      <alignment horizontal="center"/>
    </xf>
    <xf numFmtId="0" fontId="2" fillId="0" borderId="11" xfId="5" applyBorder="1" applyAlignment="1">
      <alignment horizontal="center"/>
    </xf>
    <xf numFmtId="0" fontId="2" fillId="0" borderId="15" xfId="5" applyBorder="1" applyAlignment="1">
      <alignment horizontal="center"/>
    </xf>
    <xf numFmtId="0" fontId="2" fillId="0" borderId="16" xfId="5" applyBorder="1" applyAlignment="1">
      <alignment horizontal="center"/>
    </xf>
    <xf numFmtId="0" fontId="38" fillId="8" borderId="1" xfId="5" applyFont="1" applyFill="1" applyBorder="1" applyAlignment="1">
      <alignment horizontal="center" vertical="center"/>
    </xf>
    <xf numFmtId="0" fontId="38" fillId="8" borderId="2" xfId="5" applyFont="1" applyFill="1" applyBorder="1" applyAlignment="1">
      <alignment horizontal="center" vertical="center"/>
    </xf>
    <xf numFmtId="0" fontId="38" fillId="8" borderId="12" xfId="5" applyFont="1" applyFill="1" applyBorder="1" applyAlignment="1">
      <alignment horizontal="center" vertical="center"/>
    </xf>
    <xf numFmtId="0" fontId="38" fillId="8" borderId="6" xfId="5" applyFont="1" applyFill="1" applyBorder="1" applyAlignment="1">
      <alignment horizontal="center" vertical="center"/>
    </xf>
    <xf numFmtId="0" fontId="38" fillId="8" borderId="0" xfId="5" applyFont="1" applyFill="1" applyAlignment="1">
      <alignment horizontal="center" vertical="center"/>
    </xf>
    <xf numFmtId="0" fontId="38" fillId="8" borderId="13" xfId="5" applyFont="1" applyFill="1" applyBorder="1" applyAlignment="1">
      <alignment horizontal="center" vertical="center"/>
    </xf>
    <xf numFmtId="0" fontId="38" fillId="8" borderId="11" xfId="5" applyFont="1" applyFill="1" applyBorder="1" applyAlignment="1">
      <alignment horizontal="center" vertical="center"/>
    </xf>
    <xf numFmtId="0" fontId="38" fillId="8" borderId="15" xfId="5" applyFont="1" applyFill="1" applyBorder="1" applyAlignment="1">
      <alignment horizontal="center" vertical="center"/>
    </xf>
    <xf numFmtId="0" fontId="38" fillId="8" borderId="16" xfId="5" applyFont="1" applyFill="1" applyBorder="1" applyAlignment="1">
      <alignment horizontal="center" vertical="center"/>
    </xf>
    <xf numFmtId="0" fontId="2" fillId="8" borderId="1" xfId="5" applyFill="1" applyBorder="1" applyAlignment="1">
      <alignment horizontal="center" vertical="center" wrapText="1"/>
    </xf>
    <xf numFmtId="0" fontId="2" fillId="8" borderId="2" xfId="5" applyFill="1" applyBorder="1" applyAlignment="1">
      <alignment horizontal="center" vertical="center" wrapText="1"/>
    </xf>
    <xf numFmtId="0" fontId="2" fillId="8" borderId="12" xfId="5" applyFill="1" applyBorder="1" applyAlignment="1">
      <alignment horizontal="center" vertical="center" wrapText="1"/>
    </xf>
    <xf numFmtId="0" fontId="2" fillId="8" borderId="6" xfId="5" applyFill="1" applyBorder="1" applyAlignment="1">
      <alignment horizontal="center" vertical="center" wrapText="1"/>
    </xf>
    <xf numFmtId="0" fontId="2" fillId="8" borderId="0" xfId="5" applyFill="1" applyBorder="1" applyAlignment="1">
      <alignment horizontal="center" vertical="center" wrapText="1"/>
    </xf>
    <xf numFmtId="0" fontId="2" fillId="8" borderId="13" xfId="5" applyFill="1" applyBorder="1" applyAlignment="1">
      <alignment horizontal="center" vertical="center" wrapText="1"/>
    </xf>
    <xf numFmtId="0" fontId="2" fillId="8" borderId="11" xfId="5" applyFill="1" applyBorder="1" applyAlignment="1">
      <alignment horizontal="center" vertical="center" wrapText="1"/>
    </xf>
    <xf numFmtId="0" fontId="2" fillId="8" borderId="15" xfId="5" applyFill="1" applyBorder="1" applyAlignment="1">
      <alignment horizontal="center" vertical="center" wrapText="1"/>
    </xf>
    <xf numFmtId="0" fontId="2" fillId="8" borderId="16" xfId="5" applyFill="1" applyBorder="1" applyAlignment="1">
      <alignment horizontal="center" vertical="center" wrapText="1"/>
    </xf>
    <xf numFmtId="0" fontId="4" fillId="20" borderId="7" xfId="5" applyFont="1" applyFill="1" applyBorder="1" applyAlignment="1">
      <alignment horizontal="center" vertical="center"/>
    </xf>
    <xf numFmtId="0" fontId="4" fillId="20" borderId="5" xfId="5" applyFont="1" applyFill="1" applyBorder="1" applyAlignment="1">
      <alignment horizontal="center" vertical="center"/>
    </xf>
    <xf numFmtId="0" fontId="4" fillId="20" borderId="8" xfId="5" applyFont="1" applyFill="1" applyBorder="1" applyAlignment="1">
      <alignment horizontal="center" vertical="center"/>
    </xf>
    <xf numFmtId="0" fontId="4" fillId="20" borderId="7" xfId="5" applyFont="1" applyFill="1" applyBorder="1"/>
    <xf numFmtId="0" fontId="2" fillId="0" borderId="5" xfId="5" applyBorder="1"/>
    <xf numFmtId="0" fontId="2" fillId="0" borderId="8" xfId="5" applyBorder="1"/>
    <xf numFmtId="0" fontId="2" fillId="0" borderId="7" xfId="5" applyBorder="1" applyAlignment="1">
      <alignment horizontal="left" wrapText="1"/>
    </xf>
    <xf numFmtId="0" fontId="2" fillId="0" borderId="5" xfId="5" applyBorder="1" applyAlignment="1">
      <alignment horizontal="left" wrapText="1"/>
    </xf>
    <xf numFmtId="0" fontId="2" fillId="0" borderId="8" xfId="5" applyBorder="1" applyAlignment="1">
      <alignment horizontal="left" wrapText="1"/>
    </xf>
  </cellXfs>
  <cellStyles count="368">
    <cellStyle name="Calculation" xfId="7" builtinId="22" hidden="1"/>
    <cellStyle name="Comma" xfId="124" builtinId="3"/>
    <cellStyle name="Comma [0] 2" xfId="11" xr:uid="{1F534177-F039-4614-ABD3-5228390349C5}"/>
    <cellStyle name="Comma [0] 2 10" xfId="126" xr:uid="{1E3E34DE-8B64-4360-B80D-A8F12FF02CA9}"/>
    <cellStyle name="Comma [0] 2 10 2" xfId="248" xr:uid="{D62CDDE6-D9CB-45B3-88C5-7F25A82E8D37}"/>
    <cellStyle name="Comma [0] 2 2" xfId="16" xr:uid="{D72C7A32-CB25-41DF-98B2-B133DD75187A}"/>
    <cellStyle name="Comma [0] 2 2 2" xfId="23" xr:uid="{C1A6D6C8-47A8-455B-818B-1C1F4C13D263}"/>
    <cellStyle name="Comma [0] 2 2 2 2" xfId="39" xr:uid="{C1A6D6C8-47A8-455B-818B-1C1F4C13D263}"/>
    <cellStyle name="Comma [0] 2 2 2 2 2" xfId="62" xr:uid="{812145BD-8915-4A98-8F81-23807EFC46A4}"/>
    <cellStyle name="Comma [0] 2 2 2 2 2 2" xfId="96" xr:uid="{5BE47AE4-24BB-4647-A57F-8D676F07DBC8}"/>
    <cellStyle name="Comma [0] 2 2 2 2 2 2 2" xfId="227" xr:uid="{653DA511-88EE-49FD-85A9-6E1CD3786933}"/>
    <cellStyle name="Comma [0] 2 2 2 2 2 2 2 2" xfId="349" xr:uid="{32DFFD40-A302-4694-AF75-C7FF5CF0CD59}"/>
    <cellStyle name="Comma [0] 2 2 2 2 2 2 3" xfId="167" xr:uid="{8589E115-CCD5-4363-BFE9-DD722BBF088A}"/>
    <cellStyle name="Comma [0] 2 2 2 2 2 2 3 2" xfId="289" xr:uid="{2C0E7364-02E7-4DFB-981C-279E1A2215E1}"/>
    <cellStyle name="Comma [0] 2 2 2 2 2 3" xfId="209" xr:uid="{BD382196-E561-4CF3-83BF-5DD1C8979FB4}"/>
    <cellStyle name="Comma [0] 2 2 2 2 2 3 2" xfId="331" xr:uid="{9958E266-1A1F-442C-A995-6241CA19B97D}"/>
    <cellStyle name="Comma [0] 2 2 2 2 2 4" xfId="149" xr:uid="{B111E6EC-89E9-4A89-B797-65CFCCE30F69}"/>
    <cellStyle name="Comma [0] 2 2 2 2 2 4 2" xfId="271" xr:uid="{D00A0383-D346-4804-94C9-9A21368438A0}"/>
    <cellStyle name="Comma [0] 2 2 2 2 3" xfId="88" xr:uid="{34A6456B-205F-4840-A9CC-D6E867DC74FD}"/>
    <cellStyle name="Comma [0] 2 2 2 2 3 2" xfId="106" xr:uid="{EB328C78-8BA2-4F9F-BE59-E9C56FE57ED6}"/>
    <cellStyle name="Comma [0] 2 2 2 2 3 2 2" xfId="237" xr:uid="{1C54F59E-23E6-4D16-8C22-2CDED19889F2}"/>
    <cellStyle name="Comma [0] 2 2 2 2 3 2 2 2" xfId="359" xr:uid="{556AADC5-5A81-4C9F-A34D-9F457FA2474B}"/>
    <cellStyle name="Comma [0] 2 2 2 2 3 2 3" xfId="177" xr:uid="{7FF6A76D-8A6C-4935-A115-298800058C45}"/>
    <cellStyle name="Comma [0] 2 2 2 2 3 2 3 2" xfId="299" xr:uid="{F8011E3D-08E4-4461-95B8-B00B5B8D8B26}"/>
    <cellStyle name="Comma [0] 2 2 2 2 3 3" xfId="219" xr:uid="{4CCABFB7-895A-480C-8776-7DC8C036E7BC}"/>
    <cellStyle name="Comma [0] 2 2 2 2 3 3 2" xfId="341" xr:uid="{2CAFAD00-F622-4D4F-9099-CAD68A20D235}"/>
    <cellStyle name="Comma [0] 2 2 2 2 3 4" xfId="159" xr:uid="{0F31FEFD-4B94-45B7-9627-72691BF1A2F3}"/>
    <cellStyle name="Comma [0] 2 2 2 2 3 4 2" xfId="281" xr:uid="{47681C35-AC35-4348-8518-DFB2525713A0}"/>
    <cellStyle name="Comma [0] 2 2 2 2 4" xfId="48" xr:uid="{6E17FA4C-159F-4DE6-BDAB-F7119017CFAC}"/>
    <cellStyle name="Comma [0] 2 2 2 2 4 2" xfId="201" xr:uid="{24003BCA-E41E-4ACB-B104-7D74684BE435}"/>
    <cellStyle name="Comma [0] 2 2 2 2 4 2 2" xfId="323" xr:uid="{CCB562D6-D1D5-4AFC-8957-63A355EC0FE3}"/>
    <cellStyle name="Comma [0] 2 2 2 2 4 3" xfId="141" xr:uid="{DAF697BF-9258-4360-B8D8-9207CF44AA76}"/>
    <cellStyle name="Comma [0] 2 2 2 2 4 3 2" xfId="263" xr:uid="{71785F13-D89E-4BA5-AD67-80ACB9266800}"/>
    <cellStyle name="Comma [0] 2 2 2 2 5" xfId="114" xr:uid="{E1F8A647-FF60-4EB7-A60D-D070AE9C150D}"/>
    <cellStyle name="Comma [0] 2 2 2 2 5 2" xfId="245" xr:uid="{269D63EA-A6F3-4FFA-AD45-9CD9B7CA7087}"/>
    <cellStyle name="Comma [0] 2 2 2 2 5 2 2" xfId="367" xr:uid="{1D1B8C6F-B2A0-40AA-B541-FA8B69920A1A}"/>
    <cellStyle name="Comma [0] 2 2 2 2 5 3" xfId="185" xr:uid="{6646FD49-541A-4D80-96AA-CA1CDB680529}"/>
    <cellStyle name="Comma [0] 2 2 2 2 5 3 2" xfId="307" xr:uid="{0C425475-8FA6-44E4-8B01-D2CE2FC002CD}"/>
    <cellStyle name="Comma [0] 2 2 2 2 6" xfId="122" xr:uid="{2572FA1B-3B00-45C9-9260-4A8883043F75}"/>
    <cellStyle name="Comma [0] 2 2 2 2 6 2" xfId="193" xr:uid="{C40A705F-7DCA-4652-98F5-7DC809BD17EE}"/>
    <cellStyle name="Comma [0] 2 2 2 2 6 2 2" xfId="315" xr:uid="{73226D72-A4A4-4EEB-8D2B-5F13CC337D46}"/>
    <cellStyle name="Comma [0] 2 2 2 2 7" xfId="133" xr:uid="{8FE05D97-C2F5-43C0-B325-E0F22259123D}"/>
    <cellStyle name="Comma [0] 2 2 2 2 7 2" xfId="255" xr:uid="{F1C98AC4-C617-4571-8EF1-7DD399EBF093}"/>
    <cellStyle name="Comma [0] 2 2 2 3" xfId="53" xr:uid="{AF480F5A-7D97-483B-AEC8-AD6F94E1DE6B}"/>
    <cellStyle name="Comma [0] 2 2 2 3 2" xfId="92" xr:uid="{64118FEC-0237-4BB4-A9AC-1110C4347369}"/>
    <cellStyle name="Comma [0] 2 2 2 3 2 2" xfId="223" xr:uid="{852B8DFD-2BDB-4F02-8600-6BD143F98DBD}"/>
    <cellStyle name="Comma [0] 2 2 2 3 2 2 2" xfId="345" xr:uid="{91B71FA7-4837-4651-9C74-55B357A83C05}"/>
    <cellStyle name="Comma [0] 2 2 2 3 2 3" xfId="163" xr:uid="{9653FD80-5BD8-4C89-9FE5-1671C4EEA8AE}"/>
    <cellStyle name="Comma [0] 2 2 2 3 2 3 2" xfId="285" xr:uid="{78C35AFE-F002-4DE0-B8AF-F52DB7402B76}"/>
    <cellStyle name="Comma [0] 2 2 2 3 3" xfId="205" xr:uid="{C38B2E87-41B3-4801-B254-7EFB98174086}"/>
    <cellStyle name="Comma [0] 2 2 2 3 3 2" xfId="327" xr:uid="{CA61DA74-16F4-477F-BC54-99FAAF2F2105}"/>
    <cellStyle name="Comma [0] 2 2 2 3 4" xfId="145" xr:uid="{35EE366E-52C1-44EC-98C4-70C60BEE8BC7}"/>
    <cellStyle name="Comma [0] 2 2 2 3 4 2" xfId="267" xr:uid="{FED72790-7781-4EC8-8FFE-9AD401708505}"/>
    <cellStyle name="Comma [0] 2 2 2 4" xfId="84" xr:uid="{F026BE05-834A-478D-B547-3608A8C78C5D}"/>
    <cellStyle name="Comma [0] 2 2 2 4 2" xfId="102" xr:uid="{1A34F11A-15A5-49FA-A5AB-96B39368A062}"/>
    <cellStyle name="Comma [0] 2 2 2 4 2 2" xfId="233" xr:uid="{38C84F25-36D2-4238-BC10-EA91DCFA3481}"/>
    <cellStyle name="Comma [0] 2 2 2 4 2 2 2" xfId="355" xr:uid="{CF09DCAF-12DE-40CE-9D6C-18138FA861BA}"/>
    <cellStyle name="Comma [0] 2 2 2 4 2 3" xfId="173" xr:uid="{F8230DDD-A362-4B88-B9DD-781EC44A4A73}"/>
    <cellStyle name="Comma [0] 2 2 2 4 2 3 2" xfId="295" xr:uid="{7F7B7715-54DD-44A4-91F2-667A2E391F41}"/>
    <cellStyle name="Comma [0] 2 2 2 4 3" xfId="215" xr:uid="{493E0740-FAF0-42AB-A6CA-86256E46C5B6}"/>
    <cellStyle name="Comma [0] 2 2 2 4 3 2" xfId="337" xr:uid="{AD6F1B2E-BCD5-4356-A77C-15B3A3B06F4E}"/>
    <cellStyle name="Comma [0] 2 2 2 4 4" xfId="155" xr:uid="{1E6B3283-D108-4548-B056-A5B9884DAB09}"/>
    <cellStyle name="Comma [0] 2 2 2 4 4 2" xfId="277" xr:uid="{07DB9B55-591F-4F21-AB4B-37EE6DFC8DDD}"/>
    <cellStyle name="Comma [0] 2 2 2 5" xfId="44" xr:uid="{B99D6AB2-F3E6-48F7-9AC3-6A2B0C058BEC}"/>
    <cellStyle name="Comma [0] 2 2 2 5 2" xfId="197" xr:uid="{568F9982-5096-4515-8DAB-8C8C4353E4D6}"/>
    <cellStyle name="Comma [0] 2 2 2 5 2 2" xfId="319" xr:uid="{35842A6B-E274-48B4-9D7E-1152AAC36CFB}"/>
    <cellStyle name="Comma [0] 2 2 2 5 3" xfId="137" xr:uid="{E032BDA7-6778-4F49-8934-C12CCEE5AEE5}"/>
    <cellStyle name="Comma [0] 2 2 2 5 3 2" xfId="259" xr:uid="{3DF7B88F-52F7-46E7-A803-DFD573FD3246}"/>
    <cellStyle name="Comma [0] 2 2 2 6" xfId="110" xr:uid="{05E77EF5-5814-464D-9B01-F666CB5235B4}"/>
    <cellStyle name="Comma [0] 2 2 2 6 2" xfId="241" xr:uid="{3A4F3764-44C4-40F2-9ED3-B7BAC267C14C}"/>
    <cellStyle name="Comma [0] 2 2 2 6 2 2" xfId="363" xr:uid="{CADD9107-441E-4801-B578-A6F570D13130}"/>
    <cellStyle name="Comma [0] 2 2 2 6 3" xfId="181" xr:uid="{7B8836B5-4699-47FC-901E-9CD9FFC9442A}"/>
    <cellStyle name="Comma [0] 2 2 2 6 3 2" xfId="303" xr:uid="{73EDC5D4-B034-4D1A-830E-9A47788EFD44}"/>
    <cellStyle name="Comma [0] 2 2 2 7" xfId="118" xr:uid="{A0C5E270-52CA-413B-9B86-4AD96F08D39E}"/>
    <cellStyle name="Comma [0] 2 2 2 7 2" xfId="189" xr:uid="{FC221C17-1600-4587-A30B-BF79A2FFDE63}"/>
    <cellStyle name="Comma [0] 2 2 2 7 2 2" xfId="311" xr:uid="{F2D9129A-CAF1-4D20-8414-B3932A2DEE64}"/>
    <cellStyle name="Comma [0] 2 2 2 8" xfId="129" xr:uid="{B3EFB892-CC62-4A7B-80E6-D513B359FDB1}"/>
    <cellStyle name="Comma [0] 2 2 2 8 2" xfId="251" xr:uid="{4515E272-108B-4505-9CE5-F3431EA512A7}"/>
    <cellStyle name="Comma [0] 2 2 3" xfId="37" xr:uid="{D72C7A32-CB25-41DF-98B2-B133DD75187A}"/>
    <cellStyle name="Comma [0] 2 2 3 2" xfId="60" xr:uid="{5CC3B41D-7F67-472A-80ED-76A1936BB417}"/>
    <cellStyle name="Comma [0] 2 2 3 2 2" xfId="94" xr:uid="{CE7D9F5F-0CF6-44B7-92EA-708BE21539A3}"/>
    <cellStyle name="Comma [0] 2 2 3 2 2 2" xfId="225" xr:uid="{0588BF89-3F74-48F1-929A-E000DAFA494B}"/>
    <cellStyle name="Comma [0] 2 2 3 2 2 2 2" xfId="347" xr:uid="{DDA33806-593C-4D4F-BE71-10CBBBB76F14}"/>
    <cellStyle name="Comma [0] 2 2 3 2 2 3" xfId="165" xr:uid="{09E268A5-4518-4489-9831-E7CB2647E9D5}"/>
    <cellStyle name="Comma [0] 2 2 3 2 2 3 2" xfId="287" xr:uid="{33CCEC51-5549-4499-BC5D-FACA54C29E4E}"/>
    <cellStyle name="Comma [0] 2 2 3 2 3" xfId="207" xr:uid="{85AB960A-18BB-476D-91D1-85C6E2745691}"/>
    <cellStyle name="Comma [0] 2 2 3 2 3 2" xfId="329" xr:uid="{E058928B-7A3E-4F3C-8FA7-DDE7E3958952}"/>
    <cellStyle name="Comma [0] 2 2 3 2 4" xfId="147" xr:uid="{26C3F518-6000-4A94-80AD-FB1EC3478E7B}"/>
    <cellStyle name="Comma [0] 2 2 3 2 4 2" xfId="269" xr:uid="{78071A26-F728-4690-A2DC-3A6E18C44E7D}"/>
    <cellStyle name="Comma [0] 2 2 3 3" xfId="86" xr:uid="{C21A9A30-F0C5-4CC1-900E-F73793D23517}"/>
    <cellStyle name="Comma [0] 2 2 3 3 2" xfId="104" xr:uid="{C26D41DF-B0AD-4926-9A90-903BA354EF10}"/>
    <cellStyle name="Comma [0] 2 2 3 3 2 2" xfId="235" xr:uid="{F1C52934-B640-4FE3-BAF4-741C1AF21C73}"/>
    <cellStyle name="Comma [0] 2 2 3 3 2 2 2" xfId="357" xr:uid="{CBD5CAFB-B7C0-4457-BD45-27A17ED8096E}"/>
    <cellStyle name="Comma [0] 2 2 3 3 2 3" xfId="175" xr:uid="{47AE33E6-CAA1-4250-8D8D-40A5A48EDFEF}"/>
    <cellStyle name="Comma [0] 2 2 3 3 2 3 2" xfId="297" xr:uid="{A5D0A211-B6FA-4519-BD47-B1E46301816F}"/>
    <cellStyle name="Comma [0] 2 2 3 3 3" xfId="217" xr:uid="{DA2CD14E-B3C7-4FE7-966C-2F89C3B45B01}"/>
    <cellStyle name="Comma [0] 2 2 3 3 3 2" xfId="339" xr:uid="{7E777FC9-AD19-4FF6-88C5-32C5526C1BF6}"/>
    <cellStyle name="Comma [0] 2 2 3 3 4" xfId="157" xr:uid="{037FCB11-6A21-447D-882F-3E85749AD239}"/>
    <cellStyle name="Comma [0] 2 2 3 3 4 2" xfId="279" xr:uid="{AD77C010-5E10-47A8-A3D2-9EBABBAA5485}"/>
    <cellStyle name="Comma [0] 2 2 3 4" xfId="46" xr:uid="{A99C6784-D5EB-48BD-9E84-A57A55B1E2EF}"/>
    <cellStyle name="Comma [0] 2 2 3 4 2" xfId="199" xr:uid="{746CFA61-4EC5-480F-84FF-3CA4981EAEBE}"/>
    <cellStyle name="Comma [0] 2 2 3 4 2 2" xfId="321" xr:uid="{2D2EB506-9EAB-4D39-A83D-27033750B833}"/>
    <cellStyle name="Comma [0] 2 2 3 4 3" xfId="139" xr:uid="{96481055-9886-4358-89ED-737FF3D011F2}"/>
    <cellStyle name="Comma [0] 2 2 3 4 3 2" xfId="261" xr:uid="{369B4D1B-5E43-447D-A5C1-38E67254AA49}"/>
    <cellStyle name="Comma [0] 2 2 3 5" xfId="112" xr:uid="{4AD7D5D9-17D0-4F46-87ED-9367207BCCE9}"/>
    <cellStyle name="Comma [0] 2 2 3 5 2" xfId="243" xr:uid="{521399BE-227E-494A-A5B2-70BDD388929B}"/>
    <cellStyle name="Comma [0] 2 2 3 5 2 2" xfId="365" xr:uid="{7D47202F-DE96-4CD7-874C-3767BB2CA7A0}"/>
    <cellStyle name="Comma [0] 2 2 3 5 3" xfId="183" xr:uid="{9144C3D4-7CC7-4C13-8020-3562C73D549F}"/>
    <cellStyle name="Comma [0] 2 2 3 5 3 2" xfId="305" xr:uid="{4AE434D4-5EE1-42A4-B44B-F7720EA4E256}"/>
    <cellStyle name="Comma [0] 2 2 3 6" xfId="120" xr:uid="{4A9E4BCE-1395-4104-801F-B4E63966A5C4}"/>
    <cellStyle name="Comma [0] 2 2 3 6 2" xfId="191" xr:uid="{A63D47B8-8080-4E8F-B0B1-0736657A6568}"/>
    <cellStyle name="Comma [0] 2 2 3 6 2 2" xfId="313" xr:uid="{56712D61-DB9C-4E6E-99C6-3BDC8B330012}"/>
    <cellStyle name="Comma [0] 2 2 3 7" xfId="131" xr:uid="{D3102562-8158-4888-A955-6B881F23C02D}"/>
    <cellStyle name="Comma [0] 2 2 3 7 2" xfId="253" xr:uid="{4962C926-1406-4DCB-A44E-A4EF2278A1CD}"/>
    <cellStyle name="Comma [0] 2 2 4" xfId="51" xr:uid="{1FC4C3D6-E7F3-4109-B639-EE86E761A014}"/>
    <cellStyle name="Comma [0] 2 2 4 2" xfId="90" xr:uid="{7848BECA-0330-4BC9-9C69-3D914B5C12F8}"/>
    <cellStyle name="Comma [0] 2 2 4 2 2" xfId="221" xr:uid="{F8A13C9F-8907-4595-BA81-AFABF077BBC3}"/>
    <cellStyle name="Comma [0] 2 2 4 2 2 2" xfId="343" xr:uid="{F96E6A4D-92D0-432B-905E-83CD09BFDC86}"/>
    <cellStyle name="Comma [0] 2 2 4 2 3" xfId="161" xr:uid="{EDFA4B94-213C-4A33-B6BD-AB592E6B7FE9}"/>
    <cellStyle name="Comma [0] 2 2 4 2 3 2" xfId="283" xr:uid="{23255BE8-D47E-40F8-AABD-5B507AC8AAF7}"/>
    <cellStyle name="Comma [0] 2 2 4 3" xfId="203" xr:uid="{9DA45916-268A-4D74-AC29-BABCF3B88737}"/>
    <cellStyle name="Comma [0] 2 2 4 3 2" xfId="325" xr:uid="{FBC1F14C-D56B-42F5-B5A5-1FAEED268430}"/>
    <cellStyle name="Comma [0] 2 2 4 4" xfId="143" xr:uid="{329B631B-BA54-4979-BA6F-C4F6D79AE6D7}"/>
    <cellStyle name="Comma [0] 2 2 4 4 2" xfId="265" xr:uid="{622AFC40-A6BB-48A6-B8F4-FD533A96A813}"/>
    <cellStyle name="Comma [0] 2 2 5" xfId="82" xr:uid="{6935C04A-DEE8-4267-9E34-DD0DD8A2E2BB}"/>
    <cellStyle name="Comma [0] 2 2 5 2" xfId="100" xr:uid="{DF46C350-2D80-410D-99B7-4B201B859AE9}"/>
    <cellStyle name="Comma [0] 2 2 5 2 2" xfId="231" xr:uid="{A8D7180B-99DB-4E92-B5FF-853EE2A156AF}"/>
    <cellStyle name="Comma [0] 2 2 5 2 2 2" xfId="353" xr:uid="{D02CB369-1955-4C2D-9659-05DCC916596B}"/>
    <cellStyle name="Comma [0] 2 2 5 2 3" xfId="171" xr:uid="{9A6FE6DB-D516-4603-A097-09EF4DF5E11C}"/>
    <cellStyle name="Comma [0] 2 2 5 2 3 2" xfId="293" xr:uid="{954C1F93-4C9C-43B1-9792-51AC7A6F9D13}"/>
    <cellStyle name="Comma [0] 2 2 5 3" xfId="213" xr:uid="{663D41F3-A012-4075-8820-38F05788384A}"/>
    <cellStyle name="Comma [0] 2 2 5 3 2" xfId="335" xr:uid="{6F3B0E8D-9713-40C6-9E86-28B4D19B72DF}"/>
    <cellStyle name="Comma [0] 2 2 5 4" xfId="153" xr:uid="{E29E8FB5-4F3B-41D4-86EE-F39F3AED74D1}"/>
    <cellStyle name="Comma [0] 2 2 5 4 2" xfId="275" xr:uid="{A6E6A8CB-CA72-4644-9553-DC6155FB423F}"/>
    <cellStyle name="Comma [0] 2 2 6" xfId="42" xr:uid="{09A79ACA-5096-4F6B-8EBA-1F2ED0A4A108}"/>
    <cellStyle name="Comma [0] 2 2 6 2" xfId="195" xr:uid="{0C6DCEEE-0C72-491F-B5DE-4C6F06E1A3D0}"/>
    <cellStyle name="Comma [0] 2 2 6 2 2" xfId="317" xr:uid="{0074C598-D91C-4EAF-9FB3-55DC83D2FC6B}"/>
    <cellStyle name="Comma [0] 2 2 6 3" xfId="135" xr:uid="{94BC281A-94DC-4556-AA51-CD31AF3C6F2F}"/>
    <cellStyle name="Comma [0] 2 2 6 3 2" xfId="257" xr:uid="{37E720DC-EE42-477A-BF7D-8D888F9DE8FE}"/>
    <cellStyle name="Comma [0] 2 2 7" xfId="108" xr:uid="{BF1277FE-A299-45E5-8ECC-1FEA4C7FD4EB}"/>
    <cellStyle name="Comma [0] 2 2 7 2" xfId="239" xr:uid="{EE7E24F7-78A3-4847-A5A2-7BF510A328B3}"/>
    <cellStyle name="Comma [0] 2 2 7 2 2" xfId="361" xr:uid="{447131D5-2C24-4CF2-A8A4-BA248E98A323}"/>
    <cellStyle name="Comma [0] 2 2 7 3" xfId="179" xr:uid="{A8DD4607-6DC1-4962-978D-08008344B68D}"/>
    <cellStyle name="Comma [0] 2 2 7 3 2" xfId="301" xr:uid="{0BC640E7-E989-47EA-A6EE-E03BBFBE3D26}"/>
    <cellStyle name="Comma [0] 2 2 8" xfId="116" xr:uid="{E0620F34-BE17-4A74-A68D-CD71C62C1D96}"/>
    <cellStyle name="Comma [0] 2 2 8 2" xfId="187" xr:uid="{55E45D1B-F433-41A1-9F5F-8965ADEB7262}"/>
    <cellStyle name="Comma [0] 2 2 8 2 2" xfId="309" xr:uid="{DFF20D09-E683-4D35-9F24-28EA95AAFB85}"/>
    <cellStyle name="Comma [0] 2 2 9" xfId="127" xr:uid="{34D31898-6CDA-4DF3-858F-1610D4F190FE}"/>
    <cellStyle name="Comma [0] 2 2 9 2" xfId="249" xr:uid="{B19C975A-45A9-4BC4-8F30-B22BEB1A4F9A}"/>
    <cellStyle name="Comma [0] 2 3" xfId="21" xr:uid="{A269F948-101D-48CB-83D0-5F836A2D8760}"/>
    <cellStyle name="Comma [0] 2 3 2" xfId="38" xr:uid="{A269F948-101D-48CB-83D0-5F836A2D8760}"/>
    <cellStyle name="Comma [0] 2 3 2 2" xfId="61" xr:uid="{53379B05-7F78-4AE7-B13F-28062BCEAE9F}"/>
    <cellStyle name="Comma [0] 2 3 2 2 2" xfId="95" xr:uid="{1A3235FD-8A30-4A87-A141-53EA3104ED08}"/>
    <cellStyle name="Comma [0] 2 3 2 2 2 2" xfId="226" xr:uid="{8EF81251-A25B-4D1E-AE1C-12BF05BBE70C}"/>
    <cellStyle name="Comma [0] 2 3 2 2 2 2 2" xfId="348" xr:uid="{DFB32164-A99E-4536-9478-466A09A0D051}"/>
    <cellStyle name="Comma [0] 2 3 2 2 2 3" xfId="166" xr:uid="{8205CA2D-2166-4803-9C0D-9488ED18278C}"/>
    <cellStyle name="Comma [0] 2 3 2 2 2 3 2" xfId="288" xr:uid="{05944076-60A6-4362-B167-DCC79B54AC89}"/>
    <cellStyle name="Comma [0] 2 3 2 2 3" xfId="208" xr:uid="{32961904-A192-4647-899A-D9ACA3544349}"/>
    <cellStyle name="Comma [0] 2 3 2 2 3 2" xfId="330" xr:uid="{42C54BE7-4487-48B4-8808-952A90EF285C}"/>
    <cellStyle name="Comma [0] 2 3 2 2 4" xfId="148" xr:uid="{840DC295-E2E1-4163-A9FD-99D6B91AD820}"/>
    <cellStyle name="Comma [0] 2 3 2 2 4 2" xfId="270" xr:uid="{49772B48-7916-4A33-B95A-310E6D26A1CD}"/>
    <cellStyle name="Comma [0] 2 3 2 3" xfId="87" xr:uid="{15757315-163D-4379-BF82-BC00D55F5348}"/>
    <cellStyle name="Comma [0] 2 3 2 3 2" xfId="105" xr:uid="{F9C3DE8A-5518-4116-B7DD-42EB92A1F404}"/>
    <cellStyle name="Comma [0] 2 3 2 3 2 2" xfId="236" xr:uid="{88757116-E2C8-4D54-BF46-2DED4D44953B}"/>
    <cellStyle name="Comma [0] 2 3 2 3 2 2 2" xfId="358" xr:uid="{B6EB09FA-3AE1-4925-8971-918275CD8961}"/>
    <cellStyle name="Comma [0] 2 3 2 3 2 3" xfId="176" xr:uid="{D10558EE-8BA9-4A61-B36F-9762A38B33D7}"/>
    <cellStyle name="Comma [0] 2 3 2 3 2 3 2" xfId="298" xr:uid="{2DE904DB-062A-41D5-931A-C0C41D14E27D}"/>
    <cellStyle name="Comma [0] 2 3 2 3 3" xfId="218" xr:uid="{B644FA5C-2FD9-43AE-946A-2578DEED0B0C}"/>
    <cellStyle name="Comma [0] 2 3 2 3 3 2" xfId="340" xr:uid="{BFCB705B-A583-4344-ACC3-E81450F70157}"/>
    <cellStyle name="Comma [0] 2 3 2 3 4" xfId="158" xr:uid="{6FF47100-6F6A-4602-9415-3469E22ECA60}"/>
    <cellStyle name="Comma [0] 2 3 2 3 4 2" xfId="280" xr:uid="{F1548846-0160-4A7F-9B83-FAEDA479A010}"/>
    <cellStyle name="Comma [0] 2 3 2 4" xfId="47" xr:uid="{8DB134ED-FF46-49FA-9CF6-CAFC6B11997C}"/>
    <cellStyle name="Comma [0] 2 3 2 4 2" xfId="200" xr:uid="{25DCF87C-546B-4008-8F0B-514C1AB2FFEF}"/>
    <cellStyle name="Comma [0] 2 3 2 4 2 2" xfId="322" xr:uid="{16131A53-3D63-456F-B84F-2D34E81598A4}"/>
    <cellStyle name="Comma [0] 2 3 2 4 3" xfId="140" xr:uid="{FF24C05D-8EF0-4840-A39C-F4F2C47A9113}"/>
    <cellStyle name="Comma [0] 2 3 2 4 3 2" xfId="262" xr:uid="{4AC66321-796E-446C-BF3A-344E3F7FD4BB}"/>
    <cellStyle name="Comma [0] 2 3 2 5" xfId="113" xr:uid="{F1936EF4-09A1-4AB5-9C7B-0B5D3E5B0BAA}"/>
    <cellStyle name="Comma [0] 2 3 2 5 2" xfId="244" xr:uid="{4C31C666-7206-4442-A35F-EBFDEF4664E4}"/>
    <cellStyle name="Comma [0] 2 3 2 5 2 2" xfId="366" xr:uid="{F8CF0137-07EA-4C83-BF20-679D8CAA4373}"/>
    <cellStyle name="Comma [0] 2 3 2 5 3" xfId="184" xr:uid="{F8902356-F3CF-46FA-9C55-C3200AD8CC70}"/>
    <cellStyle name="Comma [0] 2 3 2 5 3 2" xfId="306" xr:uid="{51D022C3-DA09-4FC6-AD40-6C7ACA2278CF}"/>
    <cellStyle name="Comma [0] 2 3 2 6" xfId="121" xr:uid="{27EE21B2-4AD5-4C46-A775-790B92215A05}"/>
    <cellStyle name="Comma [0] 2 3 2 6 2" xfId="192" xr:uid="{0D6ECCD8-2C00-4C32-A830-FEA21AFB1708}"/>
    <cellStyle name="Comma [0] 2 3 2 6 2 2" xfId="314" xr:uid="{4CA3706C-1ED5-47B3-BA58-F362C3880602}"/>
    <cellStyle name="Comma [0] 2 3 2 7" xfId="132" xr:uid="{ACFF81A8-CF3E-4B1B-BD4D-1870A2608845}"/>
    <cellStyle name="Comma [0] 2 3 2 7 2" xfId="254" xr:uid="{17BB1C4F-9F5A-4C52-A3EF-185AD643ABA3}"/>
    <cellStyle name="Comma [0] 2 3 3" xfId="52" xr:uid="{A89026B4-52EA-47D5-BA9C-98D6708BBE87}"/>
    <cellStyle name="Comma [0] 2 3 3 2" xfId="91" xr:uid="{0D2F4CE4-91DC-49C1-9CEA-E7F6449BA458}"/>
    <cellStyle name="Comma [0] 2 3 3 2 2" xfId="222" xr:uid="{A41EA886-9786-492D-8C2C-287F2ADDF361}"/>
    <cellStyle name="Comma [0] 2 3 3 2 2 2" xfId="344" xr:uid="{0FAF9F44-F0D4-49FF-B3C0-053BC0036B1E}"/>
    <cellStyle name="Comma [0] 2 3 3 2 3" xfId="162" xr:uid="{30900863-85A9-48A5-8DE2-707938DE5B0A}"/>
    <cellStyle name="Comma [0] 2 3 3 2 3 2" xfId="284" xr:uid="{7808EE53-73F4-4256-BBE1-D538D45784FD}"/>
    <cellStyle name="Comma [0] 2 3 3 3" xfId="204" xr:uid="{E0B98B26-BA09-4269-8EED-3C6F736F45E1}"/>
    <cellStyle name="Comma [0] 2 3 3 3 2" xfId="326" xr:uid="{B1C212A1-7B6D-42FA-B708-C156E2BD2E5F}"/>
    <cellStyle name="Comma [0] 2 3 3 4" xfId="144" xr:uid="{8AA3F970-903C-423B-824A-C1ABD2851318}"/>
    <cellStyle name="Comma [0] 2 3 3 4 2" xfId="266" xr:uid="{D58C41D4-BFDC-47D3-82C1-9B7F4A3E50DB}"/>
    <cellStyle name="Comma [0] 2 3 4" xfId="83" xr:uid="{F3687F43-96C9-4E0C-807A-A5E2482278E6}"/>
    <cellStyle name="Comma [0] 2 3 4 2" xfId="101" xr:uid="{B67B5C51-1B99-4172-B9A7-5C4F388AA5FB}"/>
    <cellStyle name="Comma [0] 2 3 4 2 2" xfId="232" xr:uid="{BCF12963-489C-466C-8774-5148C057681A}"/>
    <cellStyle name="Comma [0] 2 3 4 2 2 2" xfId="354" xr:uid="{9F0FB2F3-EE77-4344-87FF-519D0B90C486}"/>
    <cellStyle name="Comma [0] 2 3 4 2 3" xfId="172" xr:uid="{302C825E-5129-4B5E-9481-2B0D66871DBB}"/>
    <cellStyle name="Comma [0] 2 3 4 2 3 2" xfId="294" xr:uid="{12387F3A-3E0D-47C8-A8DD-F22CB959E6F0}"/>
    <cellStyle name="Comma [0] 2 3 4 3" xfId="214" xr:uid="{DDC48FC7-D066-458B-8400-8524C6B1B51D}"/>
    <cellStyle name="Comma [0] 2 3 4 3 2" xfId="336" xr:uid="{AB572167-C1FB-44A0-A590-2D5563DA1A0A}"/>
    <cellStyle name="Comma [0] 2 3 4 4" xfId="154" xr:uid="{CFBB3AC7-0AC1-4AB3-9FDF-8028107F7AC2}"/>
    <cellStyle name="Comma [0] 2 3 4 4 2" xfId="276" xr:uid="{6289E9F7-6EB6-436E-A369-9668B963C263}"/>
    <cellStyle name="Comma [0] 2 3 5" xfId="43" xr:uid="{E6C57D85-0170-48D6-8E4E-FC3A33DE3FAF}"/>
    <cellStyle name="Comma [0] 2 3 5 2" xfId="196" xr:uid="{FEFE0FD8-9352-47AA-A48C-10429D60BF87}"/>
    <cellStyle name="Comma [0] 2 3 5 2 2" xfId="318" xr:uid="{9698B795-688E-44C7-9989-E5B22B3419F6}"/>
    <cellStyle name="Comma [0] 2 3 5 3" xfId="136" xr:uid="{7F94C8F7-008E-4A36-BFBA-0DBB283E6D24}"/>
    <cellStyle name="Comma [0] 2 3 5 3 2" xfId="258" xr:uid="{F559C600-B0BA-4F7A-9FF2-64BE5DC73180}"/>
    <cellStyle name="Comma [0] 2 3 6" xfId="109" xr:uid="{40F60B53-BAC4-4906-9839-87D51B70B536}"/>
    <cellStyle name="Comma [0] 2 3 6 2" xfId="240" xr:uid="{1C3F8FCD-2878-49BD-9652-2D40B6D349B4}"/>
    <cellStyle name="Comma [0] 2 3 6 2 2" xfId="362" xr:uid="{2946A2C0-0B48-43B3-BC1A-26868FF734A7}"/>
    <cellStyle name="Comma [0] 2 3 6 3" xfId="180" xr:uid="{76BD601F-2C82-43FD-8761-9952E02FBF6D}"/>
    <cellStyle name="Comma [0] 2 3 6 3 2" xfId="302" xr:uid="{291524C2-131E-4228-8907-A838A5E274F7}"/>
    <cellStyle name="Comma [0] 2 3 7" xfId="117" xr:uid="{1D692036-B5AC-49A2-A4FD-CA8D4D13B1BA}"/>
    <cellStyle name="Comma [0] 2 3 7 2" xfId="188" xr:uid="{B2FCD811-6556-4F61-AD1C-1ED2FE830A35}"/>
    <cellStyle name="Comma [0] 2 3 7 2 2" xfId="310" xr:uid="{04051562-F232-410B-937A-8B3C03CE06AC}"/>
    <cellStyle name="Comma [0] 2 3 8" xfId="128" xr:uid="{0511D920-5A2B-4BE4-8382-98B6233F6E03}"/>
    <cellStyle name="Comma [0] 2 3 8 2" xfId="250" xr:uid="{E4744BEE-98C9-4BA9-817A-1CE66BBD93E3}"/>
    <cellStyle name="Comma [0] 2 4" xfId="36" xr:uid="{1F534177-F039-4614-ABD3-5228390349C5}"/>
    <cellStyle name="Comma [0] 2 4 2" xfId="59" xr:uid="{7830E544-AECC-4C9E-886C-C569C62C1F91}"/>
    <cellStyle name="Comma [0] 2 4 2 2" xfId="93" xr:uid="{275879F6-B076-43ED-9069-8983B992861C}"/>
    <cellStyle name="Comma [0] 2 4 2 2 2" xfId="224" xr:uid="{86FBB91E-ABCE-4A07-96E4-84C9F05580ED}"/>
    <cellStyle name="Comma [0] 2 4 2 2 2 2" xfId="346" xr:uid="{3BD6F18A-74D7-4F02-9961-6280BBF72444}"/>
    <cellStyle name="Comma [0] 2 4 2 2 3" xfId="164" xr:uid="{0F36754B-FA71-4DBD-B39E-B3DE3E27427A}"/>
    <cellStyle name="Comma [0] 2 4 2 2 3 2" xfId="286" xr:uid="{EEDB8EFA-152A-427D-A912-8BD0BBF668BD}"/>
    <cellStyle name="Comma [0] 2 4 2 3" xfId="206" xr:uid="{6983B682-6D87-4215-B4C1-11CC8F611A94}"/>
    <cellStyle name="Comma [0] 2 4 2 3 2" xfId="328" xr:uid="{A624374E-881B-4D61-9F08-9BC1397B7CB4}"/>
    <cellStyle name="Comma [0] 2 4 2 4" xfId="146" xr:uid="{9AE9E54A-5DCA-4F06-94FC-56A733F5D4E4}"/>
    <cellStyle name="Comma [0] 2 4 2 4 2" xfId="268" xr:uid="{7E9FBF31-6C42-4F95-B087-54C49BAD2B81}"/>
    <cellStyle name="Comma [0] 2 4 3" xfId="85" xr:uid="{2F0FF55A-83FC-4C3C-BD08-E772142B6A5B}"/>
    <cellStyle name="Comma [0] 2 4 3 2" xfId="103" xr:uid="{D211BB41-8F02-4B48-B326-3DB16E2CB0FE}"/>
    <cellStyle name="Comma [0] 2 4 3 2 2" xfId="234" xr:uid="{683EC18A-54A9-4516-BCD9-2E220F17CBB7}"/>
    <cellStyle name="Comma [0] 2 4 3 2 2 2" xfId="356" xr:uid="{F25AD42D-BB31-4477-A455-741D7E264BC0}"/>
    <cellStyle name="Comma [0] 2 4 3 2 3" xfId="174" xr:uid="{84683DA1-CF60-4667-8A3F-DB4A930EC1DE}"/>
    <cellStyle name="Comma [0] 2 4 3 2 3 2" xfId="296" xr:uid="{C184273B-9512-4FA5-A3A1-1AC95E65ED99}"/>
    <cellStyle name="Comma [0] 2 4 3 3" xfId="216" xr:uid="{753B7BB0-9A24-4EC0-8688-1DFB9A04D575}"/>
    <cellStyle name="Comma [0] 2 4 3 3 2" xfId="338" xr:uid="{F00FE3E2-F217-4B7C-ACB5-BC5F737EAAF0}"/>
    <cellStyle name="Comma [0] 2 4 3 4" xfId="156" xr:uid="{163AAE7E-658D-4401-919B-FA5591430A0A}"/>
    <cellStyle name="Comma [0] 2 4 3 4 2" xfId="278" xr:uid="{BBD7D5B2-14F4-4629-9FA0-AC5C4C250F8C}"/>
    <cellStyle name="Comma [0] 2 4 4" xfId="45" xr:uid="{3F5A294C-F8F6-4D71-9AF4-A902C07351DC}"/>
    <cellStyle name="Comma [0] 2 4 4 2" xfId="198" xr:uid="{CDCC0725-5799-4A9B-870E-E1206804915A}"/>
    <cellStyle name="Comma [0] 2 4 4 2 2" xfId="320" xr:uid="{D1CD29C0-242C-4EC7-BCCA-534630AA14BD}"/>
    <cellStyle name="Comma [0] 2 4 4 3" xfId="138" xr:uid="{54B5FEDB-95DA-44E1-AA13-BEB015979A91}"/>
    <cellStyle name="Comma [0] 2 4 4 3 2" xfId="260" xr:uid="{F626ED61-B176-48FC-B594-AE8067095A77}"/>
    <cellStyle name="Comma [0] 2 4 5" xfId="111" xr:uid="{8B2A4E12-9CFA-45BF-8ACD-6A0AA1E50588}"/>
    <cellStyle name="Comma [0] 2 4 5 2" xfId="242" xr:uid="{724E71B9-F749-4256-AABB-5158189184F4}"/>
    <cellStyle name="Comma [0] 2 4 5 2 2" xfId="364" xr:uid="{C110E93D-BA5D-47FC-B094-E356E68A0135}"/>
    <cellStyle name="Comma [0] 2 4 5 3" xfId="182" xr:uid="{DA2F46E5-3CE0-4BA8-8979-617B956269A7}"/>
    <cellStyle name="Comma [0] 2 4 5 3 2" xfId="304" xr:uid="{9F9A324D-ED83-4C66-A3C2-A7EFC6F4BF7D}"/>
    <cellStyle name="Comma [0] 2 4 6" xfId="119" xr:uid="{65603D4E-7738-4A48-BA7A-92581F91629D}"/>
    <cellStyle name="Comma [0] 2 4 6 2" xfId="190" xr:uid="{8D9F3829-E79A-4B1E-9C39-3BE258CEEEA1}"/>
    <cellStyle name="Comma [0] 2 4 6 2 2" xfId="312" xr:uid="{8B9E9493-F6F7-4F26-95AB-1EBD75A796E0}"/>
    <cellStyle name="Comma [0] 2 4 7" xfId="130" xr:uid="{AC864893-F1A5-4B6E-863B-345EC6140223}"/>
    <cellStyle name="Comma [0] 2 4 7 2" xfId="252" xr:uid="{882DC8FC-64CF-4CB6-9E6E-BAAAFF0B39D0}"/>
    <cellStyle name="Comma [0] 2 5" xfId="50" xr:uid="{64F2820D-905A-4934-8F89-46441CC54FB2}"/>
    <cellStyle name="Comma [0] 2 5 2" xfId="89" xr:uid="{B7F10624-934A-41EB-94F0-E00F8C245102}"/>
    <cellStyle name="Comma [0] 2 5 2 2" xfId="220" xr:uid="{125B72C1-2256-4792-8005-ABACE1DFEC9C}"/>
    <cellStyle name="Comma [0] 2 5 2 2 2" xfId="342" xr:uid="{DDB97945-4FC9-4336-BBB7-BE9E9BD032D7}"/>
    <cellStyle name="Comma [0] 2 5 2 3" xfId="160" xr:uid="{21329BB4-3BE8-443A-9707-FCD1D7932C11}"/>
    <cellStyle name="Comma [0] 2 5 2 3 2" xfId="282" xr:uid="{F4E5571A-0E32-4FD2-B963-898639D1B69E}"/>
    <cellStyle name="Comma [0] 2 5 3" xfId="202" xr:uid="{67B3A2EC-4C28-4E22-9B90-8A252CCF735D}"/>
    <cellStyle name="Comma [0] 2 5 3 2" xfId="324" xr:uid="{B92D1177-D9D9-4B12-BDB3-A37DC5CE61E4}"/>
    <cellStyle name="Comma [0] 2 5 4" xfId="142" xr:uid="{B7FDC055-C87A-45B2-9798-677982561DB1}"/>
    <cellStyle name="Comma [0] 2 5 4 2" xfId="264" xr:uid="{2D1D0C4B-058E-4E50-9B84-969F274387D0}"/>
    <cellStyle name="Comma [0] 2 6" xfId="81" xr:uid="{B0A5ED68-0154-4806-A2A0-439655AB59EC}"/>
    <cellStyle name="Comma [0] 2 6 2" xfId="99" xr:uid="{DE60C567-2C21-4670-9591-1DF5E60F065B}"/>
    <cellStyle name="Comma [0] 2 6 2 2" xfId="230" xr:uid="{B0B71207-B007-4F20-A4F0-B4D22DDFC7C6}"/>
    <cellStyle name="Comma [0] 2 6 2 2 2" xfId="352" xr:uid="{E61DA164-E847-4125-823B-99224904EBFA}"/>
    <cellStyle name="Comma [0] 2 6 2 3" xfId="170" xr:uid="{03E83957-66CC-4998-B31A-BAB64B040B97}"/>
    <cellStyle name="Comma [0] 2 6 2 3 2" xfId="292" xr:uid="{9F03FD64-102F-4580-B4AD-F923D7ACE5F1}"/>
    <cellStyle name="Comma [0] 2 6 3" xfId="212" xr:uid="{ACA30064-C045-4594-AAE7-F464A34AAA27}"/>
    <cellStyle name="Comma [0] 2 6 3 2" xfId="334" xr:uid="{61BEED90-6B8D-41EB-893B-C5E4432DF232}"/>
    <cellStyle name="Comma [0] 2 6 4" xfId="152" xr:uid="{5627A3B7-AE24-4649-AF55-CA01B446F833}"/>
    <cellStyle name="Comma [0] 2 6 4 2" xfId="274" xr:uid="{B436D134-1D59-4AA9-9E83-EA81AA3C73BE}"/>
    <cellStyle name="Comma [0] 2 7" xfId="41" xr:uid="{98A175FF-47AA-490F-A296-8B68399B1705}"/>
    <cellStyle name="Comma [0] 2 7 2" xfId="194" xr:uid="{8AB34392-E4BD-4869-A0C6-6B295267C3B9}"/>
    <cellStyle name="Comma [0] 2 7 2 2" xfId="316" xr:uid="{F075CF4D-C2CD-46D5-83CC-6AE39C0A722B}"/>
    <cellStyle name="Comma [0] 2 7 3" xfId="134" xr:uid="{56C154E1-6A65-4F06-A779-D36268702BDA}"/>
    <cellStyle name="Comma [0] 2 7 3 2" xfId="256" xr:uid="{7071DB0F-73AE-4CFC-974A-C5787E227400}"/>
    <cellStyle name="Comma [0] 2 8" xfId="107" xr:uid="{B38BE3B6-7B38-4676-98A0-BA20601A55CA}"/>
    <cellStyle name="Comma [0] 2 8 2" xfId="238" xr:uid="{92A6E03E-35BD-44DF-B9C9-BD50FB8E1C91}"/>
    <cellStyle name="Comma [0] 2 8 2 2" xfId="360" xr:uid="{BD34DC57-2105-442C-92D7-37FF27B16D06}"/>
    <cellStyle name="Comma [0] 2 8 3" xfId="178" xr:uid="{ADE4E9B0-CA6B-4654-A470-6D4ECE390671}"/>
    <cellStyle name="Comma [0] 2 8 3 2" xfId="300" xr:uid="{9BE222DB-3F82-477C-A83A-3F6AD3D8C843}"/>
    <cellStyle name="Comma [0] 2 9" xfId="115" xr:uid="{C7E00B4C-7225-4977-BF1F-3EF83D9F23F6}"/>
    <cellStyle name="Comma [0] 2 9 2" xfId="186" xr:uid="{057A52EE-0ED4-4601-95FD-327D5D4B888C}"/>
    <cellStyle name="Comma [0] 2 9 2 2" xfId="308" xr:uid="{7370569C-DCFA-4B89-9876-D70E5ED7BE80}"/>
    <cellStyle name="Comma 2" xfId="247" xr:uid="{03567A7E-20B4-4C47-A288-82076AB0D5A6}"/>
    <cellStyle name="Comma 3" xfId="246" xr:uid="{B497958A-A61D-43C1-9FDB-EA8851ED3C81}"/>
    <cellStyle name="Currency 2" xfId="76" xr:uid="{D6F6BBD1-DEE8-4B1C-ACFF-56147255C3FE}"/>
    <cellStyle name="Currency 2 2" xfId="78" xr:uid="{BAC1DEE1-13E1-45AB-B3D5-311F6BE6C68C}"/>
    <cellStyle name="Currency 2 2 2" xfId="98" xr:uid="{D37B49A6-4644-476A-9A2E-5E5B303630FE}"/>
    <cellStyle name="Currency 2 2 2 2" xfId="229" xr:uid="{E4378D22-D647-467E-8A2F-A727BF1BD80B}"/>
    <cellStyle name="Currency 2 2 2 2 2" xfId="351" xr:uid="{B72A3326-177F-4E02-875F-E41EE5CC3B63}"/>
    <cellStyle name="Currency 2 2 2 3" xfId="169" xr:uid="{1C6F765E-2B2A-4144-B1C2-C7726EE19D47}"/>
    <cellStyle name="Currency 2 2 2 3 2" xfId="291" xr:uid="{3AC4E551-6B8F-4A66-8DD2-BDAD40C614C6}"/>
    <cellStyle name="Currency 2 2 3" xfId="211" xr:uid="{DB6F8E27-2685-4AF4-AA4A-0028717A62B3}"/>
    <cellStyle name="Currency 2 2 3 2" xfId="333" xr:uid="{869C99A5-D3A1-486B-98FB-C052E23BEA24}"/>
    <cellStyle name="Currency 2 2 4" xfId="151" xr:uid="{24C32A5F-93AA-4D0D-82B3-2CCE29300A12}"/>
    <cellStyle name="Currency 2 2 4 2" xfId="273" xr:uid="{4AF16599-27BA-4E9C-9C9A-C74613C79BDE}"/>
    <cellStyle name="Currency 2 3" xfId="97" xr:uid="{13D3388F-8E98-4F7F-8D7D-FF4B15F07702}"/>
    <cellStyle name="Currency 2 3 2" xfId="228" xr:uid="{1DBE5E7D-8B7F-4F13-83BF-A3AA140E150B}"/>
    <cellStyle name="Currency 2 3 2 2" xfId="350" xr:uid="{00BB23D9-E46B-4F30-BC78-FBDD3C63480B}"/>
    <cellStyle name="Currency 2 3 3" xfId="168" xr:uid="{845AA5C0-CB84-4B57-A2D5-B19141103F18}"/>
    <cellStyle name="Currency 2 3 3 2" xfId="290" xr:uid="{E7B35868-C726-4F78-AF66-E3D79A79D5F9}"/>
    <cellStyle name="Currency 2 4" xfId="210" xr:uid="{F4643E06-6C6B-4F1F-964B-5665A5518048}"/>
    <cellStyle name="Currency 2 4 2" xfId="332" xr:uid="{66F7FD03-B1A4-406F-B389-81AD89CB3059}"/>
    <cellStyle name="Currency 2 5" xfId="150" xr:uid="{31DE2B55-A6C8-4E23-B43F-787A3856C9F9}"/>
    <cellStyle name="Currency 2 5 2" xfId="272" xr:uid="{ADDE0964-E1E7-49A4-9E86-93AE3527367D}"/>
    <cellStyle name="Hyperlink" xfId="40" builtinId="8"/>
    <cellStyle name="Hyperlink 2" xfId="14" xr:uid="{3AE5E259-4364-4786-912D-644FC8850E8A}"/>
    <cellStyle name="Hyperlink 3" xfId="125" xr:uid="{42A5E969-2141-4DC9-A2AB-35DD26783DAB}"/>
    <cellStyle name="Normal" xfId="0" builtinId="0"/>
    <cellStyle name="Normal 10" xfId="58" xr:uid="{DCA28571-BD23-454D-A7C4-3F297B0EEE6E}"/>
    <cellStyle name="Normal 11" xfId="67" xr:uid="{95FE7340-CD53-4739-BC40-4FB2B1388AA4}"/>
    <cellStyle name="Normal 12" xfId="68" xr:uid="{C0ECD751-67E5-40B8-9790-41B2F6D10885}"/>
    <cellStyle name="Normal 13" xfId="69" xr:uid="{D3CC5659-8ED6-40A9-998F-1A14E8B894D4}"/>
    <cellStyle name="Normal 14" xfId="70" xr:uid="{370566CE-D1A1-459A-AD6D-552B9B29E3B8}"/>
    <cellStyle name="Normal 15" xfId="71" xr:uid="{C8EAB065-B8F7-4894-BFC9-50762261B824}"/>
    <cellStyle name="Normal 16" xfId="72" xr:uid="{DCC99FD6-AD2C-44C4-AB93-66E22AFB3A4C}"/>
    <cellStyle name="Normal 17" xfId="73" xr:uid="{D877E47B-D72C-445B-9A48-B09C9DFC1B55}"/>
    <cellStyle name="Normal 18" xfId="56" xr:uid="{380CA782-1660-4671-9FF4-5E9E778148E6}"/>
    <cellStyle name="Normal 19" xfId="74" xr:uid="{8412025D-9036-48B9-9CE2-DBE744AB6CC3}"/>
    <cellStyle name="Normal 2" xfId="5" xr:uid="{00000000-0005-0000-0000-000002000000}"/>
    <cellStyle name="Normal 2 2" xfId="13" xr:uid="{42790ABA-DF5E-4596-BA4C-EF4ED1B4A53D}"/>
    <cellStyle name="Normal 2 2 2" xfId="26" xr:uid="{00000000-0005-0000-0000-000004000000}"/>
    <cellStyle name="Normal 2 2 2 2" xfId="27" xr:uid="{00000000-0005-0000-0000-000005000000}"/>
    <cellStyle name="Normal 2 2 3" xfId="28" xr:uid="{00000000-0005-0000-0000-000006000000}"/>
    <cellStyle name="Normal 2 2 4" xfId="25" xr:uid="{00000000-0005-0000-0000-000003000000}"/>
    <cellStyle name="Normal 2 3" xfId="29" xr:uid="{00000000-0005-0000-0000-000007000000}"/>
    <cellStyle name="Normal 2 3 2" xfId="30" xr:uid="{00000000-0005-0000-0000-000008000000}"/>
    <cellStyle name="Normal 2 4" xfId="31" xr:uid="{00000000-0005-0000-0000-000009000000}"/>
    <cellStyle name="Normal 2 4 2" xfId="32" xr:uid="{00000000-0005-0000-0000-00000A000000}"/>
    <cellStyle name="Normal 2 5" xfId="33" xr:uid="{00000000-0005-0000-0000-00000B000000}"/>
    <cellStyle name="Normal 2 5 2" xfId="34" xr:uid="{00000000-0005-0000-0000-00000C000000}"/>
    <cellStyle name="Normal 2 6" xfId="35" xr:uid="{00000000-0005-0000-0000-00000D000000}"/>
    <cellStyle name="Normal 20" xfId="75" xr:uid="{5F3B095B-A1F2-4C81-8406-607456CE75D0}"/>
    <cellStyle name="Normal 20 2" xfId="77" xr:uid="{5005DE14-059F-45EA-A731-66DF3C5AD37F}"/>
    <cellStyle name="Normal 21" xfId="49" xr:uid="{6DC8944D-0B9A-4A8E-BA35-7E3988B1F634}"/>
    <cellStyle name="Normal 22" xfId="57" xr:uid="{70CC9D2E-D084-4EB7-B4B7-B63371AD5C6F}"/>
    <cellStyle name="Normal 22 2" xfId="54" xr:uid="{FC7AF0EE-15E7-49FD-B540-70186BE2F81B}"/>
    <cellStyle name="Normal 22 3" xfId="123" xr:uid="{B6734C9A-06A6-4FD6-9B5E-73777C843BE0}"/>
    <cellStyle name="Normal 23" xfId="79" xr:uid="{15E0E97F-5058-440C-A06C-813CFFDB1D30}"/>
    <cellStyle name="Normal 24" xfId="80" xr:uid="{2ABDD80A-5971-44B0-A2F8-14A7D04364B9}"/>
    <cellStyle name="Normal 3" xfId="6" xr:uid="{00000000-0005-0000-0000-000003000000}"/>
    <cellStyle name="Normal 3 2" xfId="4" xr:uid="{00000000-0005-0000-0000-000004000000}"/>
    <cellStyle name="Normal 4" xfId="1" xr:uid="{00000000-0005-0000-0000-000005000000}"/>
    <cellStyle name="Normal 4 2" xfId="20" xr:uid="{9E19C247-D6FB-44AC-95D4-87A40689BBC6}"/>
    <cellStyle name="Normal 4 3" xfId="10" xr:uid="{EBA8EF3C-0C3A-4DD0-9166-BDB990D0EE34}"/>
    <cellStyle name="Normal 4 4" xfId="55" xr:uid="{E8E26903-368C-4E0E-80C4-9FE790F8F018}"/>
    <cellStyle name="Normal 5" xfId="8" xr:uid="{00000000-0005-0000-0000-000002000000}"/>
    <cellStyle name="Normal 5 2" xfId="17" xr:uid="{B7B130DE-68FF-4CFC-857D-C7EA844E21D3}"/>
    <cellStyle name="Normal 5 3" xfId="22" xr:uid="{F6462E68-B4C5-4CD8-9C70-11459D172674}"/>
    <cellStyle name="Normal 5 4" xfId="12" xr:uid="{293F037F-D784-4488-A49F-C1043F7E7258}"/>
    <cellStyle name="Normal 5 5" xfId="63" xr:uid="{DF93CACD-277B-4B79-B9EF-C1EB04EF3723}"/>
    <cellStyle name="Normal 6" xfId="15" xr:uid="{C97335A2-FDB8-4A04-AD0E-3EB5BC792980}"/>
    <cellStyle name="Normal 6 2" xfId="64" xr:uid="{A8233D5A-E729-4DCA-B2E7-69F0DFB44F31}"/>
    <cellStyle name="Normal 7" xfId="18" xr:uid="{507A07C5-0908-44C2-B808-ADC62AA05AC0}"/>
    <cellStyle name="Normal 7 2" xfId="24" xr:uid="{0EC78D2E-F555-4E87-A92C-01979B71A38F}"/>
    <cellStyle name="Normal 8" xfId="19" xr:uid="{A087CF7F-DEE7-483C-BEEA-F260D4A3226A}"/>
    <cellStyle name="Normal 8 2" xfId="65" xr:uid="{602E6F8B-13B4-43E8-B372-620AD72C5D0F}"/>
    <cellStyle name="Normal 9" xfId="9" xr:uid="{E95BC0D1-A076-43AE-B722-0EDE690D0D8C}"/>
    <cellStyle name="Normal 9 2" xfId="66" xr:uid="{5AC4945D-7C72-4FC3-8D0D-5DB5CB82B3F9}"/>
    <cellStyle name="Spec Heading 1" xfId="3" xr:uid="{00000000-0005-0000-0000-000006000000}"/>
    <cellStyle name="Spec Heading 2" xfId="2" xr:uid="{00000000-0005-0000-0000-000007000000}"/>
  </cellStyles>
  <dxfs count="6661">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alignment horizont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9" tint="0.59999389629810485"/>
          <bgColor theme="9" tint="0.59999389629810485"/>
        </patternFill>
      </fill>
      <alignment horizontal="center" vertical="center" textRotation="0" wrapText="0" indent="0" justifyLastLine="0" shrinkToFit="0" readingOrder="0"/>
      <border diagonalUp="0" diagonalDown="0" outline="0">
        <left/>
        <right/>
        <top style="thick">
          <color theme="0"/>
        </top>
        <bottom/>
      </border>
    </dxf>
    <dxf>
      <font>
        <b val="0"/>
        <i val="0"/>
        <strike val="0"/>
        <condense val="0"/>
        <extend val="0"/>
        <outline val="0"/>
        <shadow val="0"/>
        <u val="none"/>
        <vertAlign val="baseline"/>
        <sz val="11"/>
        <color theme="1"/>
        <name val="Calibri"/>
        <family val="2"/>
        <scheme val="minor"/>
      </font>
      <fill>
        <patternFill patternType="solid">
          <fgColor theme="9" tint="0.59999389629810485"/>
          <bgColor theme="9" tint="0.5999938962981048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font>
        <b/>
        <strike val="0"/>
        <outline val="0"/>
        <shadow val="0"/>
        <u val="none"/>
        <vertAlign val="baseline"/>
        <sz val="11"/>
        <color auto="1"/>
        <name val="Calibri"/>
        <family val="2"/>
        <scheme val="minor"/>
      </font>
      <numFmt numFmtId="0" formatCode="General"/>
    </dxf>
    <dxf>
      <numFmt numFmtId="0" formatCode="General"/>
    </dxf>
    <dxf>
      <numFmt numFmtId="0" formatCode="General"/>
    </dxf>
    <dxf>
      <numFmt numFmtId="0" formatCode="General"/>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0" tint="-0.14999847407452621"/>
        </patternFill>
      </fill>
      <alignment horizontal="center" vertical="center" textRotation="0" wrapText="0" indent="0" justifyLastLine="0" shrinkToFit="0" readingOrder="0"/>
    </dxf>
    <dxf>
      <fill>
        <patternFill patternType="solid">
          <fgColor indexed="64"/>
          <bgColor theme="0" tint="-0.14999847407452621"/>
        </patternFill>
      </fill>
      <alignment horizontal="center" vertical="center" textRotation="0" wrapText="0" indent="0" justifyLastLine="0" shrinkToFit="0" readingOrder="0"/>
    </dxf>
    <dxf>
      <fill>
        <patternFill patternType="solid">
          <fgColor indexed="64"/>
          <bgColor theme="0" tint="-0.14999847407452621"/>
        </patternFill>
      </fill>
      <alignment horizontal="center" vertical="center" textRotation="0" wrapText="0" indent="0" justifyLastLine="0" shrinkToFit="0" readingOrder="0"/>
    </dxf>
    <dxf>
      <fill>
        <patternFill patternType="solid">
          <fgColor indexed="64"/>
          <bgColor theme="0" tint="-0.14999847407452621"/>
        </patternFill>
      </fill>
      <alignment horizontal="center" vertical="center" textRotation="0" wrapText="0" indent="0" justifyLastLine="0" shrinkToFit="0" readingOrder="0"/>
    </dxf>
    <dxf>
      <fill>
        <patternFill patternType="solid">
          <fgColor indexed="64"/>
          <bgColor theme="0" tint="-0.34998626667073579"/>
        </patternFill>
      </fill>
      <alignment horizontal="center" vertical="center"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u/>
        <sz val="10"/>
        <color theme="10"/>
      </font>
      <fill>
        <patternFill patternType="none">
          <fgColor indexed="64"/>
          <bgColor indexed="65"/>
        </patternFill>
      </fill>
      <alignment horizontal="general" vertical="bottom" textRotation="0" wrapText="1" indent="0" justifyLastLine="0" shrinkToFit="0" readingOrder="0"/>
    </dxf>
    <dxf>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i/>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alignment horizontal="center" vertical="center" textRotation="0" wrapText="0" indent="0" justifyLastLine="0" shrinkToFit="0" readingOrder="0"/>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sz val="10"/>
        <color auto="1"/>
        <name val="Arial"/>
        <family val="2"/>
        <scheme val="none"/>
      </font>
      <numFmt numFmtId="0" formatCode="General"/>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border outline="0">
        <top style="thin">
          <color indexed="64"/>
        </top>
      </border>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border outline="0">
        <top style="thin">
          <color indexed="64"/>
        </top>
      </border>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protection locked="1" hidden="0"/>
    </dxf>
    <dxf>
      <border outline="0">
        <top style="thin">
          <color indexed="64"/>
        </top>
      </border>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border outline="0">
        <top style="thin">
          <color indexed="64"/>
        </top>
      </border>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protection locked="1" hidden="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color rgb="FF9C5700"/>
      </font>
      <fill>
        <patternFill>
          <bgColor rgb="FFFFEB9C"/>
        </patternFill>
      </fill>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lor theme="9" tint="-0.24994659260841701"/>
      </font>
    </dxf>
    <dxf>
      <font>
        <b/>
        <i val="0"/>
        <color rgb="FF339966"/>
      </font>
    </dxf>
    <dxf>
      <font>
        <b/>
        <i val="0"/>
        <color rgb="FFFF000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ont>
        <b/>
        <i val="0"/>
        <condense val="0"/>
        <extend val="0"/>
        <color indexed="57"/>
      </font>
    </dxf>
    <dxf>
      <font>
        <b/>
        <i val="0"/>
        <condense val="0"/>
        <extend val="0"/>
        <color indexed="10"/>
      </font>
    </dxf>
    <dxf>
      <fill>
        <patternFill>
          <bgColor rgb="FFFFC000"/>
        </patternFill>
      </fill>
    </dxf>
  </dxfs>
  <tableStyles count="1" defaultTableStyle="TableStyleMedium2" defaultPivotStyle="PivotStyleLight16">
    <tableStyle name="Table Style 1" pivot="0" count="1" xr9:uid="{6CDA9BFB-AA1C-4A8A-9E2C-68FB8D830A60}">
      <tableStyleElement type="firstColumnStripe" dxfId="6660"/>
    </tableStyle>
  </tableStyles>
  <colors>
    <mruColors>
      <color rgb="FF1DE377"/>
      <color rgb="FF7FF56F"/>
      <color rgb="FF00FFFF"/>
      <color rgb="FFCC66FF"/>
      <color rgb="FFF2D072"/>
      <color rgb="FFFA6A6A"/>
      <color rgb="FFFF8119"/>
      <color rgb="FF264D9A"/>
      <color rgb="FF66FFFF"/>
      <color rgb="FF99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1</xdr:col>
      <xdr:colOff>744958</xdr:colOff>
      <xdr:row>2</xdr:row>
      <xdr:rowOff>40638</xdr:rowOff>
    </xdr:from>
    <xdr:to>
      <xdr:col>1</xdr:col>
      <xdr:colOff>2902324</xdr:colOff>
      <xdr:row>5</xdr:row>
      <xdr:rowOff>243198</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64693" y="410432"/>
          <a:ext cx="2157366" cy="695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114300</xdr:colOff>
          <xdr:row>31</xdr:row>
          <xdr:rowOff>66675</xdr:rowOff>
        </xdr:from>
        <xdr:to>
          <xdr:col>8</xdr:col>
          <xdr:colOff>819150</xdr:colOff>
          <xdr:row>31</xdr:row>
          <xdr:rowOff>352425</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Connect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103</xdr:row>
          <xdr:rowOff>123825</xdr:rowOff>
        </xdr:from>
        <xdr:to>
          <xdr:col>9</xdr:col>
          <xdr:colOff>1476375</xdr:colOff>
          <xdr:row>103</xdr:row>
          <xdr:rowOff>466725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0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Begin Test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133350</xdr:colOff>
          <xdr:row>212</xdr:row>
          <xdr:rowOff>123825</xdr:rowOff>
        </xdr:from>
        <xdr:to>
          <xdr:col>9</xdr:col>
          <xdr:colOff>1476375</xdr:colOff>
          <xdr:row>212</xdr:row>
          <xdr:rowOff>466725</xdr:rowOff>
        </xdr:to>
        <xdr:sp macro="" textlink="">
          <xdr:nvSpPr>
            <xdr:cNvPr id="1293" name="Button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Test Lens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133350</xdr:colOff>
          <xdr:row>365</xdr:row>
          <xdr:rowOff>123825</xdr:rowOff>
        </xdr:from>
        <xdr:to>
          <xdr:col>9</xdr:col>
          <xdr:colOff>1476375</xdr:colOff>
          <xdr:row>365</xdr:row>
          <xdr:rowOff>466725</xdr:rowOff>
        </xdr:to>
        <xdr:sp macro="" textlink="">
          <xdr:nvSpPr>
            <xdr:cNvPr id="1363" name="Button 339" hidden="1">
              <a:extLst>
                <a:ext uri="{63B3BB69-23CF-44E3-9099-C40C66FF867C}">
                  <a14:compatExt spid="_x0000_s1363"/>
                </a:ext>
                <a:ext uri="{FF2B5EF4-FFF2-40B4-BE49-F238E27FC236}">
                  <a16:creationId xmlns:a16="http://schemas.microsoft.com/office/drawing/2014/main" id="{00000000-0008-0000-0000-00005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Test Lens 2</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133350</xdr:colOff>
          <xdr:row>615</xdr:row>
          <xdr:rowOff>123825</xdr:rowOff>
        </xdr:from>
        <xdr:to>
          <xdr:col>9</xdr:col>
          <xdr:colOff>1476375</xdr:colOff>
          <xdr:row>615</xdr:row>
          <xdr:rowOff>466725</xdr:rowOff>
        </xdr:to>
        <xdr:sp macro="" textlink="">
          <xdr:nvSpPr>
            <xdr:cNvPr id="1394" name="Button 370" hidden="1">
              <a:extLst>
                <a:ext uri="{63B3BB69-23CF-44E3-9099-C40C66FF867C}">
                  <a14:compatExt spid="_x0000_s1394"/>
                </a:ext>
                <a:ext uri="{FF2B5EF4-FFF2-40B4-BE49-F238E27FC236}">
                  <a16:creationId xmlns:a16="http://schemas.microsoft.com/office/drawing/2014/main" id="{00000000-0008-0000-0000-00007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Test Accelerator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133350</xdr:colOff>
          <xdr:row>781</xdr:row>
          <xdr:rowOff>123825</xdr:rowOff>
        </xdr:from>
        <xdr:to>
          <xdr:col>9</xdr:col>
          <xdr:colOff>1476375</xdr:colOff>
          <xdr:row>781</xdr:row>
          <xdr:rowOff>466725</xdr:rowOff>
        </xdr:to>
        <xdr:sp macro="" textlink="">
          <xdr:nvSpPr>
            <xdr:cNvPr id="1396" name="Button 372" hidden="1">
              <a:extLst>
                <a:ext uri="{63B3BB69-23CF-44E3-9099-C40C66FF867C}">
                  <a14:compatExt spid="_x0000_s1396"/>
                </a:ext>
                <a:ext uri="{FF2B5EF4-FFF2-40B4-BE49-F238E27FC236}">
                  <a16:creationId xmlns:a16="http://schemas.microsoft.com/office/drawing/2014/main" id="{00000000-0008-0000-0000-00007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Test Extractor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133350</xdr:colOff>
          <xdr:row>962</xdr:row>
          <xdr:rowOff>123825</xdr:rowOff>
        </xdr:from>
        <xdr:to>
          <xdr:col>9</xdr:col>
          <xdr:colOff>1476375</xdr:colOff>
          <xdr:row>962</xdr:row>
          <xdr:rowOff>466725</xdr:rowOff>
        </xdr:to>
        <xdr:sp macro="" textlink="">
          <xdr:nvSpPr>
            <xdr:cNvPr id="1428" name="Button 404" hidden="1">
              <a:extLst>
                <a:ext uri="{63B3BB69-23CF-44E3-9099-C40C66FF867C}">
                  <a14:compatExt spid="_x0000_s1428"/>
                </a:ext>
                <a:ext uri="{FF2B5EF4-FFF2-40B4-BE49-F238E27FC236}">
                  <a16:creationId xmlns:a16="http://schemas.microsoft.com/office/drawing/2014/main" id="{00000000-0008-0000-0000-00009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Test Suppressor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1156</xdr:row>
          <xdr:rowOff>123825</xdr:rowOff>
        </xdr:from>
        <xdr:to>
          <xdr:col>9</xdr:col>
          <xdr:colOff>1476375</xdr:colOff>
          <xdr:row>1156</xdr:row>
          <xdr:rowOff>466725</xdr:rowOff>
        </xdr:to>
        <xdr:sp macro="" textlink="">
          <xdr:nvSpPr>
            <xdr:cNvPr id="1429" name="Button 405" hidden="1">
              <a:extLst>
                <a:ext uri="{63B3BB69-23CF-44E3-9099-C40C66FF867C}">
                  <a14:compatExt spid="_x0000_s1429"/>
                </a:ext>
                <a:ext uri="{FF2B5EF4-FFF2-40B4-BE49-F238E27FC236}">
                  <a16:creationId xmlns:a16="http://schemas.microsoft.com/office/drawing/2014/main" id="{00000000-0008-0000-0000-00009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Test Filament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85725</xdr:colOff>
          <xdr:row>99</xdr:row>
          <xdr:rowOff>66675</xdr:rowOff>
        </xdr:from>
        <xdr:to>
          <xdr:col>9</xdr:col>
          <xdr:colOff>1552575</xdr:colOff>
          <xdr:row>99</xdr:row>
          <xdr:rowOff>523875</xdr:rowOff>
        </xdr:to>
        <xdr:sp macro="" textlink="">
          <xdr:nvSpPr>
            <xdr:cNvPr id="1433" name="Button 409" hidden="1">
              <a:extLst>
                <a:ext uri="{63B3BB69-23CF-44E3-9099-C40C66FF867C}">
                  <a14:compatExt spid="_x0000_s1433"/>
                </a:ext>
                <a:ext uri="{FF2B5EF4-FFF2-40B4-BE49-F238E27FC236}">
                  <a16:creationId xmlns:a16="http://schemas.microsoft.com/office/drawing/2014/main" id="{00000000-0008-0000-0000-00009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Check Saftey Test</a:t>
              </a:r>
            </a:p>
          </xdr:txBody>
        </xdr:sp>
        <xdr:clientData/>
      </xdr:twoCellAnchor>
    </mc:Choice>
    <mc:Fallback/>
  </mc:AlternateContent>
  <xdr:twoCellAnchor editAs="oneCell">
    <xdr:from>
      <xdr:col>0</xdr:col>
      <xdr:colOff>516120</xdr:colOff>
      <xdr:row>167</xdr:row>
      <xdr:rowOff>149677</xdr:rowOff>
    </xdr:from>
    <xdr:to>
      <xdr:col>8</xdr:col>
      <xdr:colOff>585109</xdr:colOff>
      <xdr:row>1254</xdr:row>
      <xdr:rowOff>59567</xdr:rowOff>
    </xdr:to>
    <xdr:pic>
      <xdr:nvPicPr>
        <xdr:cNvPr id="13" name="L1_ATE" hidden="1">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16120" y="22016356"/>
          <a:ext cx="11444560" cy="5069468"/>
        </a:xfrm>
        <a:prstGeom prst="rect">
          <a:avLst/>
        </a:prstGeom>
      </xdr:spPr>
    </xdr:pic>
    <xdr:clientData/>
  </xdr:twoCellAnchor>
  <xdr:twoCellAnchor editAs="oneCell">
    <xdr:from>
      <xdr:col>0</xdr:col>
      <xdr:colOff>792754</xdr:colOff>
      <xdr:row>321</xdr:row>
      <xdr:rowOff>136073</xdr:rowOff>
    </xdr:from>
    <xdr:to>
      <xdr:col>8</xdr:col>
      <xdr:colOff>719420</xdr:colOff>
      <xdr:row>1253</xdr:row>
      <xdr:rowOff>105399</xdr:rowOff>
    </xdr:to>
    <xdr:pic>
      <xdr:nvPicPr>
        <xdr:cNvPr id="14" name="L2_ATE" hidden="1">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92754" y="55789287"/>
          <a:ext cx="11302237" cy="4995310"/>
        </a:xfrm>
        <a:prstGeom prst="rect">
          <a:avLst/>
        </a:prstGeom>
      </xdr:spPr>
    </xdr:pic>
    <xdr:clientData/>
  </xdr:twoCellAnchor>
  <xdr:twoCellAnchor editAs="oneCell">
    <xdr:from>
      <xdr:col>0</xdr:col>
      <xdr:colOff>854528</xdr:colOff>
      <xdr:row>572</xdr:row>
      <xdr:rowOff>27213</xdr:rowOff>
    </xdr:from>
    <xdr:to>
      <xdr:col>8</xdr:col>
      <xdr:colOff>595993</xdr:colOff>
      <xdr:row>1253</xdr:row>
      <xdr:rowOff>23861</xdr:rowOff>
    </xdr:to>
    <xdr:pic>
      <xdr:nvPicPr>
        <xdr:cNvPr id="15" name="ACC_ATE" hidden="1">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4528" y="22111606"/>
          <a:ext cx="11117036" cy="4902638"/>
        </a:xfrm>
        <a:prstGeom prst="rect">
          <a:avLst/>
        </a:prstGeom>
      </xdr:spPr>
    </xdr:pic>
    <xdr:clientData/>
  </xdr:twoCellAnchor>
  <xdr:twoCellAnchor editAs="oneCell">
    <xdr:from>
      <xdr:col>0</xdr:col>
      <xdr:colOff>440929</xdr:colOff>
      <xdr:row>737</xdr:row>
      <xdr:rowOff>52683</xdr:rowOff>
    </xdr:from>
    <xdr:to>
      <xdr:col>8</xdr:col>
      <xdr:colOff>672250</xdr:colOff>
      <xdr:row>1254</xdr:row>
      <xdr:rowOff>40825</xdr:rowOff>
    </xdr:to>
    <xdr:pic>
      <xdr:nvPicPr>
        <xdr:cNvPr id="16" name="EXT_ATE" hidden="1">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40929" y="21825712"/>
          <a:ext cx="11571674" cy="4920405"/>
        </a:xfrm>
        <a:prstGeom prst="rect">
          <a:avLst/>
        </a:prstGeom>
      </xdr:spPr>
    </xdr:pic>
    <xdr:clientData/>
  </xdr:twoCellAnchor>
  <xdr:twoCellAnchor editAs="oneCell">
    <xdr:from>
      <xdr:col>0</xdr:col>
      <xdr:colOff>472166</xdr:colOff>
      <xdr:row>918</xdr:row>
      <xdr:rowOff>54429</xdr:rowOff>
    </xdr:from>
    <xdr:to>
      <xdr:col>8</xdr:col>
      <xdr:colOff>540203</xdr:colOff>
      <xdr:row>1253</xdr:row>
      <xdr:rowOff>116776</xdr:rowOff>
    </xdr:to>
    <xdr:pic>
      <xdr:nvPicPr>
        <xdr:cNvPr id="17" name="SUPP_ATE" hidden="1">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72166" y="21975536"/>
          <a:ext cx="11443608" cy="5019056"/>
        </a:xfrm>
        <a:prstGeom prst="rect">
          <a:avLst/>
        </a:prstGeom>
      </xdr:spPr>
    </xdr:pic>
    <xdr:clientData/>
  </xdr:twoCellAnchor>
  <xdr:twoCellAnchor editAs="oneCell">
    <xdr:from>
      <xdr:col>0</xdr:col>
      <xdr:colOff>699406</xdr:colOff>
      <xdr:row>1113</xdr:row>
      <xdr:rowOff>13607</xdr:rowOff>
    </xdr:from>
    <xdr:to>
      <xdr:col>8</xdr:col>
      <xdr:colOff>522514</xdr:colOff>
      <xdr:row>1252</xdr:row>
      <xdr:rowOff>137468</xdr:rowOff>
    </xdr:to>
    <xdr:pic>
      <xdr:nvPicPr>
        <xdr:cNvPr id="18" name="FIL_ATE"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99406" y="22098000"/>
          <a:ext cx="11198679" cy="4911101"/>
        </a:xfrm>
        <a:prstGeom prst="rect">
          <a:avLst/>
        </a:prstGeom>
      </xdr:spPr>
    </xdr:pic>
    <xdr:clientData/>
  </xdr:twoCellAnchor>
  <xdr:twoCellAnchor editAs="oneCell">
    <xdr:from>
      <xdr:col>0</xdr:col>
      <xdr:colOff>274835</xdr:colOff>
      <xdr:row>43</xdr:row>
      <xdr:rowOff>69273</xdr:rowOff>
    </xdr:from>
    <xdr:to>
      <xdr:col>7</xdr:col>
      <xdr:colOff>522687</xdr:colOff>
      <xdr:row>71</xdr:row>
      <xdr:rowOff>115074</xdr:rowOff>
    </xdr:to>
    <xdr:pic>
      <xdr:nvPicPr>
        <xdr:cNvPr id="6" name="Main Diagram">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74835" y="8970818"/>
          <a:ext cx="10846579" cy="537980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3429000</xdr:colOff>
          <xdr:row>40</xdr:row>
          <xdr:rowOff>104775</xdr:rowOff>
        </xdr:from>
        <xdr:to>
          <xdr:col>2</xdr:col>
          <xdr:colOff>971550</xdr:colOff>
          <xdr:row>42</xdr:row>
          <xdr:rowOff>28575</xdr:rowOff>
        </xdr:to>
        <xdr:sp macro="" textlink="">
          <xdr:nvSpPr>
            <xdr:cNvPr id="1434" name="Button 410" hidden="1">
              <a:extLst>
                <a:ext uri="{63B3BB69-23CF-44E3-9099-C40C66FF867C}">
                  <a14:compatExt spid="_x0000_s1434"/>
                </a:ext>
                <a:ext uri="{FF2B5EF4-FFF2-40B4-BE49-F238E27FC236}">
                  <a16:creationId xmlns:a16="http://schemas.microsoft.com/office/drawing/2014/main" id="{00000000-0008-0000-0000-00009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Main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971550</xdr:colOff>
          <xdr:row>40</xdr:row>
          <xdr:rowOff>104775</xdr:rowOff>
        </xdr:from>
        <xdr:to>
          <xdr:col>3</xdr:col>
          <xdr:colOff>962025</xdr:colOff>
          <xdr:row>42</xdr:row>
          <xdr:rowOff>28575</xdr:rowOff>
        </xdr:to>
        <xdr:sp macro="" textlink="">
          <xdr:nvSpPr>
            <xdr:cNvPr id="1435" name="Button 411" hidden="1">
              <a:extLst>
                <a:ext uri="{63B3BB69-23CF-44E3-9099-C40C66FF867C}">
                  <a14:compatExt spid="_x0000_s1435"/>
                </a:ext>
                <a:ext uri="{FF2B5EF4-FFF2-40B4-BE49-F238E27FC236}">
                  <a16:creationId xmlns:a16="http://schemas.microsoft.com/office/drawing/2014/main" id="{00000000-0008-0000-0000-00009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Daq Wiring</a:t>
              </a:r>
            </a:p>
          </xdr:txBody>
        </xdr:sp>
        <xdr:clientData fPrintsWithSheet="0"/>
      </xdr:twoCellAnchor>
    </mc:Choice>
    <mc:Fallback/>
  </mc:AlternateContent>
  <xdr:twoCellAnchor editAs="oneCell">
    <xdr:from>
      <xdr:col>0</xdr:col>
      <xdr:colOff>302559</xdr:colOff>
      <xdr:row>42</xdr:row>
      <xdr:rowOff>100853</xdr:rowOff>
    </xdr:from>
    <xdr:to>
      <xdr:col>7</xdr:col>
      <xdr:colOff>409335</xdr:colOff>
      <xdr:row>69</xdr:row>
      <xdr:rowOff>69012</xdr:rowOff>
    </xdr:to>
    <xdr:pic>
      <xdr:nvPicPr>
        <xdr:cNvPr id="4" name="Daq Wiring" hidden="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02559" y="8785412"/>
          <a:ext cx="10685129" cy="51116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0</xdr:row>
          <xdr:rowOff>180975</xdr:rowOff>
        </xdr:from>
        <xdr:to>
          <xdr:col>2</xdr:col>
          <xdr:colOff>0</xdr:colOff>
          <xdr:row>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Import</a:t>
              </a:r>
            </a:p>
          </xdr:txBody>
        </xdr:sp>
        <xdr:clientData fPrintsWithSheet="0"/>
      </xdr:twoCellAnchor>
    </mc:Choice>
    <mc:Fallback/>
  </mc:AlternateContent>
  <xdr:twoCellAnchor>
    <xdr:from>
      <xdr:col>27</xdr:col>
      <xdr:colOff>0</xdr:colOff>
      <xdr:row>47</xdr:row>
      <xdr:rowOff>0</xdr:rowOff>
    </xdr:from>
    <xdr:to>
      <xdr:col>28</xdr:col>
      <xdr:colOff>246530</xdr:colOff>
      <xdr:row>49</xdr:row>
      <xdr:rowOff>134470</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a:off x="41472971" y="13278971"/>
          <a:ext cx="851647" cy="515470"/>
        </a:xfrm>
        <a:prstGeom prst="straightConnector1">
          <a:avLst/>
        </a:prstGeom>
        <a:ln>
          <a:headEnd type="arrow"/>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428625</xdr:colOff>
      <xdr:row>3</xdr:row>
      <xdr:rowOff>171450</xdr:rowOff>
    </xdr:from>
    <xdr:to>
      <xdr:col>13</xdr:col>
      <xdr:colOff>276225</xdr:colOff>
      <xdr:row>22</xdr:row>
      <xdr:rowOff>18980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8625" y="742950"/>
          <a:ext cx="7772400" cy="3467030"/>
        </a:xfrm>
        <a:prstGeom prst="rect">
          <a:avLst/>
        </a:prstGeom>
      </xdr:spPr>
    </xdr:pic>
    <xdr:clientData/>
  </xdr:twoCellAnchor>
  <xdr:twoCellAnchor editAs="oneCell">
    <xdr:from>
      <xdr:col>14</xdr:col>
      <xdr:colOff>228600</xdr:colOff>
      <xdr:row>4</xdr:row>
      <xdr:rowOff>66675</xdr:rowOff>
    </xdr:from>
    <xdr:to>
      <xdr:col>27</xdr:col>
      <xdr:colOff>76200</xdr:colOff>
      <xdr:row>22</xdr:row>
      <xdr:rowOff>104705</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63000" y="828675"/>
          <a:ext cx="7772400" cy="3467030"/>
        </a:xfrm>
        <a:prstGeom prst="rect">
          <a:avLst/>
        </a:prstGeom>
      </xdr:spPr>
    </xdr:pic>
    <xdr:clientData/>
  </xdr:twoCellAnchor>
  <xdr:twoCellAnchor editAs="oneCell">
    <xdr:from>
      <xdr:col>0</xdr:col>
      <xdr:colOff>135591</xdr:colOff>
      <xdr:row>29</xdr:row>
      <xdr:rowOff>75639</xdr:rowOff>
    </xdr:from>
    <xdr:to>
      <xdr:col>12</xdr:col>
      <xdr:colOff>588308</xdr:colOff>
      <xdr:row>47</xdr:row>
      <xdr:rowOff>113669</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5591" y="5600139"/>
          <a:ext cx="7714129" cy="3467030"/>
        </a:xfrm>
        <a:prstGeom prst="rect">
          <a:avLst/>
        </a:prstGeom>
      </xdr:spPr>
    </xdr:pic>
    <xdr:clientData/>
  </xdr:twoCellAnchor>
  <xdr:twoCellAnchor editAs="oneCell">
    <xdr:from>
      <xdr:col>14</xdr:col>
      <xdr:colOff>414619</xdr:colOff>
      <xdr:row>29</xdr:row>
      <xdr:rowOff>78441</xdr:rowOff>
    </xdr:from>
    <xdr:to>
      <xdr:col>27</xdr:col>
      <xdr:colOff>320490</xdr:colOff>
      <xdr:row>47</xdr:row>
      <xdr:rowOff>116471</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86266" y="5602941"/>
          <a:ext cx="7772400" cy="3467030"/>
        </a:xfrm>
        <a:prstGeom prst="rect">
          <a:avLst/>
        </a:prstGeom>
      </xdr:spPr>
    </xdr:pic>
    <xdr:clientData/>
  </xdr:twoCellAnchor>
  <xdr:twoCellAnchor editAs="oneCell">
    <xdr:from>
      <xdr:col>29</xdr:col>
      <xdr:colOff>526676</xdr:colOff>
      <xdr:row>29</xdr:row>
      <xdr:rowOff>168088</xdr:rowOff>
    </xdr:from>
    <xdr:to>
      <xdr:col>42</xdr:col>
      <xdr:colOff>432547</xdr:colOff>
      <xdr:row>48</xdr:row>
      <xdr:rowOff>15618</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8075088" y="5692588"/>
          <a:ext cx="7772400" cy="3467030"/>
        </a:xfrm>
        <a:prstGeom prst="rect">
          <a:avLst/>
        </a:prstGeom>
      </xdr:spPr>
    </xdr:pic>
    <xdr:clientData/>
  </xdr:twoCellAnchor>
  <xdr:twoCellAnchor editAs="oneCell">
    <xdr:from>
      <xdr:col>29</xdr:col>
      <xdr:colOff>246529</xdr:colOff>
      <xdr:row>7</xdr:row>
      <xdr:rowOff>168088</xdr:rowOff>
    </xdr:from>
    <xdr:to>
      <xdr:col>42</xdr:col>
      <xdr:colOff>152400</xdr:colOff>
      <xdr:row>26</xdr:row>
      <xdr:rowOff>15618</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794941" y="1501588"/>
          <a:ext cx="7772400" cy="34670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66675</xdr:colOff>
      <xdr:row>0</xdr:row>
      <xdr:rowOff>123825</xdr:rowOff>
    </xdr:from>
    <xdr:to>
      <xdr:col>5</xdr:col>
      <xdr:colOff>532093</xdr:colOff>
      <xdr:row>3</xdr:row>
      <xdr:rowOff>57150</xdr:rowOff>
    </xdr:to>
    <xdr:pic>
      <xdr:nvPicPr>
        <xdr:cNvPr id="2" name="Picture 2">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95475" y="123825"/>
          <a:ext cx="1684618"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BB9E25A-1432-4A20-8F68-92B36C9D6F16}" name="tblGoSubRoutineStartCell" displayName="tblGoSubRoutineStartCell" ref="B4:D25" totalsRowShown="0" headerRowDxfId="239" dataDxfId="238">
  <autoFilter ref="B4:D25" xr:uid="{1A3D4D9E-ABA5-4C9B-BDAC-7919CFB82DB3}"/>
  <tableColumns count="3">
    <tableColumn id="1" xr3:uid="{115035AB-1E44-47BB-8131-030D1D296824}" name="GoSub Routine" dataDxfId="237"/>
    <tableColumn id="2" xr3:uid="{D011FFBD-A5DC-4E19-A8B5-62C7EC8371F5}" name="StartCell" dataDxfId="236"/>
    <tableColumn id="3" xr3:uid="{AD692A83-B41C-4199-B473-DA3DE96355F5}" name="Table_Name" dataDxfId="235"/>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F839BF0-115E-4F30-9AC0-26F4DE4993F5}" name="subRetryAfterFail" displayName="subRetryAfterFail" ref="K42:S52" totalsRowShown="0" headerRowDxfId="234" dataDxfId="233" tableBorderDxfId="232">
  <autoFilter ref="K42:S52" xr:uid="{F2DFF57E-247C-439A-8098-C7AAD0FDE09C}"/>
  <tableColumns count="9">
    <tableColumn id="1" xr3:uid="{92AFDDF7-D4C8-413A-B9E8-D1B078CFAA83}" name="Command" dataDxfId="231"/>
    <tableColumn id="2" xr3:uid="{462EC1C3-AEEF-4779-9C33-007231EEDDF7}" name="Alias" dataDxfId="230"/>
    <tableColumn id="3" xr3:uid="{CFEE38BC-97AB-42B5-B81D-F70DC74E4431}" name="Method" dataDxfId="229"/>
    <tableColumn id="4" xr3:uid="{08254947-906D-4B41-843B-5F754B3C831A}" name="Param1" dataDxfId="228"/>
    <tableColumn id="5" xr3:uid="{FA583004-7E31-469B-A7D3-0F7272AA5CDE}" name="Param2" dataDxfId="227"/>
    <tableColumn id="6" xr3:uid="{0E1F6792-6D62-43F5-BB3A-B14996495268}" name="Param3" dataDxfId="226"/>
    <tableColumn id="7" xr3:uid="{A852CC65-5A51-463C-BD40-63F678F7BC50}" name="Param4" dataDxfId="225"/>
    <tableColumn id="8" xr3:uid="{90B04460-FF49-4F3C-A54B-CAC045FE2ADF}" name="Param5" dataDxfId="224"/>
    <tableColumn id="9" xr3:uid="{5B9DDEAB-AB6B-4F4F-983F-6EB0B2C15BF5}" name="Param6" dataDxfId="223"/>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6C96CE3-2F2F-4C29-9AF3-07DB4861354D}" name="subShutdown" displayName="subShutdown" ref="K55:S67" totalsRowShown="0" headerRowDxfId="222" dataDxfId="221" tableBorderDxfId="220">
  <autoFilter ref="K55:S67" xr:uid="{320A17A7-F3E3-41F5-A24C-39995AC0F4DC}"/>
  <tableColumns count="9">
    <tableColumn id="1" xr3:uid="{755481D2-79D3-4DFF-AE9C-50D4604003D9}" name="Command" dataDxfId="219"/>
    <tableColumn id="2" xr3:uid="{95E98A49-B8E2-4F4C-AC50-C62F0242764F}" name="Alias" dataDxfId="218"/>
    <tableColumn id="3" xr3:uid="{8E9DA2AE-8ED6-4489-ABC0-2E4155F89A48}" name="Method" dataDxfId="217"/>
    <tableColumn id="4" xr3:uid="{01AE7BB5-BD09-4E55-AAC3-8C8897FD8670}" name="Param1" dataDxfId="216"/>
    <tableColumn id="5" xr3:uid="{DFA42145-F696-47B5-9833-FD871CA820A8}" name="Param2" dataDxfId="215"/>
    <tableColumn id="6" xr3:uid="{A6D2900E-A96F-4045-9265-9C7995849A43}" name="Param3" dataDxfId="214"/>
    <tableColumn id="7" xr3:uid="{3E41E7AC-4C98-4E18-9567-64AA33544C2C}" name="Param4" dataDxfId="213"/>
    <tableColumn id="8" xr3:uid="{A3AE2638-19E5-4077-87DE-5438F2BC09A0}" name="Param5" dataDxfId="212"/>
    <tableColumn id="9" xr3:uid="{114A1697-32B1-4DB0-BDE2-F370B3000AF3}" name="Param6" dataDxfId="211"/>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24DCE1A-E381-43FF-8B27-89BF87552AFE}" name="subOpenCageDefault" displayName="subOpenCageDefault" ref="K28:S39" totalsRowShown="0" headerRowDxfId="210" dataDxfId="209" tableBorderDxfId="208">
  <autoFilter ref="K28:S39" xr:uid="{3C10B344-CC4B-435C-9FDF-98A417F54728}"/>
  <tableColumns count="9">
    <tableColumn id="1" xr3:uid="{3E0390BD-CEB4-409C-BF55-4CDB8457C53C}" name="Command" dataDxfId="207"/>
    <tableColumn id="2" xr3:uid="{2D45604F-91DE-496A-BDD6-A5EB0E2E5043}" name="Alias" dataDxfId="206"/>
    <tableColumn id="3" xr3:uid="{5D8BF963-B69C-4C18-8548-6F111BC14CAD}" name="Method" dataDxfId="205"/>
    <tableColumn id="4" xr3:uid="{EB56EDF8-0597-448A-834B-8D881D176485}" name="Param1" dataDxfId="204"/>
    <tableColumn id="5" xr3:uid="{A7D860F6-FBD6-465B-961D-76232BDCAF97}" name="Param2" dataDxfId="203"/>
    <tableColumn id="6" xr3:uid="{C4FC4D65-0530-44BD-A6AA-1BC7BC7EBF19}" name="Param3" dataDxfId="202"/>
    <tableColumn id="7" xr3:uid="{4F368A26-52DC-45C4-B50B-D93C06421849}" name="Param4" dataDxfId="201"/>
    <tableColumn id="8" xr3:uid="{0F9715E2-269E-44D0-AA37-B5E12319145A}" name="Param5" dataDxfId="200"/>
    <tableColumn id="9" xr3:uid="{9361B5BA-F831-4B28-9BA2-ECCC03914FB3}" name="Param6" dataDxfId="199"/>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9B9245E-193B-4E03-9BEE-CEE47A9DA086}" name="subCurrentKillTest" displayName="subCurrentKillTest" ref="K71:S76" totalsRowShown="0" headerRowDxfId="198" dataDxfId="197" tableBorderDxfId="196">
  <autoFilter ref="K71:S76" xr:uid="{0887B9DF-860B-40E8-9634-9755B8559D31}"/>
  <tableColumns count="9">
    <tableColumn id="1" xr3:uid="{0453B261-B07F-44F4-BDD7-64CFEC4A9A76}" name="Command" dataDxfId="195"/>
    <tableColumn id="2" xr3:uid="{C9BE7DB7-5548-4276-9900-7478A9461640}" name="Alias" dataDxfId="194"/>
    <tableColumn id="3" xr3:uid="{12DD8AE3-E865-4F35-B94C-85A022906DAC}" name="Method" dataDxfId="193"/>
    <tableColumn id="4" xr3:uid="{3DF0F2BC-C2A2-4E68-9AF7-64E1A44E1AC9}" name="Param1" dataDxfId="192"/>
    <tableColumn id="5" xr3:uid="{67E1B17A-6103-4C95-A982-E4F5E61BC28E}" name="Param2" dataDxfId="191"/>
    <tableColumn id="6" xr3:uid="{78D032B6-3122-47AE-AE0C-4CB6D2783256}" name="Param3" dataDxfId="190"/>
    <tableColumn id="7" xr3:uid="{0F76E798-4A39-41F2-AAAF-4DC62898EF10}" name="Param4" dataDxfId="189"/>
    <tableColumn id="8" xr3:uid="{1F0AA180-2810-4C58-AB3E-3F791F615C43}" name="Param5" dataDxfId="188"/>
    <tableColumn id="9" xr3:uid="{D6ED4A1C-3489-4538-A4E6-DA1BEAA4A5F3}" name="Param6" dataDxfId="187"/>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1C77BC-E700-4B43-97D6-FF81E57B42C6}" name="subLineReg22.8" displayName="subLineReg22.8" ref="K79:S81" totalsRowShown="0" headerRowDxfId="186">
  <autoFilter ref="K79:S81" xr:uid="{D6CEDB33-F367-43F7-82A1-4A30894BFC6E}"/>
  <tableColumns count="9">
    <tableColumn id="1" xr3:uid="{C4FD6B82-BDCC-4938-A930-D25597E7998C}" name="Command" dataDxfId="185"/>
    <tableColumn id="2" xr3:uid="{FA233539-9304-40F7-BC27-FB2165110D9A}" name="Alias" dataDxfId="184"/>
    <tableColumn id="3" xr3:uid="{0FDAB965-07C3-4D25-B19B-9ED09D27DEA1}" name="Method"/>
    <tableColumn id="4" xr3:uid="{D53E4897-81A9-4945-AA10-4C75B086DD11}" name="Param1"/>
    <tableColumn id="5" xr3:uid="{80E9B50D-3EF3-4BAE-A405-8F6DC637DC95}" name="Param2"/>
    <tableColumn id="6" xr3:uid="{F787B6BD-94A8-4038-9A68-6B725D32B6C9}" name="Param3"/>
    <tableColumn id="7" xr3:uid="{380C2C64-BB28-4940-AE38-0961F05C2733}" name="Param4"/>
    <tableColumn id="8" xr3:uid="{B37FCD17-879D-4251-A697-2E530C40B301}" name="Param5"/>
    <tableColumn id="9" xr3:uid="{B5B0D640-7B26-4BFA-96FE-AE6332AF24B9}" name="Param6"/>
  </tableColumns>
  <tableStyleInfo name="TableStyleMedium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3E1158A-8041-4ABC-BA7E-4D397A64A960}" name="subLineReg25.2" displayName="subLineReg25.2" ref="K84:S86" totalsRowShown="0" headerRowDxfId="183">
  <autoFilter ref="K84:S86" xr:uid="{3209A54B-9330-4AAB-9BAC-7908354DF0F3}"/>
  <tableColumns count="9">
    <tableColumn id="1" xr3:uid="{C7F9D33A-083A-4525-A6FD-00ECEB0404C1}" name="Command" dataDxfId="182"/>
    <tableColumn id="2" xr3:uid="{B8FE7EDD-0C17-4D3A-8CD8-E05C6F8E507C}" name="Alias" dataDxfId="181"/>
    <tableColumn id="3" xr3:uid="{A2F5198B-850B-4ED4-B833-389426DE969A}" name="Method"/>
    <tableColumn id="4" xr3:uid="{F413D824-6654-40C1-945A-6C09F68F5D63}" name="Param1"/>
    <tableColumn id="5" xr3:uid="{F9B6B2A6-548D-459A-8DF0-247EA904C696}" name="Param2"/>
    <tableColumn id="6" xr3:uid="{45907965-9BBB-4B0B-B263-DCFA29FA61CF}" name="Param3"/>
    <tableColumn id="7" xr3:uid="{2BBAE2B9-DD65-443F-8DE1-B8F9515D2052}" name="Param4"/>
    <tableColumn id="8" xr3:uid="{2A3A6F3F-B081-4E93-A3C1-3C91ED03595F}" name="Param5"/>
    <tableColumn id="9" xr3:uid="{BBBF3082-4BA4-42A9-A9DD-69347A398C07}" name="Param6"/>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672F8-0482-4A54-9764-F2B1EB92CCFF}" name="subPSUNominal" displayName="subPSUNominal" ref="K89:S91" totalsRowShown="0" headerRowDxfId="180">
  <autoFilter ref="K89:S91" xr:uid="{5F0E9E81-B64D-4B6A-A4ED-F236CACC05CC}"/>
  <tableColumns count="9">
    <tableColumn id="1" xr3:uid="{861AABDF-DE38-491F-9058-E1DD6ECD8D8D}" name="Command" dataDxfId="179"/>
    <tableColumn id="2" xr3:uid="{F52B6CFF-182A-4F90-BC6F-C164F35DA05E}" name="Alias" dataDxfId="178"/>
    <tableColumn id="3" xr3:uid="{7E779E3C-04F4-4ACD-ACC9-EAB0552B7141}" name="Method"/>
    <tableColumn id="4" xr3:uid="{848B3B90-7117-4567-8517-A40FD68A4FF3}" name="Param1"/>
    <tableColumn id="5" xr3:uid="{5D9FBC46-3963-4CE5-B2A2-15B057A8EF47}" name="Param2"/>
    <tableColumn id="6" xr3:uid="{64689FC0-73D6-4EDE-B5A9-12767FA628D2}" name="Param3"/>
    <tableColumn id="7" xr3:uid="{4C2F7CF3-339F-4C6B-8E4E-D8B736D2BA51}" name="Param4"/>
    <tableColumn id="8" xr3:uid="{6D95C35E-292E-4372-8A7A-B927EA2A3C36}" name="Param5"/>
    <tableColumn id="9" xr3:uid="{863A6DD4-A31B-496D-A72E-013C1A1A8501}" name="Param6"/>
  </tableColumns>
  <tableStyleInfo name="TableStyleMedium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635FDFC-E127-49F4-8331-580C07364A14}" name="subNoCagePSU" displayName="subNoCagePSU" ref="K95:S100" totalsRowShown="0" headerRowDxfId="177" dataDxfId="176">
  <autoFilter ref="K95:S100" xr:uid="{24D569C5-4160-4AC7-984B-59EDCE86D752}"/>
  <tableColumns count="9">
    <tableColumn id="1" xr3:uid="{867E2CFD-F666-4C7B-BD19-71D9B6BC7A95}" name="Command" dataDxfId="175"/>
    <tableColumn id="2" xr3:uid="{EB535C2E-63B2-4776-A19E-A35765288331}" name="Alias" dataDxfId="174"/>
    <tableColumn id="3" xr3:uid="{4B19F848-A9F3-4B8F-8274-81B73EFF5B4F}" name="Method" dataDxfId="173"/>
    <tableColumn id="4" xr3:uid="{B4CA99AD-BA3B-4F59-84FE-AEA6AF44E33F}" name="Param1" dataDxfId="172"/>
    <tableColumn id="5" xr3:uid="{A75F11F3-5A9E-4DC7-8472-C411AF0BAAD3}" name="Param2" dataDxfId="171"/>
    <tableColumn id="6" xr3:uid="{18D1A97D-B70B-4DC3-9988-5F53779D9300}" name="Param3" dataDxfId="170"/>
    <tableColumn id="7" xr3:uid="{48924162-62BB-4727-B354-3866110BA59C}" name="Param4" dataDxfId="169"/>
    <tableColumn id="8" xr3:uid="{FDC716D9-E269-4707-BAE9-8D3DA61F031F}" name="Param5" dataDxfId="168"/>
    <tableColumn id="9" xr3:uid="{2C885C7C-AA70-4437-A2DB-11040BC03F67}" name="Param6" dataDxfId="167"/>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4CA1BD0-C386-4A0F-9007-A47CC01B511B}" name="subDefaultEquipConfig" displayName="subDefaultEquipConfig" ref="K103:S118" totalsRowShown="0" headerRowDxfId="166" dataDxfId="165">
  <autoFilter ref="K103:S118" xr:uid="{B6F4D744-D19E-4045-BC5D-342CE7516FA2}"/>
  <tableColumns count="9">
    <tableColumn id="1" xr3:uid="{E62259EE-6846-4059-A20B-B53C27A5C662}" name="Command" dataDxfId="164"/>
    <tableColumn id="2" xr3:uid="{32FF63B2-0538-4830-A24D-E0CEC1D194B5}" name="Alias" dataDxfId="163"/>
    <tableColumn id="3" xr3:uid="{D6FCEC6A-E9EF-47D5-9CDB-C210E25B406D}" name="Method" dataDxfId="162"/>
    <tableColumn id="4" xr3:uid="{20B398F3-64CF-4EB0-8B54-77E817B020FC}" name="Param1" dataDxfId="161"/>
    <tableColumn id="5" xr3:uid="{A63BB35F-2DC6-47B1-8ECF-2204858EDEE3}" name="Param2" dataDxfId="160"/>
    <tableColumn id="6" xr3:uid="{7F75A587-C30E-44BD-BC7A-200F53DC337A}" name="Param3" dataDxfId="159"/>
    <tableColumn id="7" xr3:uid="{A92CCBED-66A2-48C7-9BAD-AE2C7EEE7875}" name="Param4" dataDxfId="158"/>
    <tableColumn id="8" xr3:uid="{2A625CEA-28E4-4B81-B38A-142960346F59}" name="Param5" dataDxfId="157"/>
    <tableColumn id="9" xr3:uid="{D38544D0-536F-43F5-8DE2-765B8DACC851}" name="Param6" dataDxfId="156"/>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D24F775-FF23-49D4-B00A-000824852993}" name="subCloseOpenGUI" displayName="subCloseOpenGUI" ref="K120:S127" totalsRowShown="0" headerRowDxfId="155">
  <autoFilter ref="K120:S127" xr:uid="{11B4865D-61A1-4E1E-8F32-684F7149492A}"/>
  <tableColumns count="9">
    <tableColumn id="1" xr3:uid="{066E90FB-784C-4375-894D-69A12EF4AE01}" name="Command"/>
    <tableColumn id="2" xr3:uid="{C42FB46B-05B8-4038-ACF9-88CDB0B98A0D}" name="Alias"/>
    <tableColumn id="3" xr3:uid="{1930ADDF-80EC-4AB3-87F0-E4C740A40A25}" name="Method"/>
    <tableColumn id="4" xr3:uid="{8E1E974A-9476-451E-9DBE-A902D31604D6}" name="Param1" dataDxfId="154">
      <calculatedColumnFormula>B121</calculatedColumnFormula>
    </tableColumn>
    <tableColumn id="5" xr3:uid="{EDD47A97-6B11-40E6-B70A-7642FD2CFF48}" name="Param2" dataDxfId="153">
      <calculatedColumnFormula>C121</calculatedColumnFormula>
    </tableColumn>
    <tableColumn id="6" xr3:uid="{B68F4023-E704-48EE-8691-F884CFB9BD2D}" name="Param3"/>
    <tableColumn id="7" xr3:uid="{4DC82D31-AEFA-429B-98F8-405131DA1B90}" name="Param4"/>
    <tableColumn id="8" xr3:uid="{3C13F284-86BC-423C-BAA2-A4220E224FD1}" name="Param5"/>
    <tableColumn id="9" xr3:uid="{9633B99A-BAA6-4366-841F-39EBD2464D59}" name="Param6"/>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7F82086-B726-4EF9-B6C2-44B352F3F1F9}" name="subK2002ConfigBufferTrigger" displayName="subK2002ConfigBufferTrigger" ref="K132:S147" totalsRowShown="0" headerRowDxfId="152" dataDxfId="151">
  <autoFilter ref="K132:S147" xr:uid="{89258409-E558-49CC-8565-DC15B3E569E4}"/>
  <tableColumns count="9">
    <tableColumn id="1" xr3:uid="{851A826C-496E-4B55-BD86-CA3B3962E134}" name="Command" dataDxfId="150"/>
    <tableColumn id="2" xr3:uid="{6959419A-FAA0-41BA-98D1-A17F0820B2D3}" name="Alias" dataDxfId="149"/>
    <tableColumn id="3" xr3:uid="{C427C03D-22CB-431E-9AA5-228D93A6F6D0}" name="Method" dataDxfId="148"/>
    <tableColumn id="4" xr3:uid="{E3C155C2-16DB-4A5C-9852-94EAF1BA893C}" name="Param1" dataDxfId="147"/>
    <tableColumn id="5" xr3:uid="{C1649279-463D-4C60-BE30-23C257500FA3}" name="Param2" dataDxfId="146"/>
    <tableColumn id="6" xr3:uid="{F85096FA-B4CF-4301-8C79-AFBD912822BE}" name="Param3" dataDxfId="145"/>
    <tableColumn id="7" xr3:uid="{FBDDF911-46BA-484E-8F45-4A12BF705665}" name="Param4" dataDxfId="144"/>
    <tableColumn id="8" xr3:uid="{CF9818A7-4993-4835-8B43-82BD5D1914B0}" name="Param5" dataDxfId="143"/>
    <tableColumn id="9" xr3:uid="{D7CC34D8-24A3-4B85-91A1-01D12C4D7F7A}" name="Param6" dataDxfId="1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891C036-869D-4C3C-92B4-8EAA0D572B9F}" name="subRecordBuffer" displayName="subRecordBuffer" ref="K150:S154" totalsRowShown="0" dataDxfId="141">
  <autoFilter ref="K150:S154" xr:uid="{A23769F9-FBE3-4E35-82B1-01AAF3D1D2D4}"/>
  <tableColumns count="9">
    <tableColumn id="1" xr3:uid="{255713C4-DAA8-43D2-B152-8D80AD4BA9C2}" name="Command" dataDxfId="140"/>
    <tableColumn id="2" xr3:uid="{DAE877B1-4F95-48E7-B07C-4595808A10A1}" name="Alias" dataDxfId="139"/>
    <tableColumn id="3" xr3:uid="{5B8B5FB1-2444-4708-A474-641F894BCA7E}" name="Method" dataDxfId="138"/>
    <tableColumn id="4" xr3:uid="{70047FCE-ABEA-4CE4-AAF7-8070FA313820}" name="Column3" dataDxfId="137"/>
    <tableColumn id="5" xr3:uid="{42450018-14E9-4B23-AF51-9FF788E36881}" name="Column4" dataDxfId="136"/>
    <tableColumn id="6" xr3:uid="{56C17FD4-06FA-491B-83E5-33C9ABEB2622}" name="Column5" dataDxfId="135"/>
    <tableColumn id="7" xr3:uid="{EB924DE0-DCFA-4203-9F58-C649C741C52A}" name="Column6" dataDxfId="134"/>
    <tableColumn id="8" xr3:uid="{03296467-B44D-487B-A197-9440838A83ED}" name="Column7" dataDxfId="133"/>
    <tableColumn id="9" xr3:uid="{C69C7D60-3307-4DEC-8F3A-C8E3EE537949}" name="Column8" dataDxfId="132"/>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011F84C-CDA6-4CCB-B2E2-D2873F522B1E}" name="subInstallAddon" displayName="subInstallAddon" ref="K157:S159" totalsRowShown="0" headerRowDxfId="131" dataDxfId="130">
  <autoFilter ref="K157:S159" xr:uid="{1BE46CAC-4CCA-4411-A5D1-3B425BC4E574}"/>
  <tableColumns count="9">
    <tableColumn id="1" xr3:uid="{FDD0138C-B8D6-4494-A838-37C4BC8C80E3}" name="Command" dataDxfId="129"/>
    <tableColumn id="2" xr3:uid="{A43A077F-A867-44AC-A534-E31E9DE82BD1}" name="Alias" dataDxfId="128"/>
    <tableColumn id="3" xr3:uid="{611C1BFE-5F0B-4140-B690-2A611580BB42}" name="Method" dataDxfId="127"/>
    <tableColumn id="4" xr3:uid="{453A55C5-E1A5-4597-A945-49EB8557B65B}" name="Param1" dataDxfId="126"/>
    <tableColumn id="5" xr3:uid="{7B83E6E0-3162-4D96-8104-9F9B6BC4FC4B}" name="Param2" dataDxfId="125"/>
    <tableColumn id="6" xr3:uid="{9809BA60-6A31-4130-93CC-3B14F7EA7EAB}" name="Param3" dataDxfId="124"/>
    <tableColumn id="7" xr3:uid="{A9BAB5D7-C063-47EA-9F31-F85B25457F96}" name="Param4" dataDxfId="123"/>
    <tableColumn id="8" xr3:uid="{414EC6F7-0F1A-4E9C-AE9E-80F570CDCABB}" name="Param5" dataDxfId="122"/>
    <tableColumn id="9" xr3:uid="{8C1E6D3E-99CC-4B59-AB36-C2560D179A90}" name="Param6" dataDxfId="121"/>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42D1A1-F3BF-4979-B9EA-D5961E1FA85B}" name="subFormatWfm" displayName="subFormatWfm" ref="K164:S174" totalsRowShown="0" headerRowDxfId="120" dataDxfId="119">
  <autoFilter ref="K164:S174" xr:uid="{9142D1A1-F3BF-4979-B9EA-D5961E1FA85B}"/>
  <tableColumns count="9">
    <tableColumn id="1" xr3:uid="{0FC0352A-038D-4D59-A798-565F001DEEB4}" name="Command" dataDxfId="118"/>
    <tableColumn id="2" xr3:uid="{9C3EED75-F61D-449F-8C8C-EF41430BD1C8}" name="Alias" dataDxfId="117"/>
    <tableColumn id="3" xr3:uid="{24612187-75B7-42B1-BF60-0C90112659BB}" name="Method" dataDxfId="116"/>
    <tableColumn id="4" xr3:uid="{60DD7F8D-3F78-45CB-9120-608CB3A8B286}" name="Param1" dataDxfId="115"/>
    <tableColumn id="5" xr3:uid="{32AF3F81-5D07-4FE5-9F78-9CF856C1B6AC}" name="Param2" dataDxfId="114"/>
    <tableColumn id="6" xr3:uid="{16E240BB-10EE-4E75-B3CE-79C61A62D4B3}" name="Param3" dataDxfId="113"/>
    <tableColumn id="7" xr3:uid="{AEBFF92C-EDE5-4B0F-82E5-22E8D065D5D9}" name="Param4" dataDxfId="112"/>
    <tableColumn id="8" xr3:uid="{29FF94CA-C25A-419D-A0B4-4FFFDE18D705}" name="Param5" dataDxfId="111"/>
    <tableColumn id="9" xr3:uid="{51D22147-E27D-41E1-9C58-E1AB64054477}" name="Param6" dataDxfId="110"/>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B4F7E940-5C09-40BF-B111-1B8F690AEE8F}" name="subOscWobbleView" displayName="subOscWobbleView" ref="K178:S182" totalsRowShown="0">
  <autoFilter ref="K178:S182" xr:uid="{B4F7E940-5C09-40BF-B111-1B8F690AEE8F}"/>
  <tableColumns count="9">
    <tableColumn id="1" xr3:uid="{5C8EBECB-5DCB-4EBD-A431-26204878F21D}" name="Command"/>
    <tableColumn id="2" xr3:uid="{C605042C-49ED-4B67-8C44-D05E519264E7}" name="Alias"/>
    <tableColumn id="3" xr3:uid="{42A96DEB-6A5B-469D-A72E-80ECFA62ED23}" name="Method"/>
    <tableColumn id="4" xr3:uid="{21C73443-9DE2-42CC-936E-63D87C05BC75}" name="Param1"/>
    <tableColumn id="5" xr3:uid="{B22F8699-33C4-4566-9FB6-270ECF7F56D6}" name="Param2"/>
    <tableColumn id="6" xr3:uid="{1836B67E-90FE-43A5-A004-ACD7C65A25A6}" name="Param3"/>
    <tableColumn id="7" xr3:uid="{EACB9C3E-1650-4E4A-879F-73CD2481CE19}" name="Param4"/>
    <tableColumn id="8" xr3:uid="{35590F4D-1460-48CB-899B-35197A5299A0}" name="Param5"/>
    <tableColumn id="9" xr3:uid="{3BABE60C-7A58-4D0E-8268-19EC4BF5AD9B}" name="Param6"/>
  </tableColumns>
  <tableStyleInfo name="TableStyleMedium2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8AFB549-BF47-4BD4-BEDA-74D545AF9873}" name="subSetupBuff" displayName="subSetupBuff" ref="K186:S221" totalsRowShown="0">
  <autoFilter ref="K186:S221" xr:uid="{D8AFB549-BF47-4BD4-BEDA-74D545AF9873}"/>
  <tableColumns count="9">
    <tableColumn id="1" xr3:uid="{213F1BDB-C231-490E-AC7B-4E22B129A7DE}" name="Column1"/>
    <tableColumn id="2" xr3:uid="{1E427F21-3594-4DD2-B6D2-C8B103EE6D2D}" name="Column2"/>
    <tableColumn id="3" xr3:uid="{DC65810A-BFDA-49FD-A0E1-A9D3B2E4479F}" name="Column3"/>
    <tableColumn id="4" xr3:uid="{00449CA2-0DA8-4589-AF6D-6D37DC8D2B4E}" name="Column4"/>
    <tableColumn id="5" xr3:uid="{48A064EE-0660-4461-8156-38A01B59FFDA}" name="Column5"/>
    <tableColumn id="6" xr3:uid="{1AD91F6C-ACB1-436F-9C9D-24809554E0E7}" name="Column6"/>
    <tableColumn id="7" xr3:uid="{181BB462-CEDD-4C1B-96DC-1F2CC83404B3}" name="Column7"/>
    <tableColumn id="8" xr3:uid="{788CBD15-EF17-46F3-B704-AB985D218F52}" name="Column8"/>
    <tableColumn id="9" xr3:uid="{6B958219-D2EB-46CB-9D6C-AFA278784E4F}" name="Column9"/>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34077A0-7B3C-479C-93F5-BD4AFC75FD8F}" name="subTriggerBuff" displayName="subTriggerBuff" ref="K225:S228" totalsRowShown="0">
  <autoFilter ref="K225:S228" xr:uid="{C34077A0-7B3C-479C-93F5-BD4AFC75FD8F}"/>
  <tableColumns count="9">
    <tableColumn id="1" xr3:uid="{B592ED17-3BE8-45BB-B96E-FE2F43265D1E}" name="Column1"/>
    <tableColumn id="2" xr3:uid="{D5863DEC-143B-43C2-AA53-59AFD4A99B20}" name="Column2"/>
    <tableColumn id="3" xr3:uid="{9F1C88D4-4208-4F7D-9DC0-F87C97166DD8}" name="Column3"/>
    <tableColumn id="4" xr3:uid="{3CDFCC3D-13C3-4D2A-AEF6-24EA7FDEF8ED}" name="Column4"/>
    <tableColumn id="5" xr3:uid="{F6863C84-7586-4F98-B289-4664DF7C4E49}" name="Column5"/>
    <tableColumn id="6" xr3:uid="{F31F76AF-B462-4575-B908-BB2BA9BD0438}" name="Column6"/>
    <tableColumn id="7" xr3:uid="{EE09A9AB-E6CC-4F96-AC8B-396BC640F03C}" name="Column7"/>
    <tableColumn id="8" xr3:uid="{9B0AB48A-6B1C-4862-9DAB-3D1E66B4A02E}" name="Column8"/>
    <tableColumn id="9" xr3:uid="{2C4303B7-61F3-490A-83E4-CCF098E0DE74}" name="Column9"/>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F097F103-E846-4771-BC75-DA05FE57DDB5}" name="subExtDelayTrip" displayName="subExtDelayTrip" ref="K232:S237" totalsRowShown="0">
  <autoFilter ref="K232:S237" xr:uid="{F097F103-E846-4771-BC75-DA05FE57DDB5}"/>
  <tableColumns count="9">
    <tableColumn id="1" xr3:uid="{2305F6E4-43D7-48CA-A76F-9B8776B0A76D}" name="Column1"/>
    <tableColumn id="2" xr3:uid="{ECAAD2DB-5C21-4CEB-A2C1-8D4EE30EC7A1}" name="Column2"/>
    <tableColumn id="3" xr3:uid="{7356E47E-7AD9-419D-8637-28D872FC3D33}" name="Column3"/>
    <tableColumn id="4" xr3:uid="{38B41294-91D5-44A3-9100-CBBC3588AFE2}" name="Column4"/>
    <tableColumn id="5" xr3:uid="{6768B48E-DE5D-4276-A27D-F23B8CC1D3A6}" name="Column5"/>
    <tableColumn id="6" xr3:uid="{C57C58E2-BD15-41BE-ADCA-EFA6C8F48905}" name="Column6"/>
    <tableColumn id="7" xr3:uid="{2178CA81-84D7-4409-BFD4-05D9AA74DC78}" name="Column7"/>
    <tableColumn id="8" xr3:uid="{90719903-46A4-4DCF-BCEC-84A9747A7CF8}" name="Column8"/>
    <tableColumn id="9" xr3:uid="{A98E57D8-C53F-4AE8-8313-69DF181BF902}" name="Column9"/>
  </tableColumns>
  <tableStyleInfo name="TableStyleMedium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0C7545A-9880-426D-A73B-888314C0E3AE}" name="subExtDelayTrip9uA" displayName="subExtDelayTrip9uA" ref="K241:S246" totalsRowShown="0">
  <autoFilter ref="K241:S246" xr:uid="{10C7545A-9880-426D-A73B-888314C0E3AE}"/>
  <tableColumns count="9">
    <tableColumn id="1" xr3:uid="{604049B7-3C90-4C59-8076-0595739A63DA}" name="Column1"/>
    <tableColumn id="2" xr3:uid="{7F99BD76-C10D-475E-8825-40B4BBA82392}" name="Column2"/>
    <tableColumn id="3" xr3:uid="{14DCC1AE-37EB-438A-A4A0-5DB41585C64D}" name="Column3"/>
    <tableColumn id="4" xr3:uid="{52CF1BAB-2731-4F1C-905F-35418FB7099A}" name="Column4"/>
    <tableColumn id="5" xr3:uid="{FEA98533-3E87-4918-A92B-556C61D6A40A}" name="Column5"/>
    <tableColumn id="6" xr3:uid="{18F67440-B62E-4863-8EC6-C999F753C24B}" name="Column6"/>
    <tableColumn id="7" xr3:uid="{BABAE97D-660C-420B-8EB8-A9CE2C6B5C40}" name="Column7"/>
    <tableColumn id="8" xr3:uid="{F9BE4700-C03F-4E73-93A9-4818A7229A31}" name="Column8"/>
    <tableColumn id="9" xr3:uid="{4487F083-1896-4761-9AE4-ECE09273AFBD}" name="Column9"/>
  </tableColumns>
  <tableStyleInfo name="TableStyleMedium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2FBFF04-0F4A-47E3-A7F4-882A44A17D02}" name="subExtDelayTrip11uA" displayName="subExtDelayTrip11uA" ref="K250:S255" totalsRowShown="0">
  <autoFilter ref="K250:S255" xr:uid="{92FBFF04-0F4A-47E3-A7F4-882A44A17D02}"/>
  <tableColumns count="9">
    <tableColumn id="1" xr3:uid="{843B26A9-7369-420F-84CB-74DA9602B0C3}" name="Column1"/>
    <tableColumn id="2" xr3:uid="{4EB7DA48-F4CE-426A-82FE-5C0CD9C80D42}" name="Column2"/>
    <tableColumn id="3" xr3:uid="{59962DF9-04CD-40D7-8C75-B0609B4E70E6}" name="Column3"/>
    <tableColumn id="4" xr3:uid="{8A2D4ED0-CC13-45C6-9CCE-714ADE3AC472}" name="Column4"/>
    <tableColumn id="5" xr3:uid="{2DE17517-25BA-4D2C-BAD3-76670B1669BE}" name="Column5"/>
    <tableColumn id="6" xr3:uid="{D8119490-7BB9-4F4C-9057-3CBCB9450C71}" name="Column6"/>
    <tableColumn id="7" xr3:uid="{DDB4A528-4F6B-4AEF-B060-D6CBA125219C}" name="Column7"/>
    <tableColumn id="8" xr3:uid="{FD611473-021B-41B1-AE2A-E5405DC3FEBC}" name="Column8"/>
    <tableColumn id="9" xr3:uid="{AA5A17D2-73D0-4BCD-8230-6D9C05013A9C}" name="Column9"/>
  </tableColumns>
  <tableStyleInfo name="TableStyleMedium4"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72A2D253-CEEF-4176-B9E0-B0BC495B444C}" name="subExtDelayTrip5uA400mS" displayName="subExtDelayTrip5uA400mS" ref="K259:S264" totalsRowShown="0">
  <autoFilter ref="K259:S264" xr:uid="{72A2D253-CEEF-4176-B9E0-B0BC495B444C}"/>
  <tableColumns count="9">
    <tableColumn id="1" xr3:uid="{3BE1008E-EAFB-4732-B5E1-1CFAB3A42A42}" name="Column1"/>
    <tableColumn id="2" xr3:uid="{4DCC9241-0F86-4612-A6C1-FCA5672028D9}" name="Column2"/>
    <tableColumn id="3" xr3:uid="{304EF1C4-593E-42E8-998F-709136C4FCC3}" name="Column3"/>
    <tableColumn id="4" xr3:uid="{0C6073D3-459E-4F98-A9CE-0C83D3C99199}" name="Column4"/>
    <tableColumn id="5" xr3:uid="{9CE1AFB4-6F50-4C78-91AB-7915D587E557}" name="Column5"/>
    <tableColumn id="6" xr3:uid="{AAC9BC96-B211-4B58-B443-462275D36AE0}" name="Column6"/>
    <tableColumn id="7" xr3:uid="{74E168CE-D54D-4C7B-8264-DAC1553147B4}" name="Column7"/>
    <tableColumn id="8" xr3:uid="{747E6CF3-E23B-43C5-974F-101587E5A1F0}" name="Column8"/>
    <tableColumn id="9" xr3:uid="{E8D25E2D-5AC7-46D1-A231-FF1DDDDF4054}" name="Column9"/>
  </tableColumns>
  <tableStyleInfo name="TableStyleMedium4"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90F966D7-B9BD-4DF4-8066-5B214AE769B3}" name="subExtDelayTrip400uA15mS" displayName="subExtDelayTrip400uA15mS" ref="K269:S274" totalsRowShown="0">
  <autoFilter ref="K269:S274" xr:uid="{90F966D7-B9BD-4DF4-8066-5B214AE769B3}"/>
  <tableColumns count="9">
    <tableColumn id="1" xr3:uid="{E6346127-71FD-419E-8727-8E29C00F5E9D}" name="Column1"/>
    <tableColumn id="2" xr3:uid="{2CD3327F-75CB-4776-8F24-027D1D50C90A}" name="Column2"/>
    <tableColumn id="3" xr3:uid="{9D2D04DA-35AA-4B51-93A8-5A1E9DD9F722}" name="Column3"/>
    <tableColumn id="4" xr3:uid="{83DB19CA-BD0C-4614-BCE9-ECAFEE6E0DBC}" name="Column4"/>
    <tableColumn id="5" xr3:uid="{C63CF559-044A-4189-9DBF-2FFAE4EE1B6A}" name="Column5"/>
    <tableColumn id="6" xr3:uid="{B81B17AC-C1D1-4946-90CD-AFB7663CF6E4}" name="Column6"/>
    <tableColumn id="7" xr3:uid="{0943C172-4C24-4540-ADC4-DEE912B471A9}" name="Column7"/>
    <tableColumn id="8" xr3:uid="{2317FF28-A4C4-4C71-A367-EE26CCFF1228}" name="Column8"/>
    <tableColumn id="9" xr3:uid="{AD0B6D00-D99C-40A2-83E4-AC008F942327}" name="Column9"/>
  </tableColumns>
  <tableStyleInfo name="TableStyleMedium4"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228B66-B98E-469E-9A5F-CCA0181709C7}" name="tblVbaClasses" displayName="tblVbaClasses" ref="B4:D14" totalsRowShown="0" headerRowDxfId="109">
  <autoFilter ref="B4:D14" xr:uid="{73833E73-696E-4376-99ED-6F25E33B40BF}">
    <filterColumn colId="0" hiddenButton="1"/>
    <filterColumn colId="1" hiddenButton="1"/>
    <filterColumn colId="2" hiddenButton="1"/>
  </autoFilter>
  <tableColumns count="3">
    <tableColumn id="1" xr3:uid="{4209FDA4-81D0-4954-9B14-05CBBC630D9C}" name="Model" dataDxfId="108"/>
    <tableColumn id="2" xr3:uid="{2B472A4D-D1F3-4594-9BB6-84BE6F063804}" name="ClassName" dataDxfId="107"/>
    <tableColumn id="3" xr3:uid="{D59A52CE-F56E-4B77-854F-9A1C7C16FEC4}" name="Location" dataDxfId="106" dataCellStyle="Hyperlink"/>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BF46581-C65D-4DCA-B5A1-40F363058B55}" name="tblUnitTypes" displayName="tblUnitTypes" ref="B31:D33" totalsRowShown="0" headerRowDxfId="105" dataDxfId="104">
  <autoFilter ref="B31:D33" xr:uid="{A2EEA3CE-8627-4CA1-837D-78AA2F3854E3}">
    <filterColumn colId="0" hiddenButton="1"/>
    <filterColumn colId="1" hiddenButton="1"/>
    <filterColumn colId="2" hiddenButton="1"/>
  </autoFilter>
  <tableColumns count="3">
    <tableColumn id="1" xr3:uid="{FA47E1A2-44E7-4249-89FF-37440DBE8E2C}" name="Index" dataDxfId="103"/>
    <tableColumn id="2" xr3:uid="{486187A2-1C6A-4BA0-AE7D-42CCAD6DD8C6}" name="Product" dataDxfId="102"/>
    <tableColumn id="3" xr3:uid="{7E8358A7-61D0-41DA-BE95-ED19CF99C9BE}" name="ProductId" dataDxfId="101">
      <calculatedColumnFormula>RIGHT(tblUnitTypes[[#This Row],[Product]],LEN(tblUnitTypes[[#This Row],[Product]])-FIND("/",tblUnitTypes[[#This Row],[Product]]))</calculatedColumnFormula>
    </tableColumn>
  </tableColumns>
  <tableStyleInfo name="TableStyleMedium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6A73366-3FF1-4B42-B2D7-1CFEF3F9E98F}" name="tblSelectedUnit" displayName="tblSelectedUnit" ref="N31:P32" totalsRowShown="0" headerRowDxfId="100" dataDxfId="99">
  <autoFilter ref="N31:P32" xr:uid="{20244E32-8E79-4E78-86FD-D4A5A99F057F}">
    <filterColumn colId="0" hiddenButton="1"/>
    <filterColumn colId="1" hiddenButton="1"/>
    <filterColumn colId="2" hiddenButton="1"/>
  </autoFilter>
  <tableColumns count="3">
    <tableColumn id="1" xr3:uid="{10642F4A-E03D-404B-8367-7F2EA7C88C99}" name="Index" dataDxfId="98">
      <calculatedColumnFormula>INDEX(tblUnitTypes[Index],MATCH(C27,tblUnitTypes[Product],0))</calculatedColumnFormula>
    </tableColumn>
    <tableColumn id="2" xr3:uid="{2B6CAE33-8D7F-4323-A165-C8D5560095C1}" name="Product" dataDxfId="97">
      <calculatedColumnFormula>INDEX(C27,MATCH(unit_type,tblUnitTypes[Product]))</calculatedColumnFormula>
    </tableColumn>
    <tableColumn id="3" xr3:uid="{1B6B2DD1-AB12-457D-8278-99580BDA2BDC}" name="ProductId" dataDxfId="96">
      <calculatedColumnFormula>INDEX(tblUnitTypes[ProductId],MATCH(C27,tblUnitTypes[Product],0))</calculatedColumnFormula>
    </tableColumn>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C4A6C8E-D1FB-4072-B73E-8E47C85A078F}" name="tblOutputs_734" displayName="tblOutputs_734" ref="S38:V45" totalsRowShown="0" headerRowDxfId="95">
  <autoFilter ref="S38:V45" xr:uid="{E006687C-D713-4B5D-A48D-198B49681CA4}">
    <filterColumn colId="0" hiddenButton="1"/>
    <filterColumn colId="1" hiddenButton="1"/>
    <filterColumn colId="2" hiddenButton="1"/>
    <filterColumn colId="3" hiddenButton="1"/>
  </autoFilter>
  <tableColumns count="4">
    <tableColumn id="1" xr3:uid="{19E877CD-A3E5-47B9-B62B-99A9EE645092}" name="ID" dataDxfId="94"/>
    <tableColumn id="2" xr3:uid="{2C4CCDEE-8D37-4B9D-ADD8-BF037A068DA7}" name="ProductId" dataDxfId="93"/>
    <tableColumn id="3" xr3:uid="{F8590543-43AF-40DF-91A1-54A28EDCE251}" name="OutputName"/>
    <tableColumn id="4" xr3:uid="{6EBEB04E-1D45-4015-B863-90B4C5F5D7D0}" name="Alias"/>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D45168-469D-43D4-BA76-38936B02BF3E}" name="tblOutputs_Index" displayName="tblOutputs_Index" ref="N43:Q44" totalsRowShown="0" headerRowDxfId="92" dataDxfId="91">
  <autoFilter ref="N43:Q44" xr:uid="{5C691560-2052-49B1-BFE2-82BFED5365D4}">
    <filterColumn colId="0" hiddenButton="1"/>
    <filterColumn colId="1" hiddenButton="1"/>
    <filterColumn colId="2" hiddenButton="1"/>
    <filterColumn colId="3" hiddenButton="1"/>
  </autoFilter>
  <tableColumns count="4">
    <tableColumn id="1" xr3:uid="{1E7FA72D-C712-4A2D-9958-9E9E42FB7EE5}" name="ID" dataDxfId="90"/>
    <tableColumn id="2" xr3:uid="{751981F7-CBFA-474F-9FDA-AE11342D51C3}" name="ProductId" dataDxfId="89">
      <calculatedColumnFormula>INDEX(tblUnitTypes[ProductId],MATCH(tblOutputs_Index[[#This Row],[ID]],tblUnitTypes[Index],0))</calculatedColumnFormula>
    </tableColumn>
    <tableColumn id="3" xr3:uid="{BCEBA0E4-51D1-40B2-AA5B-F8D6071438DF}" name="Section" dataDxfId="88"/>
    <tableColumn id="4" xr3:uid="{E0213410-E517-4F15-B0E6-2C339A2E3191}" name="Table" dataDxfId="87">
      <calculatedColumnFormula>_xlfn.CONCAT("tbl",tblOutputs_Index[[#This Row],[Section]],"_",tblOutputs_Index[[#This Row],[ProductId]])</calculatedColumnFormula>
    </tableColumn>
  </tableColumns>
  <tableStyleInfo name="TableStyleMedium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E279CA5-F63D-4C23-95B5-386DA005F5D2}" name="tblSelectedOutputs" displayName="tblSelectedOutputs" ref="N38:Q39" totalsRowShown="0" headerRowDxfId="86" dataDxfId="84" headerRowBorderDxfId="85" tableBorderDxfId="83">
  <autoFilter ref="N38:Q39" xr:uid="{CDC4B10C-2A42-4F8A-8728-80A847A7D000}">
    <filterColumn colId="0" hiddenButton="1"/>
    <filterColumn colId="1" hiddenButton="1"/>
    <filterColumn colId="2" hiddenButton="1"/>
    <filterColumn colId="3" hiddenButton="1"/>
  </autoFilter>
  <tableColumns count="4">
    <tableColumn id="1" xr3:uid="{CB3E5A50-0CC7-4C06-8151-D8FB646CE7DC}" name="ID" dataDxfId="82">
      <calculatedColumnFormula>INDEX(tblOutputs_Index[ID],MATCH(tblSelectedUnit[Index],tblOutputs_Index[ID],0))</calculatedColumnFormula>
    </tableColumn>
    <tableColumn id="2" xr3:uid="{E6C02209-B2FF-4139-A61E-8E3A507826E2}" name="ProductId" dataDxfId="81">
      <calculatedColumnFormula>INDEX(tblOutputs_Index[ProductId],MATCH(tblSelectedUnit[Index],tblOutputs_Index[ID],0))</calculatedColumnFormula>
    </tableColumn>
    <tableColumn id="3" xr3:uid="{58438A2F-EB5C-46D7-9069-D2EFFE0A845E}" name="Section" dataDxfId="80">
      <calculatedColumnFormula>INDEX(tblOutputs_Index[Section],MATCH(tblSelectedUnit[Index],tblOutputs_Index[ID],0))</calculatedColumnFormula>
    </tableColumn>
    <tableColumn id="4" xr3:uid="{2F346187-D48D-4DD1-8F71-0267417BBF76}" name="Table" dataDxfId="79">
      <calculatedColumnFormula>INDEX(tblOutputs_Index[Table],MATCH(tblSelectedUnit[Index],tblOutputs_Index[ID],0))</calculatedColumnFormula>
    </tableColumn>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DFB96CA-0E89-4764-A1D5-E6A933CC076E}" name="tblProductOutputs" displayName="tblProductOutputs" ref="B38:E44" totalsRowShown="0" headerRowDxfId="78" dataDxfId="77">
  <autoFilter ref="B38:E44" xr:uid="{25FCACD9-663E-4495-AA67-39D62A140D1D}">
    <filterColumn colId="0" hiddenButton="1"/>
    <filterColumn colId="1" hiddenButton="1"/>
    <filterColumn colId="2" hiddenButton="1"/>
    <filterColumn colId="3" hiddenButton="1"/>
  </autoFilter>
  <tableColumns count="4">
    <tableColumn id="1" xr3:uid="{40251D43-2652-4CA0-9419-A45610C64629}" name="ID" dataDxfId="76"/>
    <tableColumn id="2" xr3:uid="{62A7E3C2-DB9F-4207-BAC4-D1C0BDB77BFE}" name="ProductId" dataDxfId="75">
      <calculatedColumnFormula>INDEX(INDIRECT(_xlfn.CONCAT(INDIRECT("tblSelectedOutputs[Table]"),"[","ProductId","]")),MATCH(tblProductOutputs[[#This Row],[ID]],INDIRECT(_xlfn.CONCAT(INDIRECT("tblSelectedOutputs[Table]"),"[","ID","]")),0))</calculatedColumnFormula>
    </tableColumn>
    <tableColumn id="3" xr3:uid="{C8251893-04DE-44E8-AC68-504DF916773F}" name="OutputName" dataDxfId="74">
      <calculatedColumnFormula>INDEX(INDIRECT(_xlfn.CONCAT(INDIRECT("tblSelectedOutputs[Table]"),"[","OutputName","]")),MATCH(tblProductOutputs[[#This Row],[ID]],INDIRECT(_xlfn.CONCAT(INDIRECT("tblSelectedOutputs[Table]"),"[","ID","]")),0))</calculatedColumnFormula>
    </tableColumn>
    <tableColumn id="4" xr3:uid="{7C216562-EE7D-4D76-B175-DFE9FE68379C}" name="Alias" dataDxfId="73">
      <calculatedColumnFormula>INDEX(INDIRECT(_xlfn.CONCAT(INDIRECT("tblSelectedOutputs[Table]"),"[","Alias","]")),MATCH(tblProductOutputs[[#This Row],[ID]],INDIRECT(_xlfn.CONCAT(INDIRECT("tblSelectedOutputs[Table]"),"[","ID","]")),0))</calculatedColumnFormula>
    </tableColumn>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533C64E-D95A-4A98-BCD1-3DD1573D48F1}" name="tblProductScalesMeasures" displayName="tblProductScalesMeasures" ref="B51:L131" totalsRowShown="0" headerRowDxfId="72">
  <autoFilter ref="B51:L131" xr:uid="{2532606B-F383-41AA-B94F-50EDC013C53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8A067D55-BC6F-4A09-948D-B02CC6C30377}" name="ID" dataDxfId="71"/>
    <tableColumn id="2" xr3:uid="{B88105CE-9724-4A74-8656-66DC3051985F}" name="ProductId" dataDxfId="70">
      <calculatedColumnFormula>INDEX(INDIRECT(_xlfn.CONCAT(INDIRECT("tblScalesMeasures_Selected[Table]"),"[","ProductId","]")),MATCH(tblProductScalesMeasures[[#This Row],[ID]],INDIRECT(_xlfn.CONCAT(INDIRECT("tblScalesMeasures_Selected[Table]"),"[","ID","]")),0))</calculatedColumnFormula>
    </tableColumn>
    <tableColumn id="3" xr3:uid="{C135B307-14B4-48AB-828D-D03A980A1960}" name="OutputId" dataDxfId="69">
      <calculatedColumnFormula>INDEX(INDIRECT(_xlfn.CONCAT(INDIRECT("tblScalesMeasures_Selected[Table]"),"[","OutputId","]")),MATCH(tblProductScalesMeasures[[#This Row],[ID]],INDIRECT(_xlfn.CONCAT(INDIRECT("tblScalesMeasures_Selected[Table]"),"[","ID","]")),0))</calculatedColumnFormula>
    </tableColumn>
    <tableColumn id="4" xr3:uid="{7B87CF53-B573-4308-9936-78B54F448678}" name="Alias" dataDxfId="68">
      <calculatedColumnFormula>INDEX(INDIRECT(_xlfn.CONCAT(INDIRECT("tblScalesMeasures_Selected[Table]"),"[","Alias","]")),MATCH(tblProductScalesMeasures[[#This Row],[ID]],INDIRECT(_xlfn.CONCAT(INDIRECT("tblScalesMeasures_Selected[Table]"),"[","ID","]")),0))</calculatedColumnFormula>
    </tableColumn>
    <tableColumn id="5" xr3:uid="{53255D5B-5056-40E1-9B13-4B159880226B}" name="Parameter" dataDxfId="67">
      <calculatedColumnFormula>INDEX(INDIRECT(_xlfn.CONCAT(INDIRECT("tblScalesMeasures_Selected[Table]"),"[","Parameter","]")),MATCH(tblProductScalesMeasures[[#This Row],[ID]],INDIRECT(_xlfn.CONCAT(INDIRECT("tblScalesMeasures_Selected[Table]"),"[","ID","]")),0))</calculatedColumnFormula>
    </tableColumn>
    <tableColumn id="6" xr3:uid="{3C67E9D6-25C5-45AC-B7ED-3C099D2AC5F4}" name="Unit" dataDxfId="66">
      <calculatedColumnFormula>INDEX(INDIRECT(_xlfn.CONCAT(INDIRECT("tblScalesMeasures_Selected[Table]"),"[","Unit","]")),MATCH(tblProductScalesMeasures[[#This Row],[ID]],INDIRECT(_xlfn.CONCAT(INDIRECT("tblScalesMeasures_Selected[Table]"),"[","ID","]")),0))</calculatedColumnFormula>
    </tableColumn>
    <tableColumn id="10" xr3:uid="{964B1F14-26D0-4802-845A-C169911F77F9}" name="Description" dataDxfId="65">
      <calculatedColumnFormula>INDEX(INDIRECT(_xlfn.CONCAT(INDIRECT("tblScalesMeasures_Selected[Table]"),"[","Description","]")),MATCH(tblProductScalesMeasures[[#This Row],[ID]],INDIRECT(_xlfn.CONCAT(INDIRECT("tblScalesMeasures_Selected[Table]"),"[","ID","]")),0))</calculatedColumnFormula>
    </tableColumn>
    <tableColumn id="7" xr3:uid="{064670FE-B784-447D-875F-AFCE39616F41}" name="Min" dataDxfId="64">
      <calculatedColumnFormula>INDEX(INDIRECT(_xlfn.CONCAT(INDIRECT("tblScalesMeasures_Selected[Table]"),"[","Min","]")),MATCH(tblProductScalesMeasures[[#This Row],[ID]],INDIRECT(_xlfn.CONCAT(INDIRECT("tblScalesMeasures_Selected[Table]"),"[","ID","]")),0))</calculatedColumnFormula>
    </tableColumn>
    <tableColumn id="8" xr3:uid="{AB2C0FA1-618B-4F7E-860E-E0F95E99BB18}" name="Max" dataDxfId="63">
      <calculatedColumnFormula>INDEX(INDIRECT(_xlfn.CONCAT(INDIRECT("tblScalesMeasures_Selected[Table]"),"[","Max","]")),MATCH(tblProductScalesMeasures[[#This Row],[ID]],INDIRECT(_xlfn.CONCAT(INDIRECT("tblScalesMeasures_Selected[Table]"),"[","ID","]")),0))</calculatedColumnFormula>
    </tableColumn>
    <tableColumn id="9" xr3:uid="{FA9F42AF-A9F4-4027-AE99-84DA8907EC4C}" name="Nominal" dataDxfId="62">
      <calculatedColumnFormula>INDEX(INDIRECT(_xlfn.CONCAT(INDIRECT("tblScalesMeasures_Selected[Table]"),"[","Nominal","]")),MATCH(tblProductScalesMeasures[[#This Row],[ID]],INDIRECT(_xlfn.CONCAT(INDIRECT("tblScalesMeasures_Selected[Table]"),"[","ID","]")),0))</calculatedColumnFormula>
    </tableColumn>
    <tableColumn id="13" xr3:uid="{C33B3C7A-EC47-4552-9F98-80A48561AFFD}" name="Value" dataDxfId="61">
      <calculatedColumnFormula>INDEX(INDIRECT(_xlfn.CONCAT(INDIRECT("tblScalesMeasures_Selected[Table]"),"[","Value","]")),MATCH(tblProductScalesMeasures[[#This Row],[ID]],INDIRECT(_xlfn.CONCAT(INDIRECT("tblScalesMeasures_Selected[Table]"),"[","ID","]")),0))</calculatedColumnFormula>
    </tableColumn>
  </tableColumns>
  <tableStyleInfo name="TableStyleMedium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5FA3427-B9CA-4CAA-B557-8B5790F1AE72}" name="tblScalesMeasures_Index" displayName="tblScalesMeasures_Index" ref="N57:Q58" totalsRowShown="0" headerRowDxfId="60" headerRowBorderDxfId="59" tableBorderDxfId="58">
  <autoFilter ref="N57:Q58" xr:uid="{199FFACF-E379-4B26-808C-1E737C6B3A4D}">
    <filterColumn colId="0" hiddenButton="1"/>
    <filterColumn colId="1" hiddenButton="1"/>
    <filterColumn colId="2" hiddenButton="1"/>
    <filterColumn colId="3" hiddenButton="1"/>
  </autoFilter>
  <tableColumns count="4">
    <tableColumn id="1" xr3:uid="{67A56AE4-BADB-4678-8219-4E02A00BE332}" name="ID" dataDxfId="57"/>
    <tableColumn id="2" xr3:uid="{AF25A4E9-3E3C-4BEB-BDBB-8D140C9DAC97}" name="ProductId" dataDxfId="56">
      <calculatedColumnFormula>INDEX(tblUnitTypes[ProductId],MATCH(tblScalesMeasures_Index[[#This Row],[ID]],tblUnitTypes[Index],0))</calculatedColumnFormula>
    </tableColumn>
    <tableColumn id="3" xr3:uid="{A0573B9C-B095-4287-9094-47F51BDF785A}" name="Section"/>
    <tableColumn id="4" xr3:uid="{E428C3C0-4FA3-4AA1-9DA2-961F0C979FB4}" name="Table">
      <calculatedColumnFormula>_xlfn.CONCAT("tbl",tblScalesMeasures_Index[[#This Row],[Section]],"_",tblScalesMeasures_Index[[#This Row],[ProductId]])</calculatedColumnFormula>
    </tableColumn>
  </tableColumns>
  <tableStyleInfo name="TableStyleMedium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FD4AD11-34EE-4D9D-8B47-36CEDF40D078}" name="tblScalesMeasures_Selected" displayName="tblScalesMeasures_Selected" ref="N51:Q52" totalsRowShown="0" headerRowDxfId="55" headerRowBorderDxfId="54" tableBorderDxfId="53">
  <autoFilter ref="N51:Q52" xr:uid="{261418E9-3165-4B87-8F72-1C0DAC806D7B}">
    <filterColumn colId="0" hiddenButton="1"/>
    <filterColumn colId="1" hiddenButton="1"/>
    <filterColumn colId="2" hiddenButton="1"/>
    <filterColumn colId="3" hiddenButton="1"/>
  </autoFilter>
  <tableColumns count="4">
    <tableColumn id="1" xr3:uid="{7F4E07D6-F0E3-477E-B343-D26ED9FBAC4A}" name="ID" dataDxfId="52">
      <calculatedColumnFormula>INDEX(tblScalesMeasures_Index[ID],MATCH(tblSelectedUnit[Index],tblScalesMeasures_Index[ID],0))</calculatedColumnFormula>
    </tableColumn>
    <tableColumn id="2" xr3:uid="{51153F0A-6D41-42FA-AB66-5A29BC54D206}" name="ProductId" dataDxfId="51">
      <calculatedColumnFormula>INDEX(tblScalesMeasures_Index[ProductId],MATCH(tblSelectedUnit[Index],tblScalesMeasures_Index[ID],0))</calculatedColumnFormula>
    </tableColumn>
    <tableColumn id="3" xr3:uid="{1092CAFB-B8CC-469B-9400-82F80513C6D1}" name="Section">
      <calculatedColumnFormula>INDEX(tblScalesMeasures_Index[Section],MATCH(tblSelectedUnit[Index],tblScalesMeasures_Index[ID],0))</calculatedColumnFormula>
    </tableColumn>
    <tableColumn id="4" xr3:uid="{7215CB07-E7F5-4453-9E00-84398ED0117F}" name="Table">
      <calculatedColumnFormula>INDEX(tblScalesMeasures_Index[Table],MATCH(tblSelectedUnit[Index],tblScalesMeasures_Index[ID],0))</calculatedColumnFormula>
    </tableColumn>
  </tableColumns>
  <tableStyleInfo name="TableStyleMedium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8B4B03B-B726-4C9E-B4A1-3F8BA6439FE9}" name="tblHardLimits_Index" displayName="tblHardLimits_Index" ref="N70:Q71" totalsRowShown="0" headerRowDxfId="50" headerRowBorderDxfId="49" tableBorderDxfId="48">
  <autoFilter ref="N70:Q71" xr:uid="{1A6369C1-707C-47F6-97D3-D90006126B2C}"/>
  <tableColumns count="4">
    <tableColumn id="1" xr3:uid="{0D27365D-7B10-4B1B-BF88-B8A90CC37C71}" name="ID" dataDxfId="47"/>
    <tableColumn id="2" xr3:uid="{61C3E8F8-8351-4379-A8EF-E827DB53D0C5}" name="ProductId" dataDxfId="46">
      <calculatedColumnFormula>INDEX(tblUnitTypes[ProductId],MATCH(tblHardLimits_Index[[#This Row],[ID]],tblUnitTypes[Index],0))</calculatedColumnFormula>
    </tableColumn>
    <tableColumn id="3" xr3:uid="{B5584CC2-4A7B-47C6-96D7-7AB67714A935}" name="Section"/>
    <tableColumn id="4" xr3:uid="{FBD53D5D-8EC1-42DE-AE22-DACE79CDCCEE}" name="Table">
      <calculatedColumnFormula>_xlfn.CONCAT("tbl",tblHardLimits_Index[[#This Row],[Section]],"_",tblHardLimits_Index[[#This Row],[ProductId]])</calculatedColumnFormula>
    </tableColumn>
  </tableColumns>
  <tableStyleInfo name="TableStyleMedium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BED9901-F4BB-40E3-B99E-1A8BA553DB8D}" name="tblHardLimits_Selected" displayName="tblHardLimits_Selected" ref="N64:Q65" totalsRowShown="0" headerRowDxfId="45" headerRowBorderDxfId="44" tableBorderDxfId="43">
  <autoFilter ref="N64:Q65" xr:uid="{29D84348-7922-4856-9560-A42EBDF5EDE6}"/>
  <tableColumns count="4">
    <tableColumn id="1" xr3:uid="{A90F09DE-9B54-4684-A086-79D6FF4940E1}" name="ID" dataDxfId="42">
      <calculatedColumnFormula>INDEX(tblHardLimits_Index[ID],MATCH(tblSelectedUnit[Index],tblHardLimits_Index[ID],0))</calculatedColumnFormula>
    </tableColumn>
    <tableColumn id="2" xr3:uid="{A4CAEA8A-2E30-4691-8AE6-810A486BE4C8}" name="ProductId" dataDxfId="41">
      <calculatedColumnFormula>INDEX(tblHardLimits_Index[ProductId],MATCH(tblSelectedUnit[Index],tblHardLimits_Index[ID],0))</calculatedColumnFormula>
    </tableColumn>
    <tableColumn id="3" xr3:uid="{20D833EF-3342-4EBF-9E34-8A4A059F4AB4}" name="Section">
      <calculatedColumnFormula>INDEX(tblHardLimits_Index[Section],MATCH(tblSelectedUnit[Index],tblHardLimits_Index[ID],0))</calculatedColumnFormula>
    </tableColumn>
    <tableColumn id="4" xr3:uid="{50C80343-0398-4161-A5B3-78EF8B3381C1}" name="Table">
      <calculatedColumnFormula>INDEX(tblHardLimits_Index[Table],MATCH(tblSelectedUnit[Index],tblHardLimits_Index[ID],0))</calculatedColumnFormula>
    </tableColumn>
  </tableColumns>
  <tableStyleInfo name="TableStyleMedium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91F560F-02B7-4FF2-901B-648442D4AF69}" name="tblDMMChannels" displayName="tblDMMChannels" ref="L4:P16" totalsRowShown="0" headerRowDxfId="40" dataDxfId="39">
  <tableColumns count="5">
    <tableColumn id="1" xr3:uid="{B5E309AC-1F66-46E9-A754-680B29D993D9}" name="Index" dataDxfId="38"/>
    <tableColumn id="2" xr3:uid="{0965109C-AF30-416F-B195-541BF8F3D908}" name="Output ID" dataDxfId="37"/>
    <tableColumn id="3" xr3:uid="{90899665-8382-4BFC-B947-04E2E12A283C}" name="Alias" dataDxfId="36"/>
    <tableColumn id="4" xr3:uid="{F077B1A5-2C2F-45A2-BB4D-7C5A5D15718F}" name="Description" dataDxfId="35"/>
    <tableColumn id="5" xr3:uid="{B54C2FD1-B881-45BB-95C5-0C907D0AF88F}" name="CHANNEL" dataDxfId="34"/>
  </tableColumns>
  <tableStyleInfo name="TableStyleMedium10"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C27CB48-CF27-43BF-AF68-705DFABEFA90}" name="tblExternalRefs" displayName="tblExternalRefs" ref="AJ4:AK15" totalsRowShown="0" dataDxfId="33">
  <tableColumns count="2">
    <tableColumn id="1" xr3:uid="{A09B3418-79D0-40CA-B68B-DD79741BFD93}" name="Name" dataDxfId="32"/>
    <tableColumn id="2" xr3:uid="{C9AA1E5E-F546-4F3A-899F-778F66BC1F6C}" name="Location" dataDxfId="31"/>
  </tableColumns>
  <tableStyleInfo name="TableStyleDark10"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1F7FACB-272B-4C00-A77F-4B2E5EAD6790}" name="tblScaling" displayName="tblScaling" ref="F4:J18" headerRowDxfId="30" dataDxfId="29">
  <autoFilter ref="F4:J18" xr:uid="{956F2386-67FB-4033-842F-E4D0F2BB8E61}">
    <filterColumn colId="0" hiddenButton="1"/>
    <filterColumn colId="1" hiddenButton="1"/>
    <filterColumn colId="2" hiddenButton="1"/>
    <filterColumn colId="3" hiddenButton="1"/>
    <filterColumn colId="4" hiddenButton="1"/>
  </autoFilter>
  <tableColumns count="5">
    <tableColumn id="1" xr3:uid="{96F3D99F-4CC9-46EF-BB9C-29D782AC0908}" name="ID" totalsRowLabel="Total" dataDxfId="28" totalsRowDxfId="27"/>
    <tableColumn id="2" xr3:uid="{A1E42FE7-F53D-4009-9D46-1105A67D74EF}" name="Description" dataDxfId="26" totalsRowDxfId="25"/>
    <tableColumn id="3" xr3:uid="{9BC6B0B8-10F3-47EA-A155-1078EA73D223}" name="Divider" dataDxfId="24" totalsRowDxfId="23"/>
    <tableColumn id="4" xr3:uid="{F136AC03-EF40-49F6-8860-D2BBFF65BB11}" name="Vmon" dataDxfId="22" totalsRowDxfId="21"/>
    <tableColumn id="5" xr3:uid="{D6F8D595-2BE2-40F5-898C-8B1BE64F8FA2}" name="Imon" dataDxfId="20" totalsRowDxfId="19"/>
  </tableColumns>
  <tableStyleInfo name="TableStyleMedium10"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4C3BB14-D244-417E-9AB4-7B26F23AF46C}" name="tblInternalRefs" displayName="tblInternalRefs" ref="U4:V5" totalsRowShown="0" dataDxfId="18">
  <tableColumns count="2">
    <tableColumn id="1" xr3:uid="{49EBBC06-446C-40C5-8F1C-1C37B656F073}" name="Type" dataDxfId="17"/>
    <tableColumn id="2" xr3:uid="{B3276592-9D0A-40F5-9F0D-95AA583FBD02}" name="Content" dataDxfId="16"/>
  </tableColumns>
  <tableStyleInfo name="TableStyleDark10"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762E3662-6C45-42BB-88A7-1117B700D4EF}" name="tblUnitType" displayName="tblUnitType" ref="X4:X5" totalsRowShown="0" headerRowDxfId="15" dataDxfId="14">
  <autoFilter ref="X4:X5" xr:uid="{762E3662-6C45-42BB-88A7-1117B700D4EF}"/>
  <tableColumns count="1">
    <tableColumn id="1" xr3:uid="{3A8EF3E4-0998-4365-AE57-26852456DBD2}" name="Type" dataDxfId="13"/>
  </tableColumns>
  <tableStyleInfo name="TableStyleDark10"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AEBFD2-9C41-4550-822D-417512B7ABD7}" name="tblOPid" displayName="tblOPid" ref="Z4:AB12" totalsRowShown="0" headerRowDxfId="12" dataDxfId="11">
  <autoFilter ref="Z4:AB12" xr:uid="{7AAEBFD2-9C41-4550-822D-417512B7ABD7}"/>
  <tableColumns count="3">
    <tableColumn id="1" xr3:uid="{174436A3-91DF-42D9-A983-009BAC852F35}" name="OP" dataDxfId="10"/>
    <tableColumn id="2" xr3:uid="{1FB65F0E-9338-4D3D-B76D-5E3729C7C985}" name="Section" dataDxfId="9"/>
    <tableColumn id="3" xr3:uid="{4CB31AB7-8201-4BA2-A0D7-055951C41E71}" name="Diagram" dataDxfId="8"/>
  </tableColumns>
  <tableStyleInfo name="TableStyleDark10"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700CF98-072D-4D23-854E-662B4F6540A3}" name="tblScalesMeasures_734" displayName="tblScalesMeasures_734" ref="S51:AC131" totalsRowShown="0" headerRowDxfId="7">
  <autoFilter ref="S51:AC131" xr:uid="{7700CF98-072D-4D23-854E-662B4F6540A3}"/>
  <tableColumns count="11">
    <tableColumn id="1" xr3:uid="{D1EB8D6F-F41D-4238-B9B3-4905C18E72D5}" name="ID" dataDxfId="6"/>
    <tableColumn id="2" xr3:uid="{22177074-A844-4473-96EC-F530B0C1B42B}" name="ProductId" dataDxfId="5">
      <calculatedColumnFormula>RIGHT(S50,LEN(S50)-FIND("_",S50))</calculatedColumnFormula>
    </tableColumn>
    <tableColumn id="3" xr3:uid="{BEBF31E7-565A-45C6-8887-E80F9DC0129F}" name="OutputId" dataDxfId="4"/>
    <tableColumn id="9" xr3:uid="{14EE0629-9357-4E6A-9692-E6B20DB2785F}" name="Alias">
      <calculatedColumnFormula>INDEX(INDIRECT(_xlfn.CONCAT("tblOutputs_",tblScalesMeasures_734[[#This Row],[ProductId]],"[Alias]")),MATCH(tblScalesMeasures_734[[#This Row],[OutputId]],INDIRECT(_xlfn.CONCAT("tblOutputs_",tblScalesMeasures_734[[#This Row],[ProductId]],"[ID]")),0))</calculatedColumnFormula>
    </tableColumn>
    <tableColumn id="4" xr3:uid="{A7685979-31E5-43C8-9E89-8D532A66B364}" name="Parameter"/>
    <tableColumn id="5" xr3:uid="{741AFF62-EFA2-4A26-80E8-017D26520CBD}" name="Unit"/>
    <tableColumn id="13" xr3:uid="{37C7DFB6-6888-4248-ABAD-831EFF501580}" name="Description" dataDxfId="3">
      <calculatedColumnFormula>_xlfn.CONCAT(tblScalesMeasures_734[[#This Row],[Alias]], " ", tblScalesMeasures_734[[#This Row],[Parameter]], " ","(",tblScalesMeasures_734[[#This Row],[Unit]],")")</calculatedColumnFormula>
    </tableColumn>
    <tableColumn id="6" xr3:uid="{80E976DA-2F1C-4631-8316-916AFA321BC0}" name="Min"/>
    <tableColumn id="7" xr3:uid="{A1D3E328-4DEC-407F-8245-78B12B9CE0EC}" name="Max"/>
    <tableColumn id="8" xr3:uid="{5EDC7FA1-F088-42F5-9E58-7FCF46296666}" name="Nominal"/>
    <tableColumn id="10" xr3:uid="{7263A216-AF55-44B2-8554-C0B152174E10}" name="Value"/>
  </tableColumns>
  <tableStyleInfo name="TableStyleMedium14"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C298FBC-906D-4B59-97A8-90512AEA21D1}" name="tblExempt" displayName="tblExempt" ref="AF4:AF7" totalsRowShown="0">
  <autoFilter ref="AF4:AF7" xr:uid="{8C298FBC-906D-4B59-97A8-90512AEA21D1}"/>
  <tableColumns count="1">
    <tableColumn id="1" xr3:uid="{376A9484-4DFA-4493-B1FA-B7A256562915}" name="Exempt Units"/>
  </tableColumns>
  <tableStyleInfo name="TableStyleDark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5551E60-4B36-4366-8FD6-DDEAD98F654C}" name="tblMainDiags" displayName="tblMainDiags" ref="S4:S6" totalsRowShown="0" headerRowDxfId="2" dataDxfId="1">
  <autoFilter ref="S4:S6" xr:uid="{65551E60-4B36-4366-8FD6-DDEAD98F654C}"/>
  <tableColumns count="1">
    <tableColumn id="2" xr3:uid="{8E5AD349-B62C-4AD6-953B-2EF3A9ECB9FD}" name="Image Name (In Exce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a:headEnd type="arrow"/>
          <a:tailEnd type="arrow"/>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file:///\\shvukfs2\FIB%20Series\FIB35P_734%20(FEI)\Test%20Equipment\FIB35P_734%20SSATS\Final%20Test\Scope_Settings\Lens1_5mS.txt" TargetMode="External"/><Relationship Id="rId13" Type="http://schemas.openxmlformats.org/officeDocument/2006/relationships/hyperlink" Target="file:///\\shvukfs2\FIB%20Series\FIB35P_734%20(FEI)\Test%20Equipment\FIB35P_734%20SSATS\Final%20Test\Scope_Settings\Lens1_5mS.txt" TargetMode="External"/><Relationship Id="rId18" Type="http://schemas.openxmlformats.org/officeDocument/2006/relationships/vmlDrawing" Target="../drawings/vmlDrawing1.vml"/><Relationship Id="rId26" Type="http://schemas.openxmlformats.org/officeDocument/2006/relationships/ctrlProp" Target="../ctrlProps/ctrlProp8.xml"/><Relationship Id="rId3" Type="http://schemas.openxmlformats.org/officeDocument/2006/relationships/hyperlink" Target="file:///\\shvukfs2\FIB%20Series\FIB35P_734%20(FEI)\Test%20Equipment\FIB35P_734%20SSATS\Final%20Test\Scope_Settings\Lens1_5mS.txt" TargetMode="External"/><Relationship Id="rId21" Type="http://schemas.openxmlformats.org/officeDocument/2006/relationships/ctrlProp" Target="../ctrlProps/ctrlProp3.xml"/><Relationship Id="rId7" Type="http://schemas.openxmlformats.org/officeDocument/2006/relationships/hyperlink" Target="file:///\\shvukfs2\FIB%20Series\FIB35P_734%20(FEI)\Test%20Equipment\FIB35P_734%20SSATS\Final%20Test\Scope_Settings\Lens1_5mS.txt" TargetMode="External"/><Relationship Id="rId12" Type="http://schemas.openxmlformats.org/officeDocument/2006/relationships/hyperlink" Target="file:///\\shvukfs2\FIB%20Series\FIB35P_734%20(FEI)\Test%20Equipment\FIB35P_734%20SSATS\Final%20Test\Scope_Settings\Lens1_5mS.txt" TargetMode="External"/><Relationship Id="rId17" Type="http://schemas.openxmlformats.org/officeDocument/2006/relationships/drawing" Target="../drawings/drawing1.xml"/><Relationship Id="rId25" Type="http://schemas.openxmlformats.org/officeDocument/2006/relationships/ctrlProp" Target="../ctrlProps/ctrlProp7.xml"/><Relationship Id="rId2" Type="http://schemas.openxmlformats.org/officeDocument/2006/relationships/hyperlink" Target="file:///\\shvukfs2\FIB%20Series\FIB35P_734%20(FEI)\Test%20Equipment\FIB35P_734%20SSATS\Final%20Test\Scope_Settings\Lens1_5mS.txt" TargetMode="External"/><Relationship Id="rId16" Type="http://schemas.openxmlformats.org/officeDocument/2006/relationships/printerSettings" Target="../printerSettings/printerSettings1.bin"/><Relationship Id="rId20" Type="http://schemas.openxmlformats.org/officeDocument/2006/relationships/ctrlProp" Target="../ctrlProps/ctrlProp2.xml"/><Relationship Id="rId29" Type="http://schemas.openxmlformats.org/officeDocument/2006/relationships/ctrlProp" Target="../ctrlProps/ctrlProp11.xml"/><Relationship Id="rId1" Type="http://schemas.openxmlformats.org/officeDocument/2006/relationships/hyperlink" Target="file:///\\shvukfs2\FIB%20Series\FIB35P_734%20(FEI)\Test%20Equipment\FIB35P_734%20SSATS\Final%20Test\Scope_Settings\Lens1_5mS.txt" TargetMode="External"/><Relationship Id="rId6" Type="http://schemas.openxmlformats.org/officeDocument/2006/relationships/hyperlink" Target="file:///\\shvukfs2\FIB%20Series\FIB35P_734%20(FEI)\Test%20Equipment\FIB35P_734%20SSATS\Final%20Test\Scope_Settings\Lens1_5mS.txt" TargetMode="External"/><Relationship Id="rId11" Type="http://schemas.openxmlformats.org/officeDocument/2006/relationships/hyperlink" Target="file:///\\shvukfs2\FIB%20Series\FIB35P_734%20(FEI)\Test%20Equipment\FIB35P_734%20SSATS\Final%20Test\Scope_Settings\Lens1_5mS.txt" TargetMode="External"/><Relationship Id="rId24" Type="http://schemas.openxmlformats.org/officeDocument/2006/relationships/ctrlProp" Target="../ctrlProps/ctrlProp6.xml"/><Relationship Id="rId5" Type="http://schemas.openxmlformats.org/officeDocument/2006/relationships/hyperlink" Target="file:///\\shvukfs2\Operations\Manufacturing\Safety_Test_Log\" TargetMode="External"/><Relationship Id="rId15" Type="http://schemas.openxmlformats.org/officeDocument/2006/relationships/hyperlink" Target="file:///\\shvukfs2\FIB%20Series\FIB35P_734%20(FEI)\Test%20Equipment\FIB35P_734%20SSATS\Final%20Test\Scope_Settings\Lens1_5mS.txt" TargetMode="External"/><Relationship Id="rId23" Type="http://schemas.openxmlformats.org/officeDocument/2006/relationships/ctrlProp" Target="../ctrlProps/ctrlProp5.xml"/><Relationship Id="rId28" Type="http://schemas.openxmlformats.org/officeDocument/2006/relationships/ctrlProp" Target="../ctrlProps/ctrlProp10.xml"/><Relationship Id="rId10" Type="http://schemas.openxmlformats.org/officeDocument/2006/relationships/hyperlink" Target="file:///\\shvukfs2\FIB%20Series\FIB35P_734%20(FEI)\Test%20Equipment\FIB35P_734%20SSATS\Final%20Test\Scope_Settings\Lens1_5mS.txt" TargetMode="External"/><Relationship Id="rId19" Type="http://schemas.openxmlformats.org/officeDocument/2006/relationships/ctrlProp" Target="../ctrlProps/ctrlProp1.xml"/><Relationship Id="rId4" Type="http://schemas.openxmlformats.org/officeDocument/2006/relationships/hyperlink" Target="file:///\\shvukfs2\FIB%20Series\FIB35P_734%20(FEI)\Test%20Equipment\FIB35P_734%20SSATS\Final%20Test\Scope_Settings\Lens1_5mS.txt" TargetMode="External"/><Relationship Id="rId9" Type="http://schemas.openxmlformats.org/officeDocument/2006/relationships/hyperlink" Target="file:///\\shvukfs2\FIB%20Series\FIB35P_734%20(FEI)\Test%20Equipment\FIB35P_734%20SSATS\Final%20Test\Scope_Settings\Lens1_5mS.txt" TargetMode="External"/><Relationship Id="rId14" Type="http://schemas.openxmlformats.org/officeDocument/2006/relationships/hyperlink" Target="file:///\\shvukfs2\FIB%20Series\FIB35P_734%20(FEI)\Test%20Equipment\FIB35P_734%20SSATS\Final%20Test\Scope_Settings\Lens1_5mS.txt" TargetMode="External"/><Relationship Id="rId22" Type="http://schemas.openxmlformats.org/officeDocument/2006/relationships/ctrlProp" Target="../ctrlProps/ctrlProp4.xml"/><Relationship Id="rId27"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printerSettings" Target="../printerSettings/printerSettings3.bin"/><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hyperlink" Target="file:///\\shvukfs2\Eng\FIB%20Series\FIB35P_734%20(FEI)\Software\FIB35P_734%20Modules\734_Ripple_Buffer.txt" TargetMode="External"/><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4.xml.rels><?xml version="1.0" encoding="UTF-8" standalone="yes"?>
<Relationships xmlns="http://schemas.openxmlformats.org/package/2006/relationships"><Relationship Id="rId8" Type="http://schemas.openxmlformats.org/officeDocument/2006/relationships/hyperlink" Target="file:///\\shvukfs2\Eng\FIB%20Series\FIB35P_734%20(FEI)\Test%20Equipment\FIB35P_734%20SSATS\Final%20Test\Scope_Settings\82097_Lens2_LF.txt" TargetMode="External"/><Relationship Id="rId13" Type="http://schemas.openxmlformats.org/officeDocument/2006/relationships/hyperlink" Target="file:///\\shvukfs2\Eng\FIB%20Series\FIB35P_734%20(FEI)\Test%20Equipment\FIB35P_734%20SSATS\Final%20Test\Scope_Settings\82097_Supp_HF.txt" TargetMode="External"/><Relationship Id="rId18" Type="http://schemas.openxmlformats.org/officeDocument/2006/relationships/vmlDrawing" Target="../drawings/vmlDrawing2.vml"/><Relationship Id="rId26" Type="http://schemas.openxmlformats.org/officeDocument/2006/relationships/table" Target="../tables/table30.xml"/><Relationship Id="rId39" Type="http://schemas.openxmlformats.org/officeDocument/2006/relationships/table" Target="../tables/table43.xml"/><Relationship Id="rId3" Type="http://schemas.openxmlformats.org/officeDocument/2006/relationships/hyperlink" Target="file:///\\shvukfs2\eng\ATE%20Projects\SSATS\VBA\1%20-%20Modules" TargetMode="External"/><Relationship Id="rId21" Type="http://schemas.openxmlformats.org/officeDocument/2006/relationships/table" Target="../tables/table25.xml"/><Relationship Id="rId34" Type="http://schemas.openxmlformats.org/officeDocument/2006/relationships/table" Target="../tables/table38.xml"/><Relationship Id="rId7" Type="http://schemas.openxmlformats.org/officeDocument/2006/relationships/hyperlink" Target="file:///\\shvukfs2\Eng\FIB%20Series\FIB35P_734%20(FEI)\Test%20Equipment\FIB35P_734%20SSATS\Final%20Test\Scope_Settings\82097_Lens1_HF.txt" TargetMode="External"/><Relationship Id="rId12" Type="http://schemas.openxmlformats.org/officeDocument/2006/relationships/hyperlink" Target="file:///\\shvukfs2\Eng\FIB%20Series\FIB35P_734%20(FEI)\Test%20Equipment\FIB35P_734%20SSATS\Final%20Test\Scope_Settings\82097_Ext_LF.txt" TargetMode="External"/><Relationship Id="rId17" Type="http://schemas.openxmlformats.org/officeDocument/2006/relationships/drawing" Target="../drawings/drawing2.xml"/><Relationship Id="rId25" Type="http://schemas.openxmlformats.org/officeDocument/2006/relationships/table" Target="../tables/table29.xml"/><Relationship Id="rId33" Type="http://schemas.openxmlformats.org/officeDocument/2006/relationships/table" Target="../tables/table37.xml"/><Relationship Id="rId38" Type="http://schemas.openxmlformats.org/officeDocument/2006/relationships/table" Target="../tables/table42.xml"/><Relationship Id="rId2" Type="http://schemas.openxmlformats.org/officeDocument/2006/relationships/hyperlink" Target="file:///\\shvukfs2\eng\ATE%20Projects\SSATS\VBA\2%20-%20Classes\WIP" TargetMode="External"/><Relationship Id="rId16" Type="http://schemas.openxmlformats.org/officeDocument/2006/relationships/printerSettings" Target="../printerSettings/printerSettings4.bin"/><Relationship Id="rId20" Type="http://schemas.openxmlformats.org/officeDocument/2006/relationships/table" Target="../tables/table24.xml"/><Relationship Id="rId29" Type="http://schemas.openxmlformats.org/officeDocument/2006/relationships/table" Target="../tables/table33.xml"/><Relationship Id="rId1" Type="http://schemas.openxmlformats.org/officeDocument/2006/relationships/hyperlink" Target="file:///\\shvukfs2\eng\ATE%20Projects\SSATS\VBA\1%20-%20Modules" TargetMode="External"/><Relationship Id="rId6" Type="http://schemas.openxmlformats.org/officeDocument/2006/relationships/hyperlink" Target="file:///\\shvukfs2\Eng\FIB%20Series\FIB35P_734%20(FEI)\Test%20Equipment\FIB35P_734%20SSATS\Final%20Test\Scope_Settings\82097_Lens2_HF.txt" TargetMode="External"/><Relationship Id="rId11" Type="http://schemas.openxmlformats.org/officeDocument/2006/relationships/hyperlink" Target="file:///\\shvukfs2\Eng\FIB%20Series\FIB35P_734%20(FEI)\Test%20Equipment\FIB35P_734%20SSATS\Final%20Test\Scope_Settings\82097_Ext_HF.txt" TargetMode="External"/><Relationship Id="rId24" Type="http://schemas.openxmlformats.org/officeDocument/2006/relationships/table" Target="../tables/table28.xml"/><Relationship Id="rId32" Type="http://schemas.openxmlformats.org/officeDocument/2006/relationships/table" Target="../tables/table3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hyperlink" Target="file:///\\shvukfs2\eng\ATE%20Projects\SSATS\VBA\2%20-%20Classes\WIP" TargetMode="External"/><Relationship Id="rId15" Type="http://schemas.openxmlformats.org/officeDocument/2006/relationships/hyperlink" Target="file:///\\shvukfs2\Eng\FIB%20Series\FIB35P_734%20(FEI)\Test%20Equipment\FIB35P_734%20SSATS\Final%20Test\Scope_Settings\82097_Lens1_LF.txt" TargetMode="External"/><Relationship Id="rId23" Type="http://schemas.openxmlformats.org/officeDocument/2006/relationships/table" Target="../tables/table27.xml"/><Relationship Id="rId28" Type="http://schemas.openxmlformats.org/officeDocument/2006/relationships/table" Target="../tables/table32.xml"/><Relationship Id="rId36" Type="http://schemas.openxmlformats.org/officeDocument/2006/relationships/table" Target="../tables/table40.xml"/><Relationship Id="rId10" Type="http://schemas.openxmlformats.org/officeDocument/2006/relationships/hyperlink" Target="file:///\\shvukfs2\Eng\FIB%20Series\FIB35P_734%20(FEI)\Test%20Equipment\FIB35P_734%20SSATS\Final%20Test\Scope_Settings\82097_Acc_LF.txt" TargetMode="External"/><Relationship Id="rId19" Type="http://schemas.openxmlformats.org/officeDocument/2006/relationships/ctrlProp" Target="../ctrlProps/ctrlProp12.xml"/><Relationship Id="rId31" Type="http://schemas.openxmlformats.org/officeDocument/2006/relationships/table" Target="../tables/table35.xml"/><Relationship Id="rId4" Type="http://schemas.openxmlformats.org/officeDocument/2006/relationships/hyperlink" Target="file:///C:\Users\jsargeant\AppData\ATE%20Projects\SSATS\VBA\2%20-%20Classes" TargetMode="External"/><Relationship Id="rId9" Type="http://schemas.openxmlformats.org/officeDocument/2006/relationships/hyperlink" Target="file:///\\shvukfs2\Eng\FIB%20Series\FIB35P_734%20(FEI)\Test%20Equipment\FIB35P_734%20SSATS\Final%20Test\Scope_Settings\82097_Acc_HF.txt" TargetMode="External"/><Relationship Id="rId14" Type="http://schemas.openxmlformats.org/officeDocument/2006/relationships/hyperlink" Target="file:///\\shvukfs2\Eng\FIB%20Series\FIB35P_734%20(FEI)\Test%20Equipment\FIB35P_734%20SSATS\Final%20Test\Scope_Settings\82097_Supp_LF.txt" TargetMode="External"/><Relationship Id="rId22" Type="http://schemas.openxmlformats.org/officeDocument/2006/relationships/table" Target="../tables/table26.xml"/><Relationship Id="rId27" Type="http://schemas.openxmlformats.org/officeDocument/2006/relationships/table" Target="../tables/table31.xml"/><Relationship Id="rId30" Type="http://schemas.openxmlformats.org/officeDocument/2006/relationships/table" Target="../tables/table34.xml"/><Relationship Id="rId35" Type="http://schemas.openxmlformats.org/officeDocument/2006/relationships/table" Target="../tables/table39.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J1234"/>
  <sheetViews>
    <sheetView tabSelected="1" zoomScale="55" zoomScaleNormal="55" workbookViewId="0">
      <selection activeCell="F33" sqref="F33"/>
    </sheetView>
  </sheetViews>
  <sheetFormatPr defaultColWidth="9.140625" defaultRowHeight="12.75"/>
  <cols>
    <col min="1" max="1" width="15.28515625" style="114" customWidth="1"/>
    <col min="2" max="2" width="55.85546875" style="36" customWidth="1"/>
    <col min="3" max="3" width="19" style="36" bestFit="1" customWidth="1"/>
    <col min="4" max="4" width="20.7109375" style="45" customWidth="1"/>
    <col min="5" max="5" width="20.7109375" style="37" customWidth="1"/>
    <col min="6" max="6" width="13.28515625" style="37" customWidth="1"/>
    <col min="7" max="7" width="14" style="45" customWidth="1"/>
    <col min="8" max="8" width="11.42578125" style="45" customWidth="1"/>
    <col min="9" max="9" width="14" style="33" customWidth="1"/>
    <col min="10" max="10" width="25.140625" style="45" customWidth="1"/>
    <col min="11" max="11" width="14.140625" style="50" customWidth="1"/>
    <col min="12" max="12" width="23.5703125" style="45" customWidth="1"/>
    <col min="13" max="13" width="24.140625" style="45" customWidth="1"/>
    <col min="14" max="14" width="18.85546875" style="45" customWidth="1"/>
    <col min="15" max="15" width="17.42578125" style="45" customWidth="1"/>
    <col min="16" max="16" width="23.42578125" style="45" customWidth="1"/>
    <col min="17" max="17" width="14.7109375" style="45" customWidth="1"/>
    <col min="18" max="18" width="12.7109375" style="46" customWidth="1"/>
    <col min="19" max="19" width="16" style="20" customWidth="1"/>
    <col min="20" max="20" width="16.7109375" style="20" customWidth="1"/>
    <col min="21" max="21" width="9.140625" style="20"/>
    <col min="22" max="22" width="20.140625" style="20" bestFit="1" customWidth="1"/>
    <col min="23" max="23" width="22" style="20" bestFit="1" customWidth="1"/>
    <col min="24" max="24" width="9.140625" style="20"/>
    <col min="25" max="25" width="13.7109375" style="20" bestFit="1" customWidth="1"/>
    <col min="26" max="26" width="27.28515625" style="20" customWidth="1"/>
    <col min="27" max="36" width="9.140625" style="20"/>
    <col min="37" max="16384" width="9.140625" style="22"/>
  </cols>
  <sheetData>
    <row r="1" spans="1:36" s="45" customFormat="1" ht="12.75" customHeight="1">
      <c r="A1" s="114"/>
      <c r="B1" s="36"/>
      <c r="C1" s="36"/>
      <c r="E1" s="37"/>
      <c r="F1" s="37"/>
      <c r="I1" s="33"/>
      <c r="J1" s="47"/>
      <c r="K1" s="49"/>
      <c r="L1" s="184"/>
      <c r="M1" s="184"/>
      <c r="N1" s="184"/>
      <c r="O1" s="184"/>
      <c r="P1" s="184"/>
      <c r="R1" s="46"/>
      <c r="S1" s="46"/>
      <c r="T1" s="46"/>
      <c r="U1" s="46"/>
      <c r="V1" s="46"/>
      <c r="W1" s="46"/>
      <c r="X1" s="46"/>
      <c r="Y1" s="46"/>
      <c r="Z1" s="46"/>
      <c r="AA1" s="46"/>
      <c r="AB1" s="46"/>
      <c r="AC1" s="46"/>
      <c r="AD1" s="46"/>
      <c r="AE1" s="46"/>
      <c r="AF1" s="46"/>
      <c r="AG1" s="46"/>
      <c r="AH1" s="46"/>
      <c r="AI1" s="46"/>
      <c r="AJ1" s="46"/>
    </row>
    <row r="2" spans="1:36" ht="13.5" thickBot="1">
      <c r="A2" s="125" t="s">
        <v>74</v>
      </c>
      <c r="E2" s="37" t="s">
        <v>151</v>
      </c>
    </row>
    <row r="3" spans="1:36" ht="13.5" thickBot="1">
      <c r="A3" s="38"/>
      <c r="B3" s="595"/>
      <c r="C3" s="5"/>
      <c r="D3" s="6" t="s">
        <v>0</v>
      </c>
      <c r="E3" s="7" t="s">
        <v>750</v>
      </c>
      <c r="F3" s="1" t="s">
        <v>1</v>
      </c>
      <c r="G3" s="2" t="s">
        <v>2</v>
      </c>
      <c r="H3" s="3" t="s">
        <v>3</v>
      </c>
    </row>
    <row r="4" spans="1:36" ht="12.75" customHeight="1" thickBot="1">
      <c r="A4" s="38"/>
      <c r="B4" s="596"/>
      <c r="C4" s="5" t="s">
        <v>4</v>
      </c>
      <c r="D4" s="14">
        <v>44392</v>
      </c>
      <c r="E4" s="8" t="s">
        <v>191</v>
      </c>
      <c r="F4" s="18" t="s">
        <v>15</v>
      </c>
      <c r="G4" s="18"/>
      <c r="H4" s="19">
        <v>44830</v>
      </c>
    </row>
    <row r="5" spans="1:36" ht="13.5" customHeight="1">
      <c r="A5" s="38"/>
      <c r="B5" s="596"/>
      <c r="C5" s="622" t="s">
        <v>5</v>
      </c>
      <c r="D5" s="566"/>
      <c r="E5" s="568" t="s">
        <v>151</v>
      </c>
      <c r="F5" s="15"/>
      <c r="G5" s="4"/>
      <c r="H5" s="12"/>
    </row>
    <row r="6" spans="1:36" ht="30" customHeight="1" thickBot="1">
      <c r="A6" s="38"/>
      <c r="B6" s="597"/>
      <c r="C6" s="623"/>
      <c r="D6" s="567"/>
      <c r="E6" s="569"/>
      <c r="F6" s="15"/>
      <c r="G6" s="4"/>
      <c r="H6" s="12"/>
    </row>
    <row r="7" spans="1:36" ht="13.5" customHeight="1">
      <c r="A7" s="38"/>
      <c r="B7" s="612" t="str">
        <f>IF(unit_type="Please Select A Unit Type",unit_type, _xlfn.CONCAT(unit_type, " SSATS Final Test"))</f>
        <v>FIB35P/734 SSATS Final Test</v>
      </c>
      <c r="C7" s="622" t="s">
        <v>6</v>
      </c>
      <c r="D7" s="566"/>
      <c r="E7" s="568" t="s">
        <v>151</v>
      </c>
      <c r="F7" s="15"/>
      <c r="G7" s="4"/>
      <c r="H7" s="12"/>
    </row>
    <row r="8" spans="1:36" s="45" customFormat="1" ht="30" customHeight="1" thickBot="1">
      <c r="A8" s="38"/>
      <c r="B8" s="613"/>
      <c r="C8" s="623"/>
      <c r="D8" s="567"/>
      <c r="E8" s="569"/>
      <c r="F8" s="15"/>
      <c r="G8" s="4"/>
      <c r="H8" s="176"/>
      <c r="I8" s="33"/>
      <c r="K8" s="50"/>
      <c r="R8" s="177"/>
      <c r="S8" s="177"/>
      <c r="T8" s="177"/>
      <c r="U8" s="177"/>
      <c r="V8" s="177"/>
      <c r="W8" s="177"/>
      <c r="X8" s="177"/>
      <c r="Y8" s="177"/>
      <c r="Z8" s="177"/>
      <c r="AA8" s="177"/>
      <c r="AB8" s="177"/>
      <c r="AC8" s="177"/>
      <c r="AD8" s="177"/>
      <c r="AE8" s="177"/>
      <c r="AF8" s="177"/>
      <c r="AG8" s="177"/>
      <c r="AH8" s="177"/>
      <c r="AI8" s="177"/>
      <c r="AJ8" s="177"/>
    </row>
    <row r="9" spans="1:36" ht="12.75" customHeight="1">
      <c r="A9" s="38"/>
      <c r="B9" s="613"/>
      <c r="C9" s="186"/>
      <c r="D9" s="179" t="s">
        <v>69</v>
      </c>
      <c r="E9" s="42"/>
      <c r="F9" s="16"/>
      <c r="G9" s="9"/>
      <c r="H9" s="13"/>
    </row>
    <row r="10" spans="1:36" ht="22.5" customHeight="1">
      <c r="A10" s="38"/>
      <c r="B10" s="613"/>
      <c r="C10" s="616">
        <v>82097</v>
      </c>
      <c r="D10" s="617"/>
      <c r="E10" s="618"/>
      <c r="F10" s="16"/>
      <c r="G10" s="9"/>
      <c r="H10" s="13"/>
    </row>
    <row r="11" spans="1:36" ht="12.75" customHeight="1" thickBot="1">
      <c r="A11" s="38"/>
      <c r="B11" s="613"/>
      <c r="C11" s="619"/>
      <c r="D11" s="620"/>
      <c r="E11" s="621"/>
      <c r="F11" s="16"/>
      <c r="G11" s="9"/>
      <c r="H11" s="13"/>
      <c r="S11" s="46"/>
    </row>
    <row r="12" spans="1:36" ht="15" customHeight="1">
      <c r="A12" s="38"/>
      <c r="B12" s="614"/>
      <c r="C12" s="598"/>
      <c r="D12" s="598"/>
      <c r="E12" s="598" t="s">
        <v>7</v>
      </c>
      <c r="F12" s="598"/>
      <c r="G12" s="607" t="str">
        <f>D91</f>
        <v>Incomplete</v>
      </c>
      <c r="H12" s="608"/>
      <c r="J12" s="79"/>
    </row>
    <row r="13" spans="1:36" ht="15.75" customHeight="1" thickBot="1">
      <c r="A13" s="38"/>
      <c r="B13" s="615"/>
      <c r="C13" s="599"/>
      <c r="D13" s="599"/>
      <c r="E13" s="599"/>
      <c r="F13" s="599"/>
      <c r="G13" s="609"/>
      <c r="H13" s="610"/>
    </row>
    <row r="14" spans="1:36">
      <c r="A14" s="125"/>
    </row>
    <row r="15" spans="1:36">
      <c r="A15" s="125"/>
      <c r="B15" s="117" t="s">
        <v>20</v>
      </c>
      <c r="D15" s="611" t="s">
        <v>244</v>
      </c>
      <c r="E15" s="611"/>
      <c r="F15" s="611"/>
      <c r="G15" s="611"/>
      <c r="H15" s="611"/>
    </row>
    <row r="16" spans="1:36">
      <c r="A16" s="125"/>
    </row>
    <row r="17" spans="1:36">
      <c r="A17" s="38"/>
      <c r="B17" s="117" t="s">
        <v>18</v>
      </c>
      <c r="D17" s="603"/>
      <c r="E17" s="604"/>
      <c r="F17" s="604"/>
      <c r="G17" s="604"/>
      <c r="H17" s="604"/>
    </row>
    <row r="18" spans="1:36">
      <c r="A18" s="38"/>
      <c r="B18" s="118"/>
      <c r="C18" s="34"/>
      <c r="D18" s="33"/>
      <c r="E18" s="35"/>
      <c r="F18" s="35"/>
      <c r="G18" s="33"/>
      <c r="H18" s="33"/>
    </row>
    <row r="19" spans="1:36">
      <c r="A19" s="38"/>
      <c r="B19" s="119" t="s">
        <v>19</v>
      </c>
      <c r="D19" s="605"/>
      <c r="E19" s="606"/>
      <c r="F19" s="606"/>
      <c r="G19" s="606"/>
      <c r="H19" s="606"/>
    </row>
    <row r="20" spans="1:36">
      <c r="A20" s="38"/>
    </row>
    <row r="21" spans="1:36">
      <c r="A21" s="38"/>
      <c r="B21" s="117" t="s">
        <v>8</v>
      </c>
      <c r="D21" s="603"/>
      <c r="E21" s="604"/>
      <c r="F21" s="604"/>
      <c r="G21" s="604"/>
      <c r="H21" s="604"/>
    </row>
    <row r="22" spans="1:36">
      <c r="A22" s="38"/>
      <c r="B22" s="120" t="s">
        <v>9</v>
      </c>
      <c r="C22" s="34"/>
      <c r="D22" s="602"/>
      <c r="E22" s="602"/>
      <c r="F22" s="602"/>
      <c r="G22" s="602"/>
      <c r="H22" s="602"/>
      <c r="N22" s="158"/>
      <c r="O22" s="158"/>
      <c r="P22" s="158"/>
      <c r="Q22" s="158"/>
      <c r="R22" s="158"/>
      <c r="S22" s="158"/>
      <c r="T22" s="158"/>
      <c r="U22" s="158"/>
    </row>
    <row r="23" spans="1:36" ht="15" customHeight="1">
      <c r="A23" s="38"/>
      <c r="B23" s="34"/>
      <c r="C23" s="34"/>
      <c r="D23" s="602"/>
      <c r="E23" s="602"/>
      <c r="F23" s="602"/>
      <c r="G23" s="602"/>
      <c r="H23" s="602"/>
      <c r="N23" s="158"/>
      <c r="Q23" s="158"/>
      <c r="R23" s="158"/>
      <c r="S23" s="158"/>
      <c r="T23" s="158"/>
      <c r="U23" s="158"/>
    </row>
    <row r="24" spans="1:36" ht="15" customHeight="1">
      <c r="A24" s="38"/>
      <c r="B24" s="34"/>
      <c r="C24" s="34"/>
      <c r="D24" s="602"/>
      <c r="E24" s="602"/>
      <c r="F24" s="602"/>
      <c r="G24" s="602"/>
      <c r="H24" s="602"/>
    </row>
    <row r="25" spans="1:36" ht="15" customHeight="1">
      <c r="A25" s="38"/>
      <c r="B25" s="34"/>
      <c r="C25" s="34"/>
      <c r="D25" s="602"/>
      <c r="E25" s="602"/>
      <c r="F25" s="602"/>
      <c r="G25" s="602"/>
      <c r="H25" s="602"/>
    </row>
    <row r="26" spans="1:36" ht="15" customHeight="1">
      <c r="A26" s="38"/>
      <c r="B26" s="34"/>
      <c r="C26" s="34"/>
      <c r="D26" s="602"/>
      <c r="E26" s="602"/>
      <c r="F26" s="602"/>
      <c r="G26" s="602"/>
      <c r="H26" s="602"/>
    </row>
    <row r="27" spans="1:36" s="45" customFormat="1">
      <c r="A27" s="125"/>
      <c r="B27" s="36"/>
      <c r="C27" s="36"/>
      <c r="E27" s="37"/>
      <c r="F27" s="37"/>
      <c r="I27" s="33"/>
      <c r="K27" s="50"/>
      <c r="R27" s="46"/>
      <c r="S27" s="46"/>
      <c r="T27" s="46"/>
      <c r="U27" s="46"/>
      <c r="V27" s="46"/>
      <c r="W27" s="46"/>
      <c r="X27" s="46"/>
      <c r="Y27" s="46"/>
      <c r="Z27" s="46"/>
      <c r="AA27" s="46"/>
      <c r="AB27" s="46"/>
      <c r="AC27" s="46"/>
      <c r="AD27" s="46"/>
      <c r="AE27" s="46"/>
      <c r="AF27" s="46"/>
      <c r="AG27" s="46"/>
      <c r="AH27" s="46"/>
      <c r="AI27" s="46"/>
      <c r="AJ27" s="46"/>
    </row>
    <row r="28" spans="1:36" s="79" customFormat="1" ht="15.75" hidden="1" customHeight="1">
      <c r="A28" s="167"/>
      <c r="B28" s="168"/>
      <c r="C28" s="168"/>
      <c r="D28" s="168"/>
      <c r="E28" s="169"/>
      <c r="F28" s="168"/>
      <c r="G28" s="168"/>
      <c r="H28" s="168"/>
      <c r="I28" s="159"/>
      <c r="J28" s="160" t="s">
        <v>151</v>
      </c>
      <c r="K28" s="162" t="s">
        <v>27</v>
      </c>
      <c r="L28" s="162" t="s">
        <v>228</v>
      </c>
      <c r="M28" s="162" t="str">
        <f>_xlfn.CONCAT(O28, CHAR(10),P28,CHAR(10),Q28,CHAR(10),R28)</f>
        <v>SELECT TOP 1 SpecNumber 
FROM dbo.Mustang_ExecutionLog 
WHERE CHARINDEX('26',SpecNumber) &gt; 0 AND SerialNumber = ''
 ORDER BY ClosingTimestamp desc</v>
      </c>
      <c r="N28" s="162"/>
      <c r="O28" s="162" t="s">
        <v>229</v>
      </c>
      <c r="P28" s="162" t="s">
        <v>230</v>
      </c>
      <c r="Q28" s="162" t="str">
        <f>_xlfn.CONCAT("WHERE CHARINDEX('26',SpecNumber) &gt; 0 AND SerialNumber = '",serial_number, "'")</f>
        <v>WHERE CHARINDEX('26',SpecNumber) &gt; 0 AND SerialNumber = ''</v>
      </c>
      <c r="R28" s="162" t="s">
        <v>231</v>
      </c>
      <c r="S28" s="163"/>
      <c r="T28" s="161"/>
      <c r="V28" s="21"/>
      <c r="W28" s="21"/>
      <c r="X28" s="21"/>
      <c r="Y28" s="21"/>
      <c r="Z28" s="21"/>
      <c r="AA28" s="21"/>
      <c r="AB28" s="21"/>
      <c r="AC28" s="21"/>
      <c r="AD28" s="21"/>
      <c r="AE28" s="21"/>
      <c r="AF28" s="21"/>
      <c r="AG28" s="21"/>
      <c r="AH28" s="21"/>
      <c r="AI28" s="21"/>
      <c r="AJ28" s="21"/>
    </row>
    <row r="29" spans="1:36" s="79" customFormat="1" ht="15.75" hidden="1" customHeight="1" thickBot="1">
      <c r="A29" s="170"/>
      <c r="B29" s="164" t="s">
        <v>233</v>
      </c>
      <c r="C29" s="164"/>
      <c r="D29" s="164"/>
      <c r="E29" s="165"/>
      <c r="F29" s="164"/>
      <c r="G29" s="164"/>
      <c r="H29" s="164"/>
      <c r="I29" s="166"/>
      <c r="J29" s="160" t="s">
        <v>151</v>
      </c>
      <c r="K29" s="162" t="s">
        <v>27</v>
      </c>
      <c r="L29" s="162" t="s">
        <v>228</v>
      </c>
      <c r="M29" s="162" t="str">
        <f>_xlfn.CONCAT(O29, CHAR(10),P29,CHAR(10),Q29,CHAR(10))</f>
        <v xml:space="preserve">SELECT COUNT(1) 
FROM dbo.Mustang_ExecutionLog 
WHERE  SpecNumber = '81147-8' AND SerialNumber = ''
</v>
      </c>
      <c r="N29" s="162"/>
      <c r="O29" s="162" t="s">
        <v>232</v>
      </c>
      <c r="P29" s="162" t="s">
        <v>230</v>
      </c>
      <c r="Q29" s="162" t="str">
        <f>_xlfn.CONCAT("WHERE  SpecNumber = '81147-8' AND SerialNumber = '",serial_number, "'")</f>
        <v>WHERE  SpecNumber = '81147-8' AND SerialNumber = ''</v>
      </c>
      <c r="R29" s="162"/>
      <c r="S29" s="163"/>
      <c r="T29" s="46"/>
      <c r="V29" s="21"/>
      <c r="W29" s="21"/>
      <c r="X29" s="21"/>
      <c r="Y29" s="21"/>
      <c r="Z29" s="21"/>
      <c r="AA29" s="21"/>
      <c r="AB29" s="21"/>
      <c r="AC29" s="21"/>
      <c r="AD29" s="21"/>
      <c r="AE29" s="21"/>
      <c r="AF29" s="21"/>
      <c r="AG29" s="21"/>
      <c r="AH29" s="21"/>
      <c r="AI29" s="21"/>
      <c r="AJ29" s="21"/>
    </row>
    <row r="30" spans="1:36" ht="15" customHeight="1" thickBot="1">
      <c r="A30" s="38"/>
    </row>
    <row r="31" spans="1:36" ht="15" customHeight="1" thickBot="1">
      <c r="A31" s="126">
        <v>1</v>
      </c>
      <c r="B31" s="44" t="s">
        <v>29</v>
      </c>
      <c r="C31" s="44"/>
      <c r="D31" s="44"/>
      <c r="E31" s="44"/>
      <c r="F31" s="44"/>
      <c r="G31" s="44"/>
      <c r="H31" s="39"/>
      <c r="I31" s="45"/>
      <c r="K31" s="50" t="s">
        <v>78</v>
      </c>
    </row>
    <row r="32" spans="1:36" ht="35.25" customHeight="1" thickBot="1">
      <c r="A32" s="127" t="s">
        <v>17</v>
      </c>
      <c r="B32" s="600" t="s">
        <v>21</v>
      </c>
      <c r="C32" s="601"/>
      <c r="D32" s="51" t="s">
        <v>22</v>
      </c>
      <c r="E32" s="51" t="s">
        <v>23</v>
      </c>
      <c r="F32" s="51" t="s">
        <v>50</v>
      </c>
      <c r="G32" s="51" t="s">
        <v>24</v>
      </c>
      <c r="H32" s="51" t="s">
        <v>16</v>
      </c>
      <c r="I32" s="220"/>
      <c r="J32" s="50" t="s">
        <v>25</v>
      </c>
    </row>
    <row r="33" spans="1:36" s="45" customFormat="1" ht="32.25" customHeight="1">
      <c r="A33" s="127" t="s">
        <v>318</v>
      </c>
      <c r="B33" s="570" t="s">
        <v>320</v>
      </c>
      <c r="C33" s="571"/>
      <c r="D33" s="63" t="s">
        <v>88</v>
      </c>
      <c r="E33" s="52" t="s">
        <v>87</v>
      </c>
      <c r="F33" s="10"/>
      <c r="G33" s="64"/>
      <c r="H33" s="53"/>
      <c r="I33" s="33"/>
      <c r="J33" s="50" t="s">
        <v>27</v>
      </c>
      <c r="K33" s="50" t="s">
        <v>35</v>
      </c>
      <c r="R33" s="177"/>
      <c r="S33" s="177"/>
      <c r="T33" s="177"/>
      <c r="U33" s="177"/>
      <c r="V33" s="177"/>
      <c r="W33" s="177"/>
      <c r="X33" s="177"/>
      <c r="Y33" s="177"/>
      <c r="Z33" s="177"/>
      <c r="AA33" s="177"/>
      <c r="AB33" s="177"/>
      <c r="AC33" s="177"/>
      <c r="AD33" s="177"/>
      <c r="AE33" s="177"/>
      <c r="AF33" s="177"/>
      <c r="AG33" s="177"/>
      <c r="AH33" s="177"/>
      <c r="AI33" s="177"/>
      <c r="AJ33" s="177"/>
    </row>
    <row r="34" spans="1:36" s="45" customFormat="1" ht="32.25" customHeight="1">
      <c r="A34" s="127" t="s">
        <v>319</v>
      </c>
      <c r="B34" s="570" t="s">
        <v>307</v>
      </c>
      <c r="C34" s="571"/>
      <c r="D34" s="52" t="s">
        <v>88</v>
      </c>
      <c r="E34" s="63" t="s">
        <v>308</v>
      </c>
      <c r="F34" s="10"/>
      <c r="G34" s="17"/>
      <c r="H34" s="53"/>
      <c r="I34" s="33"/>
      <c r="J34" s="50" t="s">
        <v>27</v>
      </c>
      <c r="K34" s="50" t="s">
        <v>35</v>
      </c>
      <c r="R34" s="46"/>
      <c r="S34" s="46"/>
      <c r="T34" s="46"/>
      <c r="U34" s="46"/>
      <c r="V34" s="46"/>
      <c r="W34" s="46"/>
      <c r="X34" s="46"/>
      <c r="Y34" s="46"/>
      <c r="Z34" s="46"/>
      <c r="AA34" s="46"/>
      <c r="AB34" s="46"/>
      <c r="AC34" s="46"/>
      <c r="AD34" s="46"/>
      <c r="AE34" s="46"/>
      <c r="AF34" s="46"/>
      <c r="AG34" s="46"/>
      <c r="AH34" s="46"/>
      <c r="AI34" s="46"/>
      <c r="AJ34" s="46"/>
    </row>
    <row r="35" spans="1:36" s="45" customFormat="1" ht="32.25" customHeight="1">
      <c r="A35" s="127" t="s">
        <v>98</v>
      </c>
      <c r="B35" s="570" t="s">
        <v>369</v>
      </c>
      <c r="C35" s="571"/>
      <c r="D35" s="52" t="s">
        <v>98</v>
      </c>
      <c r="E35" s="17" t="s">
        <v>258</v>
      </c>
      <c r="F35" s="10"/>
      <c r="G35" s="208"/>
      <c r="H35" s="53"/>
      <c r="I35" s="33"/>
      <c r="J35" s="50" t="s">
        <v>27</v>
      </c>
      <c r="K35" s="50" t="s">
        <v>35</v>
      </c>
      <c r="R35" s="46"/>
      <c r="S35" s="46"/>
      <c r="T35" s="46"/>
      <c r="U35" s="46"/>
      <c r="V35" s="46"/>
      <c r="W35" s="46"/>
      <c r="X35" s="46"/>
      <c r="Y35" s="46"/>
      <c r="Z35" s="46"/>
      <c r="AA35" s="46"/>
      <c r="AB35" s="46"/>
      <c r="AC35" s="46"/>
      <c r="AD35" s="46"/>
      <c r="AE35" s="46"/>
      <c r="AF35" s="46"/>
      <c r="AG35" s="46"/>
      <c r="AH35" s="46"/>
      <c r="AI35" s="46"/>
      <c r="AJ35" s="46"/>
    </row>
    <row r="36" spans="1:36" s="45" customFormat="1" ht="32.25" customHeight="1" thickBot="1">
      <c r="A36" s="127" t="s">
        <v>313</v>
      </c>
      <c r="B36" s="570" t="s">
        <v>314</v>
      </c>
      <c r="C36" s="571"/>
      <c r="D36" s="52" t="s">
        <v>313</v>
      </c>
      <c r="E36" s="17" t="s">
        <v>255</v>
      </c>
      <c r="F36" s="10"/>
      <c r="G36" s="17"/>
      <c r="H36" s="53"/>
      <c r="I36" s="33"/>
      <c r="J36" s="50" t="s">
        <v>27</v>
      </c>
      <c r="K36" s="50" t="s">
        <v>35</v>
      </c>
      <c r="R36" s="177"/>
      <c r="S36" s="177"/>
      <c r="T36" s="177"/>
      <c r="U36" s="177"/>
      <c r="V36" s="177"/>
      <c r="W36" s="177"/>
      <c r="X36" s="177"/>
      <c r="Y36" s="177"/>
      <c r="Z36" s="177"/>
      <c r="AA36" s="177"/>
      <c r="AB36" s="177"/>
      <c r="AC36" s="177"/>
      <c r="AD36" s="177"/>
      <c r="AE36" s="177"/>
      <c r="AF36" s="177"/>
      <c r="AG36" s="177"/>
      <c r="AH36" s="177"/>
      <c r="AI36" s="177"/>
      <c r="AJ36" s="177"/>
    </row>
    <row r="37" spans="1:36" s="180" customFormat="1" ht="16.5" customHeight="1" thickBot="1">
      <c r="A37" s="130"/>
      <c r="B37" s="572" t="s">
        <v>186</v>
      </c>
      <c r="C37" s="573"/>
      <c r="D37" s="58"/>
      <c r="E37" s="58"/>
      <c r="F37" s="58"/>
      <c r="G37" s="58"/>
      <c r="H37" s="58"/>
      <c r="I37" s="122"/>
      <c r="J37" s="234" t="s">
        <v>77</v>
      </c>
      <c r="K37" s="234" t="s">
        <v>75</v>
      </c>
      <c r="L37" s="238" t="str">
        <f ca="1">INDEX(tblGoSubRoutineStartCell[StartCell],MATCH(B37,tblGoSubRoutineStartCell[GoSub Routine],0))</f>
        <v>K104</v>
      </c>
      <c r="N37" s="184"/>
      <c r="O37" s="184"/>
      <c r="P37" s="184"/>
      <c r="Q37" s="184"/>
      <c r="R37" s="184"/>
      <c r="S37" s="178"/>
      <c r="T37" s="178"/>
      <c r="U37" s="178"/>
      <c r="V37" s="178"/>
      <c r="W37" s="178"/>
      <c r="X37" s="178"/>
      <c r="Y37" s="178"/>
      <c r="Z37" s="178"/>
      <c r="AA37" s="178"/>
      <c r="AB37" s="178"/>
      <c r="AC37" s="178"/>
      <c r="AD37" s="178"/>
      <c r="AE37" s="178"/>
      <c r="AF37" s="178"/>
      <c r="AG37" s="178"/>
      <c r="AH37" s="178"/>
      <c r="AI37" s="178"/>
      <c r="AJ37" s="178"/>
    </row>
    <row r="38" spans="1:36" s="43" customFormat="1" ht="12.75" customHeight="1" thickBot="1">
      <c r="A38" s="90"/>
      <c r="B38" s="135"/>
      <c r="C38" s="136"/>
      <c r="D38" s="90"/>
      <c r="E38" s="90"/>
      <c r="F38" s="90"/>
      <c r="G38" s="90"/>
      <c r="H38" s="90"/>
      <c r="I38" s="33"/>
      <c r="J38" s="50"/>
      <c r="K38" s="50"/>
      <c r="L38" s="45"/>
      <c r="M38" s="45"/>
      <c r="N38" s="45"/>
      <c r="O38" s="45"/>
      <c r="P38" s="45"/>
      <c r="Q38" s="45"/>
    </row>
    <row r="39" spans="1:36" s="45" customFormat="1" ht="15.75" thickBot="1">
      <c r="A39" s="32"/>
      <c r="B39" s="26"/>
      <c r="C39" s="26"/>
      <c r="D39" s="26"/>
      <c r="E39" s="26"/>
      <c r="F39" s="26"/>
      <c r="G39" s="26"/>
      <c r="H39" s="26"/>
      <c r="I39" s="33"/>
      <c r="K39" s="50"/>
      <c r="R39" s="46"/>
      <c r="S39" s="46"/>
      <c r="T39" s="46"/>
      <c r="U39" s="46"/>
      <c r="V39" s="46"/>
      <c r="W39" s="46"/>
      <c r="X39" s="46"/>
      <c r="Y39" s="46"/>
      <c r="Z39" s="46"/>
      <c r="AA39" s="46"/>
      <c r="AB39" s="46"/>
      <c r="AC39" s="46"/>
      <c r="AD39" s="46"/>
      <c r="AE39" s="46"/>
      <c r="AF39" s="46"/>
      <c r="AG39" s="46"/>
      <c r="AH39" s="46"/>
      <c r="AI39" s="46"/>
      <c r="AJ39" s="46"/>
    </row>
    <row r="40" spans="1:36" s="45" customFormat="1" ht="13.5" thickBot="1">
      <c r="A40" s="557" t="s">
        <v>166</v>
      </c>
      <c r="B40" s="558"/>
      <c r="C40" s="558"/>
      <c r="D40" s="558"/>
      <c r="E40" s="558"/>
      <c r="F40" s="558"/>
      <c r="G40" s="558"/>
      <c r="H40" s="559"/>
      <c r="I40" s="557" t="s">
        <v>183</v>
      </c>
      <c r="J40" s="558"/>
      <c r="K40" s="559"/>
      <c r="R40" s="46"/>
      <c r="S40" s="46"/>
      <c r="T40" s="46"/>
      <c r="U40" s="46"/>
      <c r="V40" s="46"/>
      <c r="W40" s="46"/>
      <c r="X40" s="46"/>
      <c r="Y40" s="46"/>
      <c r="Z40" s="46"/>
      <c r="AA40" s="46"/>
      <c r="AB40" s="46"/>
      <c r="AC40" s="46"/>
      <c r="AD40" s="46"/>
      <c r="AE40" s="46"/>
      <c r="AF40" s="46"/>
      <c r="AG40" s="46"/>
      <c r="AH40" s="46"/>
      <c r="AI40" s="46"/>
      <c r="AJ40" s="46"/>
    </row>
    <row r="41" spans="1:36" customFormat="1" ht="15">
      <c r="A41" s="592"/>
      <c r="B41" s="593"/>
      <c r="C41" s="593"/>
      <c r="D41" s="593"/>
      <c r="E41" s="593"/>
      <c r="F41" s="593"/>
      <c r="G41" s="593"/>
      <c r="H41" s="594"/>
      <c r="I41" s="519" t="s">
        <v>749</v>
      </c>
      <c r="J41" s="520"/>
      <c r="K41" s="521"/>
      <c r="L41" s="184"/>
      <c r="M41" s="184"/>
      <c r="N41" s="184"/>
      <c r="O41" s="184"/>
      <c r="P41" s="184"/>
      <c r="Q41" s="184"/>
    </row>
    <row r="42" spans="1:36" customFormat="1" ht="15">
      <c r="A42" s="624"/>
      <c r="B42" s="625"/>
      <c r="C42" s="625"/>
      <c r="D42" s="625"/>
      <c r="E42" s="625"/>
      <c r="F42" s="625"/>
      <c r="G42" s="625"/>
      <c r="H42" s="626"/>
      <c r="I42" s="522"/>
      <c r="J42" s="523"/>
      <c r="K42" s="524"/>
      <c r="L42" s="184"/>
      <c r="M42" s="184"/>
      <c r="N42" s="184"/>
      <c r="O42" s="184"/>
      <c r="P42" s="184"/>
      <c r="Q42" s="184"/>
    </row>
    <row r="43" spans="1:36" customFormat="1" ht="15">
      <c r="A43" s="627"/>
      <c r="B43" s="628"/>
      <c r="C43" s="628"/>
      <c r="D43" s="628"/>
      <c r="E43" s="628"/>
      <c r="F43" s="628"/>
      <c r="G43" s="628"/>
      <c r="H43" s="629"/>
      <c r="I43" s="522"/>
      <c r="J43" s="523"/>
      <c r="K43" s="524"/>
      <c r="L43" s="184"/>
      <c r="M43" s="184"/>
      <c r="N43" s="184"/>
      <c r="O43" s="184"/>
      <c r="P43" s="184"/>
      <c r="Q43" s="184"/>
    </row>
    <row r="44" spans="1:36" customFormat="1" ht="15">
      <c r="A44" s="627"/>
      <c r="B44" s="628"/>
      <c r="C44" s="628"/>
      <c r="D44" s="628"/>
      <c r="E44" s="628"/>
      <c r="F44" s="628"/>
      <c r="G44" s="628"/>
      <c r="H44" s="629"/>
      <c r="I44" s="522"/>
      <c r="J44" s="523"/>
      <c r="K44" s="524"/>
      <c r="L44" s="184"/>
      <c r="M44" s="184"/>
      <c r="N44" s="184"/>
      <c r="O44" s="184"/>
      <c r="P44" s="184"/>
      <c r="Q44" s="184"/>
    </row>
    <row r="45" spans="1:36" customFormat="1" ht="15">
      <c r="A45" s="627"/>
      <c r="B45" s="628"/>
      <c r="C45" s="628"/>
      <c r="D45" s="628"/>
      <c r="E45" s="628"/>
      <c r="F45" s="628"/>
      <c r="G45" s="628"/>
      <c r="H45" s="629"/>
      <c r="I45" s="522"/>
      <c r="J45" s="523"/>
      <c r="K45" s="524"/>
      <c r="L45" s="184"/>
      <c r="M45" s="184"/>
      <c r="N45" s="184"/>
      <c r="O45" s="184"/>
      <c r="P45" s="184"/>
      <c r="Q45" s="184"/>
    </row>
    <row r="46" spans="1:36" customFormat="1" ht="15">
      <c r="A46" s="627"/>
      <c r="B46" s="628"/>
      <c r="C46" s="628"/>
      <c r="D46" s="628"/>
      <c r="E46" s="628"/>
      <c r="F46" s="628"/>
      <c r="G46" s="628"/>
      <c r="H46" s="629"/>
      <c r="I46" s="522"/>
      <c r="J46" s="523"/>
      <c r="K46" s="524"/>
      <c r="L46" s="184"/>
      <c r="M46" s="184"/>
      <c r="N46" s="184"/>
      <c r="O46" s="184"/>
      <c r="P46" s="184"/>
      <c r="Q46" s="184"/>
    </row>
    <row r="47" spans="1:36" customFormat="1" ht="15">
      <c r="A47" s="627"/>
      <c r="B47" s="628"/>
      <c r="C47" s="628"/>
      <c r="D47" s="628"/>
      <c r="E47" s="628"/>
      <c r="F47" s="628"/>
      <c r="G47" s="628"/>
      <c r="H47" s="629"/>
      <c r="I47" s="522"/>
      <c r="J47" s="523"/>
      <c r="K47" s="524"/>
      <c r="L47" s="184"/>
      <c r="M47" s="184"/>
      <c r="N47" s="184"/>
      <c r="O47" s="184"/>
      <c r="P47" s="184"/>
      <c r="Q47" s="184"/>
    </row>
    <row r="48" spans="1:36" customFormat="1" ht="15">
      <c r="A48" s="627"/>
      <c r="B48" s="628"/>
      <c r="C48" s="628"/>
      <c r="D48" s="628"/>
      <c r="E48" s="628"/>
      <c r="F48" s="628"/>
      <c r="G48" s="628"/>
      <c r="H48" s="629"/>
      <c r="I48" s="522"/>
      <c r="J48" s="523"/>
      <c r="K48" s="524"/>
      <c r="L48" s="184"/>
      <c r="M48" s="184"/>
      <c r="N48" s="184"/>
      <c r="O48" s="184"/>
      <c r="P48" s="184"/>
      <c r="Q48" s="184"/>
    </row>
    <row r="49" spans="1:17" customFormat="1" ht="15">
      <c r="A49" s="627"/>
      <c r="B49" s="628"/>
      <c r="C49" s="628"/>
      <c r="D49" s="628"/>
      <c r="E49" s="628"/>
      <c r="F49" s="628"/>
      <c r="G49" s="628"/>
      <c r="H49" s="629"/>
      <c r="I49" s="522"/>
      <c r="J49" s="523"/>
      <c r="K49" s="524"/>
      <c r="L49" s="184"/>
      <c r="M49" s="184"/>
      <c r="N49" s="184"/>
      <c r="O49" s="184"/>
      <c r="P49" s="184"/>
      <c r="Q49" s="184"/>
    </row>
    <row r="50" spans="1:17" customFormat="1" ht="15">
      <c r="A50" s="627"/>
      <c r="B50" s="628"/>
      <c r="C50" s="628"/>
      <c r="D50" s="628"/>
      <c r="E50" s="628"/>
      <c r="F50" s="628"/>
      <c r="G50" s="628"/>
      <c r="H50" s="629"/>
      <c r="I50" s="522"/>
      <c r="J50" s="523"/>
      <c r="K50" s="524"/>
      <c r="L50" s="184"/>
      <c r="M50" s="184"/>
      <c r="N50" s="184"/>
      <c r="O50" s="184"/>
      <c r="P50" s="184"/>
      <c r="Q50" s="184"/>
    </row>
    <row r="51" spans="1:17" customFormat="1" ht="15">
      <c r="A51" s="627"/>
      <c r="B51" s="628"/>
      <c r="C51" s="628"/>
      <c r="D51" s="628"/>
      <c r="E51" s="628"/>
      <c r="F51" s="628"/>
      <c r="G51" s="628"/>
      <c r="H51" s="629"/>
      <c r="I51" s="522"/>
      <c r="J51" s="523"/>
      <c r="K51" s="524"/>
      <c r="L51" s="184"/>
      <c r="M51" s="184"/>
      <c r="N51" s="184"/>
      <c r="O51" s="184"/>
      <c r="P51" s="184"/>
      <c r="Q51" s="184"/>
    </row>
    <row r="52" spans="1:17" customFormat="1" ht="15">
      <c r="A52" s="627"/>
      <c r="B52" s="628"/>
      <c r="C52" s="628"/>
      <c r="D52" s="628"/>
      <c r="E52" s="628"/>
      <c r="F52" s="628"/>
      <c r="G52" s="628"/>
      <c r="H52" s="629"/>
      <c r="I52" s="522"/>
      <c r="J52" s="523"/>
      <c r="K52" s="524"/>
      <c r="L52" s="184"/>
      <c r="M52" s="184"/>
      <c r="N52" s="184"/>
      <c r="O52" s="184"/>
      <c r="P52" s="184"/>
      <c r="Q52" s="184"/>
    </row>
    <row r="53" spans="1:17" customFormat="1" ht="15">
      <c r="A53" s="627"/>
      <c r="B53" s="628"/>
      <c r="C53" s="628"/>
      <c r="D53" s="628"/>
      <c r="E53" s="628"/>
      <c r="F53" s="628"/>
      <c r="G53" s="628"/>
      <c r="H53" s="629"/>
      <c r="I53" s="522"/>
      <c r="J53" s="523"/>
      <c r="K53" s="524"/>
      <c r="L53" s="184"/>
      <c r="M53" s="184"/>
      <c r="N53" s="184"/>
      <c r="O53" s="184"/>
      <c r="P53" s="184"/>
      <c r="Q53" s="184"/>
    </row>
    <row r="54" spans="1:17" s="43" customFormat="1" ht="15">
      <c r="A54" s="627"/>
      <c r="B54" s="628"/>
      <c r="C54" s="628"/>
      <c r="D54" s="628"/>
      <c r="E54" s="628"/>
      <c r="F54" s="628"/>
      <c r="G54" s="628"/>
      <c r="H54" s="629"/>
      <c r="I54" s="522"/>
      <c r="J54" s="523"/>
      <c r="K54" s="524"/>
      <c r="L54" s="184"/>
      <c r="M54" s="184"/>
      <c r="N54" s="184"/>
      <c r="O54" s="184"/>
      <c r="P54" s="184"/>
      <c r="Q54" s="184"/>
    </row>
    <row r="55" spans="1:17" s="43" customFormat="1" ht="15">
      <c r="A55" s="627"/>
      <c r="B55" s="628"/>
      <c r="C55" s="628"/>
      <c r="D55" s="628"/>
      <c r="E55" s="628"/>
      <c r="F55" s="628"/>
      <c r="G55" s="628"/>
      <c r="H55" s="629"/>
      <c r="I55" s="522"/>
      <c r="J55" s="523"/>
      <c r="K55" s="524"/>
      <c r="L55" s="184"/>
      <c r="M55" s="184"/>
      <c r="N55" s="184"/>
      <c r="O55" s="184"/>
      <c r="P55" s="184"/>
      <c r="Q55" s="184"/>
    </row>
    <row r="56" spans="1:17" s="43" customFormat="1" ht="15">
      <c r="A56" s="627"/>
      <c r="B56" s="628"/>
      <c r="C56" s="628"/>
      <c r="D56" s="628"/>
      <c r="E56" s="628"/>
      <c r="F56" s="628"/>
      <c r="G56" s="628"/>
      <c r="H56" s="629"/>
      <c r="I56" s="522"/>
      <c r="J56" s="523"/>
      <c r="K56" s="524"/>
      <c r="L56" s="184"/>
      <c r="M56" s="184"/>
      <c r="N56" s="184"/>
      <c r="O56" s="184"/>
      <c r="P56" s="184"/>
      <c r="Q56" s="184"/>
    </row>
    <row r="57" spans="1:17" s="43" customFormat="1" ht="15">
      <c r="A57" s="627"/>
      <c r="B57" s="628"/>
      <c r="C57" s="628"/>
      <c r="D57" s="628"/>
      <c r="E57" s="628"/>
      <c r="F57" s="628"/>
      <c r="G57" s="628"/>
      <c r="H57" s="629"/>
      <c r="I57" s="522"/>
      <c r="J57" s="523"/>
      <c r="K57" s="524"/>
      <c r="L57" s="184"/>
      <c r="M57" s="184"/>
      <c r="N57" s="184"/>
      <c r="O57" s="184"/>
      <c r="P57" s="184"/>
      <c r="Q57" s="184"/>
    </row>
    <row r="58" spans="1:17" s="43" customFormat="1" ht="15">
      <c r="A58" s="627"/>
      <c r="B58" s="628"/>
      <c r="C58" s="628"/>
      <c r="D58" s="628"/>
      <c r="E58" s="628"/>
      <c r="F58" s="628"/>
      <c r="G58" s="628"/>
      <c r="H58" s="629"/>
      <c r="I58" s="522"/>
      <c r="J58" s="523"/>
      <c r="K58" s="524"/>
      <c r="L58" s="184"/>
      <c r="M58" s="184"/>
      <c r="N58" s="184"/>
      <c r="O58" s="184"/>
      <c r="P58" s="184"/>
      <c r="Q58" s="184"/>
    </row>
    <row r="59" spans="1:17" s="43" customFormat="1" ht="15">
      <c r="A59" s="627"/>
      <c r="B59" s="628"/>
      <c r="C59" s="628"/>
      <c r="D59" s="628"/>
      <c r="E59" s="628"/>
      <c r="F59" s="628"/>
      <c r="G59" s="628"/>
      <c r="H59" s="629"/>
      <c r="I59" s="522"/>
      <c r="J59" s="523"/>
      <c r="K59" s="524"/>
      <c r="L59" s="184"/>
      <c r="M59" s="184"/>
      <c r="N59" s="184"/>
      <c r="O59" s="184"/>
      <c r="P59" s="184"/>
      <c r="Q59" s="184"/>
    </row>
    <row r="60" spans="1:17" s="43" customFormat="1" ht="15">
      <c r="A60" s="627"/>
      <c r="B60" s="628"/>
      <c r="C60" s="628"/>
      <c r="D60" s="628"/>
      <c r="E60" s="628"/>
      <c r="F60" s="628"/>
      <c r="G60" s="628"/>
      <c r="H60" s="629"/>
      <c r="I60" s="522"/>
      <c r="J60" s="523"/>
      <c r="K60" s="524"/>
      <c r="L60" s="184"/>
      <c r="M60" s="184"/>
      <c r="N60" s="184"/>
      <c r="O60" s="184"/>
      <c r="P60" s="184"/>
      <c r="Q60" s="184"/>
    </row>
    <row r="61" spans="1:17" s="43" customFormat="1" ht="15">
      <c r="A61" s="627"/>
      <c r="B61" s="628"/>
      <c r="C61" s="628"/>
      <c r="D61" s="628"/>
      <c r="E61" s="628"/>
      <c r="F61" s="628"/>
      <c r="G61" s="628"/>
      <c r="H61" s="629"/>
      <c r="I61" s="522"/>
      <c r="J61" s="523"/>
      <c r="K61" s="524"/>
      <c r="L61" s="184"/>
      <c r="M61" s="184"/>
      <c r="N61" s="184"/>
      <c r="O61" s="184"/>
      <c r="P61" s="184"/>
      <c r="Q61" s="184"/>
    </row>
    <row r="62" spans="1:17" s="43" customFormat="1" ht="15">
      <c r="A62" s="627"/>
      <c r="B62" s="628"/>
      <c r="C62" s="628"/>
      <c r="D62" s="628"/>
      <c r="E62" s="628"/>
      <c r="F62" s="628"/>
      <c r="G62" s="628"/>
      <c r="H62" s="629"/>
      <c r="I62" s="522"/>
      <c r="J62" s="523"/>
      <c r="K62" s="524"/>
      <c r="L62" s="184"/>
      <c r="M62" s="184"/>
      <c r="N62" s="184"/>
      <c r="O62" s="184"/>
      <c r="P62" s="184"/>
      <c r="Q62" s="184"/>
    </row>
    <row r="63" spans="1:17" s="43" customFormat="1" ht="15">
      <c r="A63" s="627"/>
      <c r="B63" s="628"/>
      <c r="C63" s="628"/>
      <c r="D63" s="628"/>
      <c r="E63" s="628"/>
      <c r="F63" s="628"/>
      <c r="G63" s="628"/>
      <c r="H63" s="629"/>
      <c r="I63" s="522"/>
      <c r="J63" s="523"/>
      <c r="K63" s="524"/>
      <c r="L63" s="184"/>
      <c r="M63" s="184"/>
      <c r="N63" s="184"/>
      <c r="O63" s="184"/>
      <c r="P63" s="184"/>
      <c r="Q63" s="184"/>
    </row>
    <row r="64" spans="1:17" s="43" customFormat="1" ht="15">
      <c r="A64" s="627"/>
      <c r="B64" s="628"/>
      <c r="C64" s="628"/>
      <c r="D64" s="628"/>
      <c r="E64" s="628"/>
      <c r="F64" s="628"/>
      <c r="G64" s="628"/>
      <c r="H64" s="629"/>
      <c r="I64" s="522"/>
      <c r="J64" s="523"/>
      <c r="K64" s="524"/>
      <c r="L64" s="184"/>
      <c r="M64" s="184"/>
      <c r="N64" s="184"/>
      <c r="O64" s="184"/>
      <c r="P64" s="184"/>
      <c r="Q64" s="184"/>
    </row>
    <row r="65" spans="1:17" customFormat="1" ht="15">
      <c r="A65" s="627"/>
      <c r="B65" s="628"/>
      <c r="C65" s="628"/>
      <c r="D65" s="628"/>
      <c r="E65" s="628"/>
      <c r="F65" s="628"/>
      <c r="G65" s="628"/>
      <c r="H65" s="629"/>
      <c r="I65" s="522"/>
      <c r="J65" s="523"/>
      <c r="K65" s="524"/>
      <c r="L65" s="184"/>
      <c r="M65" s="184"/>
      <c r="N65" s="184"/>
      <c r="O65" s="184"/>
      <c r="P65" s="184"/>
      <c r="Q65" s="184"/>
    </row>
    <row r="66" spans="1:17" customFormat="1" ht="15">
      <c r="A66" s="627"/>
      <c r="B66" s="628"/>
      <c r="C66" s="628"/>
      <c r="D66" s="628"/>
      <c r="E66" s="628"/>
      <c r="F66" s="628"/>
      <c r="G66" s="628"/>
      <c r="H66" s="629"/>
      <c r="I66" s="522"/>
      <c r="J66" s="523"/>
      <c r="K66" s="524"/>
      <c r="L66" s="184"/>
      <c r="M66" s="184"/>
      <c r="N66" s="184"/>
      <c r="O66" s="184"/>
      <c r="P66" s="184"/>
      <c r="Q66" s="184"/>
    </row>
    <row r="67" spans="1:17" customFormat="1" ht="15">
      <c r="A67" s="627"/>
      <c r="B67" s="628"/>
      <c r="C67" s="628"/>
      <c r="D67" s="628"/>
      <c r="E67" s="628"/>
      <c r="F67" s="628"/>
      <c r="G67" s="628"/>
      <c r="H67" s="629"/>
      <c r="I67" s="522"/>
      <c r="J67" s="523"/>
      <c r="K67" s="524"/>
      <c r="L67" s="184"/>
      <c r="M67" s="184"/>
      <c r="N67" s="184"/>
      <c r="O67" s="184"/>
      <c r="P67" s="184"/>
      <c r="Q67" s="184"/>
    </row>
    <row r="68" spans="1:17" customFormat="1" ht="15">
      <c r="A68" s="627"/>
      <c r="B68" s="628"/>
      <c r="C68" s="628"/>
      <c r="D68" s="628"/>
      <c r="E68" s="628"/>
      <c r="F68" s="628"/>
      <c r="G68" s="628"/>
      <c r="H68" s="629"/>
      <c r="I68" s="522"/>
      <c r="J68" s="523"/>
      <c r="K68" s="524"/>
      <c r="L68" s="184"/>
      <c r="M68" s="184"/>
      <c r="N68" s="184"/>
      <c r="O68" s="184"/>
      <c r="P68" s="184"/>
      <c r="Q68" s="184"/>
    </row>
    <row r="69" spans="1:17" customFormat="1" ht="15">
      <c r="A69" s="627"/>
      <c r="B69" s="628"/>
      <c r="C69" s="628"/>
      <c r="D69" s="628"/>
      <c r="E69" s="628"/>
      <c r="F69" s="628"/>
      <c r="G69" s="628"/>
      <c r="H69" s="629"/>
      <c r="I69" s="522"/>
      <c r="J69" s="523"/>
      <c r="K69" s="524"/>
      <c r="L69" s="184"/>
      <c r="M69" s="184"/>
      <c r="N69" s="184"/>
      <c r="O69" s="184"/>
      <c r="P69" s="184"/>
      <c r="Q69" s="184"/>
    </row>
    <row r="70" spans="1:17" customFormat="1" ht="15">
      <c r="A70" s="627"/>
      <c r="B70" s="628"/>
      <c r="C70" s="628"/>
      <c r="D70" s="628"/>
      <c r="E70" s="628"/>
      <c r="F70" s="628"/>
      <c r="G70" s="628"/>
      <c r="H70" s="629"/>
      <c r="I70" s="522"/>
      <c r="J70" s="523"/>
      <c r="K70" s="524"/>
      <c r="L70" s="184"/>
      <c r="M70" s="184"/>
      <c r="N70" s="184"/>
      <c r="O70" s="184"/>
      <c r="P70" s="184"/>
      <c r="Q70" s="184"/>
    </row>
    <row r="71" spans="1:17" customFormat="1" ht="15">
      <c r="A71" s="627"/>
      <c r="B71" s="628"/>
      <c r="C71" s="628"/>
      <c r="D71" s="628"/>
      <c r="E71" s="628"/>
      <c r="F71" s="628"/>
      <c r="G71" s="628"/>
      <c r="H71" s="629"/>
      <c r="I71" s="522"/>
      <c r="J71" s="523"/>
      <c r="K71" s="524"/>
      <c r="L71" s="184"/>
      <c r="M71" s="184"/>
      <c r="N71" s="184"/>
      <c r="O71" s="184"/>
      <c r="P71" s="184"/>
      <c r="Q71" s="184"/>
    </row>
    <row r="72" spans="1:17" s="43" customFormat="1" ht="15">
      <c r="A72" s="627"/>
      <c r="B72" s="628"/>
      <c r="C72" s="628"/>
      <c r="D72" s="628"/>
      <c r="E72" s="628"/>
      <c r="F72" s="628"/>
      <c r="G72" s="628"/>
      <c r="H72" s="629"/>
      <c r="I72" s="522"/>
      <c r="J72" s="523"/>
      <c r="K72" s="524"/>
      <c r="L72" s="184"/>
      <c r="M72" s="184"/>
      <c r="N72" s="184"/>
      <c r="O72" s="184"/>
      <c r="P72" s="184"/>
      <c r="Q72" s="184"/>
    </row>
    <row r="73" spans="1:17" customFormat="1" ht="15.75" thickBot="1">
      <c r="A73" s="630"/>
      <c r="B73" s="631"/>
      <c r="C73" s="631"/>
      <c r="D73" s="631"/>
      <c r="E73" s="631"/>
      <c r="F73" s="631"/>
      <c r="G73" s="631"/>
      <c r="H73" s="632"/>
      <c r="I73" s="525"/>
      <c r="J73" s="526"/>
      <c r="K73" s="527"/>
      <c r="L73" s="184"/>
      <c r="M73" s="184"/>
      <c r="N73" s="184"/>
      <c r="O73" s="184"/>
      <c r="P73" s="184"/>
      <c r="Q73" s="184"/>
    </row>
    <row r="74" spans="1:17" customFormat="1" ht="15.75" thickBot="1">
      <c r="A74" s="32"/>
      <c r="B74" s="26"/>
      <c r="C74" s="26"/>
      <c r="D74" s="26"/>
      <c r="E74" s="26"/>
      <c r="F74" s="26"/>
      <c r="G74" s="26"/>
      <c r="H74" s="26"/>
      <c r="I74" s="26"/>
      <c r="J74" s="26"/>
      <c r="K74" s="227"/>
      <c r="L74" s="184"/>
      <c r="M74" s="184"/>
      <c r="N74" s="184"/>
      <c r="O74" s="184"/>
      <c r="P74" s="184"/>
      <c r="Q74" s="184"/>
    </row>
    <row r="75" spans="1:17" s="43" customFormat="1" ht="15.75" thickBot="1">
      <c r="A75" s="32"/>
      <c r="B75" s="574" t="s">
        <v>161</v>
      </c>
      <c r="C75" s="575"/>
      <c r="D75" s="576"/>
      <c r="E75" s="26"/>
      <c r="F75" s="26"/>
      <c r="G75" s="26"/>
      <c r="H75" s="26"/>
      <c r="I75" s="26"/>
      <c r="J75" s="47"/>
      <c r="K75" s="184"/>
      <c r="L75" s="184"/>
      <c r="M75" s="184"/>
      <c r="N75" s="184"/>
      <c r="O75" s="184"/>
      <c r="P75" s="184"/>
      <c r="Q75" s="184"/>
    </row>
    <row r="76" spans="1:17" s="43" customFormat="1" ht="15.75" thickBot="1">
      <c r="A76" s="32"/>
      <c r="B76" s="111" t="s">
        <v>137</v>
      </c>
      <c r="C76" s="111" t="s">
        <v>162</v>
      </c>
      <c r="D76" s="97" t="s">
        <v>163</v>
      </c>
      <c r="E76" s="121" t="s">
        <v>63</v>
      </c>
      <c r="F76" s="121" t="s">
        <v>63</v>
      </c>
      <c r="G76" s="26"/>
      <c r="H76" s="26"/>
      <c r="I76" s="26"/>
      <c r="J76" s="47"/>
      <c r="K76" s="184"/>
      <c r="L76" s="184"/>
      <c r="M76" s="184"/>
      <c r="N76" s="184"/>
      <c r="O76" s="184"/>
      <c r="P76" s="184"/>
      <c r="Q76" s="184"/>
    </row>
    <row r="77" spans="1:17" s="43" customFormat="1" ht="30.75" customHeight="1" thickBot="1">
      <c r="A77" s="32"/>
      <c r="B77" s="311" t="s">
        <v>276</v>
      </c>
      <c r="C77" s="98">
        <v>1</v>
      </c>
      <c r="D77" s="99" t="str">
        <f>readback_result</f>
        <v>Incomplete</v>
      </c>
      <c r="E77" s="121" t="s">
        <v>25</v>
      </c>
      <c r="F77" s="171"/>
      <c r="G77" s="26"/>
      <c r="H77" s="26"/>
      <c r="I77" s="26"/>
      <c r="J77" s="47"/>
      <c r="K77" s="184"/>
      <c r="L77" s="184"/>
      <c r="M77" s="184"/>
      <c r="N77" s="184"/>
      <c r="O77" s="184"/>
      <c r="P77" s="184"/>
      <c r="Q77" s="184"/>
    </row>
    <row r="78" spans="1:17" s="43" customFormat="1" ht="14.25" customHeight="1" thickBot="1">
      <c r="A78" s="32"/>
      <c r="B78" s="199"/>
      <c r="C78" s="200"/>
      <c r="D78" s="201"/>
      <c r="E78" s="121" t="s">
        <v>164</v>
      </c>
      <c r="F78" s="171" t="str">
        <f>SUBSTITUTE(ADDRESS(ROW(section_1),COLUMN(section_1)),"$","")</f>
        <v>A99</v>
      </c>
      <c r="G78" s="26"/>
      <c r="H78" s="26"/>
      <c r="I78" s="26"/>
      <c r="J78" s="47"/>
      <c r="K78" s="184"/>
      <c r="L78" s="184"/>
      <c r="M78" s="184"/>
      <c r="N78" s="184"/>
      <c r="O78" s="184"/>
      <c r="P78" s="184"/>
      <c r="Q78" s="184"/>
    </row>
    <row r="79" spans="1:17" s="43" customFormat="1" ht="30.75" customHeight="1" thickBot="1">
      <c r="A79" s="128"/>
      <c r="B79" s="310" t="s">
        <v>277</v>
      </c>
      <c r="C79" s="112">
        <v>2</v>
      </c>
      <c r="D79" s="99" t="str">
        <f>Lens_1_Result</f>
        <v>Incomplete</v>
      </c>
      <c r="E79" s="121" t="s">
        <v>25</v>
      </c>
      <c r="F79" s="171"/>
      <c r="G79" s="26"/>
      <c r="H79" s="26"/>
      <c r="I79" s="26"/>
      <c r="J79" s="47"/>
      <c r="K79" s="184"/>
      <c r="L79" s="184"/>
      <c r="M79" s="184"/>
      <c r="N79" s="184"/>
      <c r="O79" s="184"/>
      <c r="P79" s="184"/>
      <c r="Q79" s="184"/>
    </row>
    <row r="80" spans="1:17" s="43" customFormat="1" ht="14.25" customHeight="1" thickBot="1">
      <c r="A80" s="32"/>
      <c r="B80" s="196"/>
      <c r="C80" s="197"/>
      <c r="D80" s="198"/>
      <c r="E80" s="121" t="s">
        <v>164</v>
      </c>
      <c r="F80" s="171"/>
      <c r="G80" s="26"/>
      <c r="H80" s="26"/>
      <c r="I80" s="26"/>
      <c r="J80" s="47"/>
      <c r="K80" s="184"/>
      <c r="L80" s="184"/>
      <c r="M80" s="184"/>
      <c r="N80" s="184"/>
      <c r="O80" s="184"/>
      <c r="P80" s="184"/>
      <c r="Q80" s="184"/>
    </row>
    <row r="81" spans="1:36" s="43" customFormat="1" ht="30.75" customHeight="1" thickBot="1">
      <c r="A81" s="128"/>
      <c r="B81" s="309" t="s">
        <v>287</v>
      </c>
      <c r="C81" s="156">
        <v>3</v>
      </c>
      <c r="D81" s="157" t="str">
        <f>Lens_2_Result</f>
        <v>Incomplete</v>
      </c>
      <c r="E81" s="121" t="s">
        <v>25</v>
      </c>
      <c r="F81" s="171"/>
      <c r="G81" s="26"/>
      <c r="H81" s="26"/>
      <c r="I81" s="26"/>
      <c r="J81" s="47"/>
      <c r="K81" s="184"/>
      <c r="L81" s="184"/>
      <c r="M81" s="184"/>
      <c r="N81" s="184"/>
      <c r="O81" s="184"/>
      <c r="P81" s="184"/>
      <c r="Q81" s="184"/>
    </row>
    <row r="82" spans="1:36" s="43" customFormat="1" ht="14.25" customHeight="1" thickBot="1">
      <c r="A82" s="32"/>
      <c r="B82" s="193"/>
      <c r="C82" s="194"/>
      <c r="D82" s="195"/>
      <c r="E82" s="121" t="s">
        <v>164</v>
      </c>
      <c r="F82" s="171"/>
      <c r="G82" s="26"/>
      <c r="H82" s="26"/>
      <c r="I82" s="26"/>
      <c r="J82" s="47"/>
      <c r="K82" s="184"/>
      <c r="L82" s="184"/>
      <c r="M82" s="184"/>
      <c r="N82" s="184"/>
      <c r="O82" s="184"/>
      <c r="P82" s="184"/>
      <c r="Q82" s="184"/>
    </row>
    <row r="83" spans="1:36" s="43" customFormat="1" ht="30.75" customHeight="1" thickBot="1">
      <c r="A83" s="128"/>
      <c r="B83" s="279" t="s">
        <v>461</v>
      </c>
      <c r="C83" s="312">
        <v>4</v>
      </c>
      <c r="D83" s="99" t="str">
        <f>Acc_result</f>
        <v>Incomplete</v>
      </c>
      <c r="E83" s="121" t="s">
        <v>25</v>
      </c>
      <c r="F83" s="171"/>
      <c r="H83" s="26"/>
      <c r="I83" s="26"/>
      <c r="J83" s="47"/>
      <c r="K83" s="184"/>
      <c r="L83" s="184"/>
      <c r="M83" s="184"/>
      <c r="N83" s="184"/>
      <c r="O83" s="184"/>
      <c r="P83" s="184"/>
      <c r="Q83" s="184"/>
    </row>
    <row r="84" spans="1:36" s="43" customFormat="1" ht="14.25" customHeight="1" thickBot="1">
      <c r="A84" s="32"/>
      <c r="B84" s="193"/>
      <c r="C84" s="194"/>
      <c r="D84" s="195"/>
      <c r="E84" s="121" t="s">
        <v>164</v>
      </c>
      <c r="F84" s="171"/>
      <c r="G84" s="26"/>
      <c r="H84" s="26"/>
      <c r="I84" s="26"/>
      <c r="J84" s="565"/>
      <c r="K84" s="565"/>
      <c r="L84" s="565"/>
      <c r="M84" s="184"/>
      <c r="N84" s="184"/>
      <c r="O84" s="184"/>
      <c r="P84" s="184"/>
      <c r="Q84" s="184"/>
    </row>
    <row r="85" spans="1:36" s="43" customFormat="1" ht="30.75" customHeight="1" thickBot="1">
      <c r="A85" s="128"/>
      <c r="B85" s="318" t="s">
        <v>111</v>
      </c>
      <c r="C85" s="319">
        <v>5</v>
      </c>
      <c r="D85" s="99" t="str">
        <f>Ext_result</f>
        <v>Incomplete</v>
      </c>
      <c r="E85" s="121" t="s">
        <v>25</v>
      </c>
      <c r="F85" s="171"/>
      <c r="G85" s="26"/>
      <c r="H85" s="26"/>
      <c r="I85" s="26"/>
      <c r="J85" s="47"/>
      <c r="K85" s="184"/>
      <c r="L85" s="184"/>
      <c r="M85" s="184"/>
      <c r="N85" s="184"/>
      <c r="O85" s="184"/>
      <c r="P85" s="184"/>
      <c r="Q85" s="184"/>
    </row>
    <row r="86" spans="1:36" s="43" customFormat="1" ht="14.25" customHeight="1" thickBot="1">
      <c r="A86" s="32"/>
      <c r="B86" s="193"/>
      <c r="C86" s="194"/>
      <c r="D86" s="195"/>
      <c r="E86" s="121" t="s">
        <v>164</v>
      </c>
      <c r="F86" s="171"/>
      <c r="G86" s="26"/>
      <c r="H86" s="26"/>
      <c r="I86" s="26"/>
      <c r="J86" s="47"/>
      <c r="K86" s="50"/>
      <c r="L86" s="184"/>
      <c r="M86" s="184"/>
      <c r="N86" s="184"/>
      <c r="O86" s="184"/>
      <c r="P86" s="184"/>
      <c r="Q86" s="184"/>
    </row>
    <row r="87" spans="1:36" s="43" customFormat="1" ht="30.75" customHeight="1" thickBot="1">
      <c r="A87" s="128"/>
      <c r="B87" s="315" t="s">
        <v>103</v>
      </c>
      <c r="C87" s="316">
        <v>6</v>
      </c>
      <c r="D87" s="99" t="str">
        <f>Supp_result</f>
        <v>Incomplete</v>
      </c>
      <c r="E87" s="121" t="s">
        <v>25</v>
      </c>
      <c r="F87" s="171"/>
      <c r="G87" s="26"/>
      <c r="H87" s="26"/>
      <c r="I87" s="26"/>
      <c r="J87" s="47"/>
      <c r="K87" s="184"/>
      <c r="L87" s="184"/>
      <c r="M87" s="184"/>
      <c r="N87" s="184"/>
      <c r="O87" s="184"/>
      <c r="P87" s="184"/>
      <c r="Q87" s="184"/>
    </row>
    <row r="88" spans="1:36" s="43" customFormat="1" ht="14.25" customHeight="1" thickBot="1">
      <c r="A88" s="32"/>
      <c r="B88" s="196"/>
      <c r="C88" s="197"/>
      <c r="D88" s="198"/>
      <c r="E88" s="121" t="s">
        <v>164</v>
      </c>
      <c r="F88" s="171"/>
      <c r="G88" s="26"/>
      <c r="H88" s="26"/>
      <c r="I88" s="26"/>
      <c r="J88" s="47"/>
      <c r="K88" s="184"/>
      <c r="L88" s="184"/>
      <c r="M88" s="184"/>
      <c r="N88" s="184"/>
      <c r="O88" s="184"/>
      <c r="P88" s="184"/>
      <c r="Q88" s="184"/>
    </row>
    <row r="89" spans="1:36" s="43" customFormat="1" ht="30.75" customHeight="1" thickBot="1">
      <c r="A89" s="128"/>
      <c r="B89" s="314" t="s">
        <v>530</v>
      </c>
      <c r="C89" s="313">
        <v>7</v>
      </c>
      <c r="D89" s="99" t="str">
        <f>Fil_result</f>
        <v>Incomplete</v>
      </c>
      <c r="E89" s="121" t="s">
        <v>25</v>
      </c>
      <c r="F89" s="171"/>
      <c r="G89" s="26"/>
      <c r="H89" s="26"/>
      <c r="I89" s="26"/>
      <c r="J89" s="47"/>
      <c r="K89" s="184"/>
      <c r="L89" s="184"/>
      <c r="M89" s="184"/>
      <c r="N89" s="184"/>
      <c r="O89" s="184"/>
      <c r="P89" s="184"/>
      <c r="Q89" s="184"/>
    </row>
    <row r="90" spans="1:36" s="43" customFormat="1" ht="14.25" customHeight="1" thickBot="1">
      <c r="A90" s="32"/>
      <c r="B90" s="193"/>
      <c r="C90" s="194"/>
      <c r="D90" s="195"/>
      <c r="E90" s="121" t="s">
        <v>164</v>
      </c>
      <c r="F90" s="171"/>
      <c r="G90" s="26"/>
      <c r="H90" s="26"/>
      <c r="I90" s="26"/>
      <c r="J90" s="47"/>
      <c r="K90" s="184"/>
      <c r="L90" s="184"/>
      <c r="M90" s="184"/>
      <c r="N90" s="184"/>
      <c r="O90" s="184"/>
      <c r="P90" s="184"/>
      <c r="Q90" s="184"/>
    </row>
    <row r="91" spans="1:36" s="43" customFormat="1" ht="39.75" customHeight="1" thickBot="1">
      <c r="A91" s="32"/>
      <c r="B91" s="560" t="s">
        <v>7</v>
      </c>
      <c r="C91" s="561"/>
      <c r="D91" s="431" t="str" cm="1">
        <f t="array" ref="D91">_xlfn.IFS(COUNTIF(Results,"Incomplete")&gt;0,"Incomplete",COUNTIF(Results,"VALUE ERROR")&gt;0,"VALUE ERROR",COUNTIF(Results,"Fail")&gt;0,"Fail",COUNTIF(unit_type,"")&gt;0,"NO UNIT TYPE",COUNTIF(serial_number,"")&gt;0,"NO SERIAL NUMBER",COUNTIF(tester_name,"")&gt;0,"NO TESTER ID",TRUE,"Pass")</f>
        <v>Incomplete</v>
      </c>
      <c r="E91" s="26"/>
      <c r="F91" s="47"/>
      <c r="G91" s="26"/>
      <c r="H91" s="26"/>
      <c r="I91" s="26"/>
      <c r="J91" s="47"/>
      <c r="K91" s="184"/>
      <c r="L91" s="184"/>
      <c r="M91" s="184"/>
      <c r="N91" s="184"/>
      <c r="O91" s="184"/>
      <c r="P91" s="184"/>
      <c r="Q91" s="184"/>
    </row>
    <row r="92" spans="1:36" s="180" customFormat="1" ht="15.75" customHeight="1">
      <c r="A92" s="65"/>
      <c r="B92" s="577" t="s">
        <v>278</v>
      </c>
      <c r="C92" s="578"/>
      <c r="D92" s="579"/>
      <c r="E92" s="93"/>
      <c r="F92" s="93"/>
      <c r="I92" s="122"/>
      <c r="K92" s="48"/>
      <c r="R92" s="178"/>
      <c r="S92" s="178"/>
      <c r="T92" s="178"/>
      <c r="U92" s="178"/>
      <c r="V92" s="178"/>
      <c r="W92" s="178"/>
      <c r="X92" s="178"/>
      <c r="Y92" s="178"/>
      <c r="Z92" s="178"/>
      <c r="AA92" s="178"/>
      <c r="AB92" s="178"/>
      <c r="AC92" s="178"/>
      <c r="AD92" s="178"/>
      <c r="AE92" s="178"/>
      <c r="AF92" s="178"/>
      <c r="AG92" s="178"/>
      <c r="AH92" s="178"/>
      <c r="AI92" s="178"/>
      <c r="AJ92" s="178"/>
    </row>
    <row r="93" spans="1:36" s="180" customFormat="1" ht="15" customHeight="1" thickBot="1">
      <c r="A93" s="65"/>
      <c r="B93" s="580"/>
      <c r="C93" s="581"/>
      <c r="D93" s="582"/>
      <c r="E93" s="93"/>
      <c r="F93" s="93"/>
      <c r="I93" s="122"/>
      <c r="K93" s="48"/>
      <c r="R93" s="178"/>
      <c r="S93" s="178"/>
      <c r="T93" s="178"/>
      <c r="U93" s="178"/>
      <c r="V93" s="178"/>
      <c r="W93" s="178"/>
      <c r="X93" s="178"/>
      <c r="Y93" s="178"/>
      <c r="Z93" s="178"/>
      <c r="AA93" s="178"/>
      <c r="AB93" s="178"/>
      <c r="AC93" s="178"/>
      <c r="AD93" s="178"/>
      <c r="AE93" s="178"/>
      <c r="AF93" s="178"/>
      <c r="AG93" s="178"/>
      <c r="AH93" s="178"/>
      <c r="AI93" s="178"/>
      <c r="AJ93" s="178"/>
    </row>
    <row r="94" spans="1:36" s="180" customFormat="1" ht="15" customHeight="1">
      <c r="A94" s="65"/>
      <c r="B94" s="583" t="s">
        <v>276</v>
      </c>
      <c r="C94" s="584"/>
      <c r="D94" s="585"/>
      <c r="F94" s="93"/>
      <c r="I94" s="122"/>
      <c r="J94" s="180" t="s">
        <v>78</v>
      </c>
      <c r="K94" s="48"/>
      <c r="R94" s="178"/>
      <c r="S94" s="178"/>
      <c r="T94" s="178"/>
      <c r="U94" s="178"/>
      <c r="V94" s="178"/>
      <c r="W94" s="178"/>
      <c r="X94" s="178"/>
      <c r="Y94" s="178"/>
      <c r="Z94" s="178"/>
      <c r="AA94" s="178"/>
      <c r="AB94" s="178"/>
      <c r="AC94" s="178"/>
      <c r="AD94" s="178"/>
      <c r="AE94" s="178"/>
      <c r="AF94" s="178"/>
      <c r="AG94" s="178"/>
      <c r="AH94" s="178"/>
      <c r="AI94" s="178"/>
      <c r="AJ94" s="178"/>
    </row>
    <row r="95" spans="1:36" s="180" customFormat="1" ht="12.75" customHeight="1">
      <c r="A95" s="65"/>
      <c r="B95" s="586"/>
      <c r="C95" s="587"/>
      <c r="D95" s="588"/>
      <c r="E95" s="93"/>
      <c r="F95" s="93"/>
      <c r="I95" s="122"/>
      <c r="K95" s="48"/>
      <c r="R95" s="178"/>
      <c r="S95" s="178"/>
      <c r="T95" s="178"/>
      <c r="U95" s="178"/>
      <c r="V95" s="178"/>
      <c r="W95" s="178"/>
      <c r="X95" s="178"/>
      <c r="Y95" s="178"/>
      <c r="Z95" s="178"/>
      <c r="AA95" s="178"/>
      <c r="AB95" s="178"/>
      <c r="AC95" s="178"/>
      <c r="AD95" s="178"/>
      <c r="AE95" s="178"/>
      <c r="AF95" s="178"/>
      <c r="AG95" s="178"/>
      <c r="AH95" s="178"/>
      <c r="AI95" s="178"/>
      <c r="AJ95" s="178"/>
    </row>
    <row r="96" spans="1:36" s="180" customFormat="1" ht="13.5" customHeight="1" thickBot="1">
      <c r="A96" s="65"/>
      <c r="B96" s="589"/>
      <c r="C96" s="590"/>
      <c r="D96" s="591"/>
      <c r="E96" s="93"/>
      <c r="F96" s="93"/>
      <c r="I96" s="122"/>
      <c r="K96" s="48"/>
      <c r="R96" s="178"/>
      <c r="S96" s="178"/>
      <c r="T96" s="178"/>
      <c r="U96" s="178"/>
      <c r="V96" s="178"/>
      <c r="W96" s="178"/>
      <c r="X96" s="178"/>
      <c r="Y96" s="178"/>
      <c r="Z96" s="178"/>
      <c r="AA96" s="178"/>
      <c r="AB96" s="178"/>
      <c r="AC96" s="178"/>
      <c r="AD96" s="178"/>
      <c r="AE96" s="178"/>
      <c r="AF96" s="178"/>
      <c r="AG96" s="178"/>
      <c r="AH96" s="178"/>
      <c r="AI96" s="178"/>
      <c r="AJ96" s="178"/>
    </row>
    <row r="97" spans="1:36" s="180" customFormat="1" ht="15" customHeight="1">
      <c r="A97" s="65"/>
      <c r="B97" s="92"/>
      <c r="C97" s="92"/>
      <c r="E97" s="93"/>
      <c r="F97" s="93"/>
      <c r="I97" s="122"/>
      <c r="K97" s="48"/>
      <c r="R97" s="178"/>
      <c r="S97" s="178"/>
      <c r="T97" s="178"/>
      <c r="U97" s="178"/>
      <c r="V97" s="178"/>
      <c r="W97" s="178"/>
      <c r="X97" s="178"/>
      <c r="Y97" s="178"/>
      <c r="Z97" s="178"/>
      <c r="AA97" s="178"/>
      <c r="AB97" s="178"/>
      <c r="AC97" s="178"/>
      <c r="AD97" s="178"/>
      <c r="AE97" s="178"/>
      <c r="AF97" s="178"/>
      <c r="AG97" s="178"/>
      <c r="AH97" s="178"/>
      <c r="AI97" s="178"/>
      <c r="AJ97" s="178"/>
    </row>
    <row r="98" spans="1:36" s="180" customFormat="1" ht="15" customHeight="1" thickBot="1">
      <c r="A98" s="65"/>
      <c r="B98" s="92"/>
      <c r="C98" s="92"/>
      <c r="E98" s="93"/>
      <c r="F98" s="93"/>
      <c r="I98" s="122"/>
      <c r="K98" s="48"/>
      <c r="R98" s="178"/>
      <c r="S98" s="178"/>
      <c r="T98" s="178"/>
      <c r="U98" s="178"/>
      <c r="V98" s="178"/>
      <c r="W98" s="178"/>
      <c r="X98" s="178"/>
      <c r="Y98" s="178"/>
      <c r="Z98" s="178"/>
      <c r="AA98" s="178"/>
      <c r="AB98" s="178"/>
      <c r="AC98" s="178"/>
      <c r="AD98" s="178"/>
      <c r="AE98" s="178"/>
      <c r="AF98" s="178"/>
      <c r="AG98" s="178"/>
      <c r="AH98" s="178"/>
      <c r="AI98" s="178"/>
      <c r="AJ98" s="178"/>
    </row>
    <row r="99" spans="1:36" s="79" customFormat="1" ht="32.25" customHeight="1" thickBot="1">
      <c r="A99" s="100">
        <v>1</v>
      </c>
      <c r="B99" s="562" t="s">
        <v>276</v>
      </c>
      <c r="C99" s="563"/>
      <c r="D99" s="563"/>
      <c r="E99" s="563"/>
      <c r="F99" s="563"/>
      <c r="G99" s="563"/>
      <c r="H99" s="563"/>
      <c r="I99" s="564"/>
      <c r="J99" s="26"/>
      <c r="K99" s="227"/>
      <c r="L99" s="184"/>
      <c r="M99" s="184"/>
      <c r="N99" s="184"/>
      <c r="O99" s="184"/>
      <c r="P99" s="180"/>
      <c r="Q99" s="180"/>
      <c r="R99" s="21"/>
      <c r="S99" s="21"/>
      <c r="T99" s="21"/>
      <c r="U99" s="21"/>
      <c r="V99" s="21"/>
      <c r="W99" s="21"/>
      <c r="X99" s="21"/>
      <c r="Y99" s="21"/>
      <c r="Z99" s="21"/>
      <c r="AA99" s="21"/>
      <c r="AB99" s="21"/>
      <c r="AC99" s="21"/>
      <c r="AD99" s="21"/>
      <c r="AE99" s="21"/>
      <c r="AF99" s="21"/>
      <c r="AG99" s="21"/>
      <c r="AH99" s="21"/>
      <c r="AI99" s="21"/>
      <c r="AJ99" s="21"/>
    </row>
    <row r="100" spans="1:36" s="180" customFormat="1" ht="48" customHeight="1" thickBot="1">
      <c r="A100" s="129"/>
      <c r="B100" s="552" t="s">
        <v>751</v>
      </c>
      <c r="C100" s="553"/>
      <c r="D100" s="553"/>
      <c r="E100" s="553"/>
      <c r="F100" s="553"/>
      <c r="G100" s="553"/>
      <c r="H100" s="553"/>
      <c r="I100" s="553"/>
      <c r="J100" s="123"/>
      <c r="K100" s="344" t="s">
        <v>25</v>
      </c>
      <c r="L100" s="349"/>
      <c r="M100" s="349"/>
      <c r="N100" s="349"/>
      <c r="O100" s="349"/>
      <c r="P100" s="349"/>
      <c r="Q100" s="349"/>
      <c r="R100" s="349"/>
      <c r="S100" s="349"/>
      <c r="T100" s="349"/>
      <c r="U100" s="349"/>
      <c r="V100" s="349"/>
      <c r="W100" s="349"/>
      <c r="X100" s="178"/>
      <c r="Y100" s="178"/>
      <c r="Z100" s="178"/>
      <c r="AA100" s="178"/>
      <c r="AB100" s="178"/>
      <c r="AC100" s="178"/>
      <c r="AD100" s="178"/>
      <c r="AE100" s="178"/>
      <c r="AF100" s="178"/>
      <c r="AG100" s="178"/>
      <c r="AH100" s="178"/>
      <c r="AI100" s="178"/>
      <c r="AJ100" s="178"/>
    </row>
    <row r="101" spans="1:36" s="180" customFormat="1" ht="15">
      <c r="A101" s="129"/>
      <c r="B101" s="84"/>
      <c r="C101" s="84"/>
      <c r="D101" s="84"/>
      <c r="E101" s="84"/>
      <c r="F101" s="84"/>
      <c r="G101" s="84"/>
      <c r="H101" s="84"/>
      <c r="I101" s="84"/>
      <c r="J101" s="184"/>
      <c r="K101" s="50" t="s">
        <v>80</v>
      </c>
      <c r="L101" s="50"/>
      <c r="M101" s="184"/>
      <c r="N101" s="184"/>
      <c r="O101" s="184"/>
      <c r="R101" s="178"/>
      <c r="S101" s="178"/>
      <c r="T101" s="178"/>
      <c r="U101" s="178"/>
      <c r="V101" s="178"/>
      <c r="W101" s="178"/>
      <c r="X101" s="178"/>
      <c r="Y101" s="178"/>
      <c r="Z101" s="178"/>
      <c r="AA101" s="178"/>
      <c r="AB101" s="178"/>
      <c r="AC101" s="178"/>
      <c r="AD101" s="178"/>
      <c r="AE101" s="178"/>
      <c r="AF101" s="178"/>
      <c r="AG101" s="178"/>
      <c r="AH101" s="178"/>
      <c r="AI101" s="178"/>
      <c r="AJ101" s="178"/>
    </row>
    <row r="102" spans="1:36" s="180" customFormat="1" ht="32.25" customHeight="1">
      <c r="A102" s="132" cm="1">
        <f t="array" ref="A102">SSATSLineNumbers(A102,0.01)</f>
        <v>1.01</v>
      </c>
      <c r="B102" s="248" t="s">
        <v>597</v>
      </c>
      <c r="C102" s="346"/>
      <c r="D102" s="346"/>
      <c r="E102" s="437"/>
      <c r="F102" s="346"/>
      <c r="G102" s="346"/>
      <c r="H102" s="346"/>
      <c r="I102" s="354" t="str">
        <f>IF(E102="","TBC",IF(E102="Passed","Pass","Fail"))</f>
        <v>TBC</v>
      </c>
      <c r="J102" s="345"/>
      <c r="K102" s="344" t="s">
        <v>598</v>
      </c>
      <c r="L102" s="348" t="s">
        <v>599</v>
      </c>
      <c r="M102" s="226" t="s">
        <v>600</v>
      </c>
      <c r="N102" s="348" t="s">
        <v>601</v>
      </c>
      <c r="O102" s="348">
        <v>80103</v>
      </c>
      <c r="P102" s="348" t="s">
        <v>602</v>
      </c>
      <c r="Q102" s="348">
        <v>4</v>
      </c>
      <c r="R102" s="348" t="s">
        <v>603</v>
      </c>
      <c r="S102" s="348" t="s">
        <v>604</v>
      </c>
      <c r="T102" s="347"/>
      <c r="U102" s="347"/>
      <c r="V102" s="347"/>
      <c r="W102" s="347"/>
      <c r="X102" s="178"/>
      <c r="Y102" s="178"/>
      <c r="Z102" s="178"/>
      <c r="AA102" s="178"/>
      <c r="AB102" s="178"/>
      <c r="AC102" s="178"/>
      <c r="AD102" s="178"/>
      <c r="AE102" s="178"/>
      <c r="AF102" s="178"/>
      <c r="AG102" s="178"/>
      <c r="AH102" s="178"/>
      <c r="AI102" s="178"/>
      <c r="AJ102" s="178"/>
    </row>
    <row r="103" spans="1:36" s="180" customFormat="1" ht="15.75" thickBot="1">
      <c r="A103" s="129"/>
      <c r="B103" s="84"/>
      <c r="C103" s="84"/>
      <c r="D103" s="84"/>
      <c r="E103" s="84"/>
      <c r="F103" s="84"/>
      <c r="G103" s="84"/>
      <c r="H103" s="84"/>
      <c r="I103" s="84"/>
      <c r="J103" s="184"/>
      <c r="K103" s="50"/>
      <c r="L103" s="50"/>
      <c r="M103" s="184"/>
      <c r="N103" s="184"/>
      <c r="O103" s="184"/>
      <c r="R103" s="178"/>
      <c r="S103" s="178"/>
      <c r="T103" s="178"/>
      <c r="U103" s="178"/>
      <c r="V103" s="178"/>
      <c r="W103" s="178"/>
      <c r="X103" s="178"/>
      <c r="Y103" s="178"/>
      <c r="Z103" s="178"/>
      <c r="AA103" s="178"/>
      <c r="AB103" s="178"/>
      <c r="AC103" s="178"/>
      <c r="AD103" s="178"/>
      <c r="AE103" s="178"/>
      <c r="AF103" s="178"/>
      <c r="AG103" s="178"/>
      <c r="AH103" s="178"/>
      <c r="AI103" s="178"/>
      <c r="AJ103" s="178"/>
    </row>
    <row r="104" spans="1:36" s="79" customFormat="1" ht="45.75" customHeight="1" thickBot="1">
      <c r="A104" s="95" t="s">
        <v>10</v>
      </c>
      <c r="B104" s="94" t="s">
        <v>11</v>
      </c>
      <c r="C104" s="94" t="s">
        <v>30</v>
      </c>
      <c r="D104" s="94" t="s">
        <v>31</v>
      </c>
      <c r="E104" s="94" t="s">
        <v>136</v>
      </c>
      <c r="F104" s="94" t="s">
        <v>12</v>
      </c>
      <c r="G104" s="94" t="s">
        <v>13</v>
      </c>
      <c r="H104" s="94" t="s">
        <v>14</v>
      </c>
      <c r="I104" s="94" t="s">
        <v>157</v>
      </c>
      <c r="J104" s="123"/>
      <c r="K104" s="227" t="str">
        <f>IF(I102&lt;&gt;"Pass","","DO_ALL")</f>
        <v/>
      </c>
      <c r="L104" s="184"/>
      <c r="M104" s="184"/>
      <c r="N104" s="184"/>
      <c r="O104" s="184"/>
      <c r="P104" s="180"/>
      <c r="Q104" s="180"/>
      <c r="R104" s="21"/>
      <c r="S104" s="21"/>
      <c r="T104" s="21"/>
      <c r="U104" s="21"/>
      <c r="V104" s="21"/>
      <c r="W104" s="21"/>
      <c r="X104" s="21"/>
      <c r="Y104" s="21"/>
      <c r="Z104" s="21"/>
      <c r="AA104" s="21"/>
      <c r="AB104" s="21"/>
      <c r="AC104" s="21"/>
      <c r="AD104" s="21"/>
      <c r="AE104" s="21"/>
      <c r="AF104" s="21"/>
      <c r="AG104" s="21"/>
      <c r="AH104" s="21"/>
      <c r="AI104" s="21"/>
      <c r="AJ104" s="21"/>
    </row>
    <row r="105" spans="1:36" s="79" customFormat="1" ht="15.75" thickBot="1">
      <c r="A105" s="129"/>
      <c r="B105" s="84"/>
      <c r="C105" s="84"/>
      <c r="D105" s="84"/>
      <c r="E105" s="84"/>
      <c r="F105" s="84"/>
      <c r="G105" s="84"/>
      <c r="H105" s="84"/>
      <c r="I105" s="84"/>
      <c r="J105" s="26"/>
      <c r="K105" s="50" t="s">
        <v>80</v>
      </c>
      <c r="L105" s="50"/>
      <c r="M105" s="184"/>
      <c r="N105" s="184"/>
      <c r="O105" s="184"/>
      <c r="P105" s="180"/>
      <c r="Q105" s="180"/>
      <c r="R105" s="178"/>
      <c r="S105" s="178"/>
      <c r="T105" s="178"/>
      <c r="U105" s="21"/>
      <c r="V105" s="21"/>
      <c r="W105" s="21"/>
      <c r="X105" s="21"/>
      <c r="Y105" s="21"/>
      <c r="Z105" s="21"/>
      <c r="AA105" s="21"/>
      <c r="AB105" s="21"/>
      <c r="AC105" s="21"/>
      <c r="AD105" s="21"/>
      <c r="AE105" s="21"/>
      <c r="AF105" s="21"/>
      <c r="AG105" s="21"/>
      <c r="AH105" s="21"/>
      <c r="AI105" s="21"/>
      <c r="AJ105" s="21"/>
    </row>
    <row r="106" spans="1:36" s="175" customFormat="1" ht="15.75" thickBot="1">
      <c r="A106" s="130"/>
      <c r="B106" s="343" t="s">
        <v>188</v>
      </c>
      <c r="C106" s="58"/>
      <c r="D106" s="58"/>
      <c r="E106" s="58"/>
      <c r="F106" s="58"/>
      <c r="G106" s="58"/>
      <c r="H106" s="58"/>
      <c r="I106" s="58"/>
      <c r="J106" s="342"/>
      <c r="K106" s="342" t="s">
        <v>77</v>
      </c>
      <c r="L106" s="342" t="s">
        <v>75</v>
      </c>
      <c r="M106" s="238" t="str">
        <f ca="1">INDEX(tblGoSubRoutineStartCell[StartCell],MATCH(B106,tblGoSubRoutineStartCell[GoSub Routine],0))</f>
        <v>K121</v>
      </c>
      <c r="N106" s="184"/>
      <c r="O106" s="184"/>
      <c r="P106" s="184"/>
      <c r="Q106" s="184"/>
    </row>
    <row r="107" spans="1:36" s="175" customFormat="1" ht="33" customHeight="1">
      <c r="A107" s="130"/>
      <c r="B107" s="440" t="s">
        <v>611</v>
      </c>
      <c r="C107" s="58"/>
      <c r="D107" s="360"/>
      <c r="E107" s="58"/>
      <c r="F107" s="58"/>
      <c r="G107" s="58"/>
      <c r="H107" s="58"/>
      <c r="I107" s="58"/>
      <c r="J107" s="359"/>
      <c r="K107" s="359" t="s">
        <v>82</v>
      </c>
      <c r="L107" s="359" t="str">
        <f>B107</f>
        <v>PLEASE ENSURE UUT IS ENABLED VIA THE FRONT PANNEL!</v>
      </c>
      <c r="M107" s="361"/>
      <c r="N107" s="184"/>
      <c r="O107" s="184"/>
      <c r="P107" s="184"/>
      <c r="Q107" s="184"/>
    </row>
    <row r="108" spans="1:36" s="175" customFormat="1" ht="16.5" customHeight="1">
      <c r="A108" s="132" cm="1">
        <f t="array" ref="A108">SSATSLineNumbers(A108,0.01)</f>
        <v>1.02</v>
      </c>
      <c r="B108" s="248" t="s">
        <v>607</v>
      </c>
      <c r="C108" s="84"/>
      <c r="D108" s="211"/>
      <c r="E108" s="394"/>
      <c r="F108" s="84"/>
      <c r="G108" s="84"/>
      <c r="H108" s="84"/>
      <c r="I108" s="84"/>
      <c r="J108" s="184"/>
      <c r="K108" s="302" t="s">
        <v>605</v>
      </c>
      <c r="L108" s="184" t="str">
        <f>B108</f>
        <v>Enter Ground DSP Firmware from GUI</v>
      </c>
      <c r="M108" s="184"/>
      <c r="N108" s="184"/>
      <c r="O108" s="184"/>
      <c r="P108" s="180"/>
      <c r="Q108" s="180"/>
      <c r="R108" s="178"/>
      <c r="S108" s="178"/>
      <c r="T108" s="178"/>
      <c r="U108" s="184"/>
    </row>
    <row r="109" spans="1:36" s="175" customFormat="1" ht="16.5" customHeight="1" thickBot="1">
      <c r="A109" s="132" cm="1">
        <f t="array" ref="A109">SSATSLineNumbers(A109,0.01)</f>
        <v>1.03</v>
      </c>
      <c r="B109" s="248" t="s">
        <v>608</v>
      </c>
      <c r="C109" s="84"/>
      <c r="D109" s="211"/>
      <c r="E109" s="394"/>
      <c r="F109" s="84"/>
      <c r="G109" s="84"/>
      <c r="H109" s="84"/>
      <c r="I109" s="84"/>
      <c r="J109" s="184"/>
      <c r="K109" s="344" t="s">
        <v>605</v>
      </c>
      <c r="L109" s="184" t="str">
        <f>B109</f>
        <v>Float DSP Firmware from GUI</v>
      </c>
      <c r="M109" s="184"/>
      <c r="N109" s="184"/>
      <c r="O109" s="184"/>
      <c r="P109" s="180"/>
      <c r="Q109" s="180"/>
      <c r="R109" s="178"/>
      <c r="S109" s="178"/>
      <c r="T109" s="178"/>
      <c r="U109" s="184"/>
    </row>
    <row r="110" spans="1:36" s="175" customFormat="1" ht="15.75" thickBot="1">
      <c r="A110" s="130"/>
      <c r="B110" s="255" t="s">
        <v>70</v>
      </c>
      <c r="C110" s="78"/>
      <c r="D110" s="58"/>
      <c r="E110" s="58"/>
      <c r="F110" s="58"/>
      <c r="G110" s="58"/>
      <c r="H110" s="58"/>
      <c r="I110" s="58"/>
      <c r="J110" s="184"/>
      <c r="K110" s="116" t="s">
        <v>27</v>
      </c>
      <c r="L110" s="116" t="s">
        <v>42</v>
      </c>
      <c r="M110" s="116" t="s">
        <v>129</v>
      </c>
      <c r="N110" s="116" t="str">
        <f ca="1">SUBSTITUTE(CELL("address",$K$105),"$","")</f>
        <v>K105</v>
      </c>
      <c r="O110" s="116" t="s">
        <v>130</v>
      </c>
      <c r="P110" s="228" t="s">
        <v>75</v>
      </c>
      <c r="Q110" s="185" t="str">
        <f ca="1">INDEX(tblGoSubRoutineStartCell[StartCell],MATCH(B110,tblGoSubRoutineStartCell[GoSub Routine],0))</f>
        <v>K56</v>
      </c>
    </row>
    <row r="111" spans="1:36" s="355" customFormat="1" ht="15.75" thickBot="1">
      <c r="A111" s="132" cm="1">
        <f t="array" ref="A111">SSATSLineNumbers(A111,0.01)</f>
        <v>1.04</v>
      </c>
      <c r="B111" s="248" t="s">
        <v>610</v>
      </c>
      <c r="C111" s="350"/>
      <c r="D111" s="351"/>
      <c r="E111" s="394"/>
      <c r="F111" s="352"/>
      <c r="G111" s="352"/>
      <c r="H111" s="353" t="s">
        <v>606</v>
      </c>
      <c r="I111" s="59" t="str">
        <f>IF(E111 ="","TBC", IF(E111="Y","Pass","Fail"))</f>
        <v>TBC</v>
      </c>
      <c r="K111" s="344" t="s">
        <v>27</v>
      </c>
      <c r="L111" s="89" t="s">
        <v>42</v>
      </c>
      <c r="M111" s="344" t="s">
        <v>332</v>
      </c>
      <c r="N111" s="184" t="s">
        <v>333</v>
      </c>
      <c r="O111" s="184" t="s">
        <v>609</v>
      </c>
      <c r="P111" s="184" t="s">
        <v>334</v>
      </c>
      <c r="Q111" s="184" t="str">
        <f>B111</f>
        <v>Are both Fans on Unit under Test drawing in Air ?</v>
      </c>
    </row>
    <row r="112" spans="1:36" s="175" customFormat="1" ht="15.75" thickBot="1">
      <c r="A112" s="130"/>
      <c r="B112" s="255" t="s">
        <v>70</v>
      </c>
      <c r="C112" s="78"/>
      <c r="D112" s="58"/>
      <c r="E112" s="58"/>
      <c r="F112" s="58"/>
      <c r="G112" s="58"/>
      <c r="H112" s="58"/>
      <c r="I112" s="58"/>
      <c r="J112" s="184"/>
      <c r="K112" s="116" t="s">
        <v>27</v>
      </c>
      <c r="L112" s="116" t="s">
        <v>42</v>
      </c>
      <c r="M112" s="116" t="s">
        <v>129</v>
      </c>
      <c r="N112" s="116" t="str">
        <f ca="1">SUBSTITUTE(CELL("address",$K$105),"$","")</f>
        <v>K105</v>
      </c>
      <c r="O112" s="116" t="s">
        <v>130</v>
      </c>
      <c r="P112" s="228" t="s">
        <v>75</v>
      </c>
      <c r="Q112" s="185" t="str">
        <f ca="1">INDEX(tblGoSubRoutineStartCell[StartCell],MATCH(B112,tblGoSubRoutineStartCell[GoSub Routine],0))</f>
        <v>K56</v>
      </c>
    </row>
    <row r="113" spans="1:36" s="355" customFormat="1" ht="15.75" thickBot="1">
      <c r="A113" s="132" cm="1">
        <f t="array" ref="A113">SSATSLineNumbers(A113,0.01)</f>
        <v>1.05</v>
      </c>
      <c r="B113" s="248" t="s">
        <v>612</v>
      </c>
      <c r="C113" s="350"/>
      <c r="D113" s="351"/>
      <c r="E113" s="394"/>
      <c r="F113" s="352"/>
      <c r="G113" s="352"/>
      <c r="H113" s="353" t="s">
        <v>606</v>
      </c>
      <c r="I113" s="59" t="str">
        <f>IF(E113 ="","TBC", IF(E113="Y","Pass","Fail"))</f>
        <v>TBC</v>
      </c>
      <c r="K113" s="359" t="s">
        <v>27</v>
      </c>
      <c r="L113" s="89" t="s">
        <v>42</v>
      </c>
      <c r="M113" s="359" t="s">
        <v>332</v>
      </c>
      <c r="N113" s="184" t="s">
        <v>333</v>
      </c>
      <c r="O113" s="184" t="s">
        <v>613</v>
      </c>
      <c r="P113" s="184" t="s">
        <v>334</v>
      </c>
      <c r="Q113" s="184" t="str">
        <f>B113</f>
        <v>Is the green power LED on?</v>
      </c>
    </row>
    <row r="114" spans="1:36" s="175" customFormat="1" ht="15.75" thickBot="1">
      <c r="A114" s="130"/>
      <c r="B114" s="255" t="s">
        <v>70</v>
      </c>
      <c r="C114" s="78"/>
      <c r="D114" s="58"/>
      <c r="E114" s="58"/>
      <c r="F114" s="58"/>
      <c r="G114" s="58"/>
      <c r="H114" s="58"/>
      <c r="I114" s="58"/>
      <c r="J114" s="184"/>
      <c r="K114" s="116" t="s">
        <v>27</v>
      </c>
      <c r="L114" s="116" t="s">
        <v>42</v>
      </c>
      <c r="M114" s="116" t="s">
        <v>129</v>
      </c>
      <c r="N114" s="116" t="str">
        <f ca="1">SUBSTITUTE(CELL("address",$K$105),"$","")</f>
        <v>K105</v>
      </c>
      <c r="O114" s="116" t="s">
        <v>130</v>
      </c>
      <c r="P114" s="228" t="s">
        <v>75</v>
      </c>
      <c r="Q114" s="185" t="str">
        <f ca="1">INDEX(tblGoSubRoutineStartCell[StartCell],MATCH(B114,tblGoSubRoutineStartCell[GoSub Routine],0))</f>
        <v>K56</v>
      </c>
    </row>
    <row r="115" spans="1:36" s="355" customFormat="1" ht="15.75" thickBot="1">
      <c r="A115" s="132" cm="1">
        <f t="array" ref="A115">SSATSLineNumbers(A115,0.01)</f>
        <v>1.06</v>
      </c>
      <c r="B115" s="248" t="s">
        <v>618</v>
      </c>
      <c r="C115" s="350"/>
      <c r="D115" s="351"/>
      <c r="E115" s="394"/>
      <c r="F115" s="352"/>
      <c r="G115" s="352"/>
      <c r="H115" s="353" t="s">
        <v>606</v>
      </c>
      <c r="I115" s="59" t="str">
        <f>IF(E115 ="","TBC", IF(E115="Y","Pass","Fail"))</f>
        <v>TBC</v>
      </c>
      <c r="K115" s="362" t="s">
        <v>27</v>
      </c>
      <c r="L115" s="89" t="s">
        <v>42</v>
      </c>
      <c r="M115" s="362" t="s">
        <v>332</v>
      </c>
      <c r="N115" s="184" t="s">
        <v>333</v>
      </c>
      <c r="O115" s="184" t="s">
        <v>619</v>
      </c>
      <c r="P115" s="184" t="s">
        <v>334</v>
      </c>
      <c r="Q115" s="184" t="str">
        <f>B115</f>
        <v>Is the activity light flashing?</v>
      </c>
    </row>
    <row r="116" spans="1:36" s="175" customFormat="1" ht="15.75" thickBot="1">
      <c r="A116" s="130"/>
      <c r="B116" s="255" t="s">
        <v>70</v>
      </c>
      <c r="C116" s="78"/>
      <c r="D116" s="58"/>
      <c r="E116" s="58"/>
      <c r="F116" s="58"/>
      <c r="G116" s="58"/>
      <c r="H116" s="58"/>
      <c r="I116" s="58"/>
      <c r="J116" s="184"/>
      <c r="K116" s="116" t="s">
        <v>27</v>
      </c>
      <c r="L116" s="116" t="s">
        <v>42</v>
      </c>
      <c r="M116" s="116" t="s">
        <v>129</v>
      </c>
      <c r="N116" s="116" t="str">
        <f ca="1">SUBSTITUTE(CELL("address",$K$105),"$","")</f>
        <v>K105</v>
      </c>
      <c r="O116" s="116" t="s">
        <v>130</v>
      </c>
      <c r="P116" s="228" t="s">
        <v>75</v>
      </c>
      <c r="Q116" s="185" t="str">
        <f ca="1">INDEX(tblGoSubRoutineStartCell[StartCell],MATCH(B116,tblGoSubRoutineStartCell[GoSub Routine],0))</f>
        <v>K56</v>
      </c>
    </row>
    <row r="117" spans="1:36" s="355" customFormat="1" ht="15">
      <c r="A117" s="132" cm="1">
        <f t="array" ref="A117">SSATSLineNumbers(A117,0.01)</f>
        <v>1.07</v>
      </c>
      <c r="B117" s="248" t="s">
        <v>614</v>
      </c>
      <c r="C117" s="350"/>
      <c r="D117" s="351"/>
      <c r="E117" s="394"/>
      <c r="F117" s="352"/>
      <c r="G117" s="352"/>
      <c r="H117" s="353" t="s">
        <v>606</v>
      </c>
      <c r="I117" s="59" t="str">
        <f>IF(E117 ="","TBC", IF(E117="Y","Pass","Fail"))</f>
        <v>TBC</v>
      </c>
      <c r="K117" s="362" t="s">
        <v>27</v>
      </c>
      <c r="L117" s="89" t="s">
        <v>42</v>
      </c>
      <c r="M117" s="362" t="s">
        <v>332</v>
      </c>
      <c r="N117" s="184" t="s">
        <v>333</v>
      </c>
      <c r="O117" s="184" t="s">
        <v>616</v>
      </c>
      <c r="P117" s="184" t="s">
        <v>334</v>
      </c>
      <c r="Q117" s="184" t="str">
        <f>B117</f>
        <v>Is the INT/LK OK light illuminated?</v>
      </c>
    </row>
    <row r="118" spans="1:36" s="175" customFormat="1" ht="15">
      <c r="A118" s="130"/>
      <c r="B118" s="240" t="s">
        <v>329</v>
      </c>
      <c r="C118" s="78">
        <v>3</v>
      </c>
      <c r="D118" s="58"/>
      <c r="E118" s="58"/>
      <c r="F118" s="58"/>
      <c r="G118" s="58"/>
      <c r="H118" s="58"/>
      <c r="I118" s="58"/>
      <c r="J118" s="184"/>
      <c r="K118" s="241" t="str">
        <f>_xlfn.CONCAT("734|GND|REG1|DEC(",C118,")")</f>
        <v>734|GND|REG1|DEC(3)</v>
      </c>
      <c r="L118" s="362"/>
      <c r="M118" s="362"/>
      <c r="N118" s="362"/>
      <c r="O118" s="241"/>
      <c r="P118" s="241"/>
      <c r="Q118" s="184"/>
    </row>
    <row r="119" spans="1:36" s="355" customFormat="1" ht="15">
      <c r="A119" s="132" cm="1">
        <f t="array" ref="A119">SSATSLineNumbers(A119,0.01)</f>
        <v>1.08</v>
      </c>
      <c r="B119" s="248" t="s">
        <v>615</v>
      </c>
      <c r="C119" s="350"/>
      <c r="D119" s="351"/>
      <c r="E119" s="394"/>
      <c r="F119" s="352"/>
      <c r="G119" s="352"/>
      <c r="H119" s="353" t="s">
        <v>606</v>
      </c>
      <c r="I119" s="59" t="str">
        <f>IF(E119 ="","TBC", IF(E119="Y","Pass","Fail"))</f>
        <v>TBC</v>
      </c>
      <c r="K119" s="362" t="s">
        <v>27</v>
      </c>
      <c r="L119" s="89" t="s">
        <v>42</v>
      </c>
      <c r="M119" s="362" t="s">
        <v>332</v>
      </c>
      <c r="N119" s="184" t="s">
        <v>333</v>
      </c>
      <c r="O119" s="184" t="s">
        <v>617</v>
      </c>
      <c r="P119" s="184" t="s">
        <v>334</v>
      </c>
      <c r="Q119" s="184" t="str">
        <f>B119</f>
        <v>Is the HV ENABLE LED illuminated?</v>
      </c>
    </row>
    <row r="120" spans="1:36" s="175" customFormat="1" ht="15.75" thickBot="1">
      <c r="A120" s="130"/>
      <c r="B120" s="240" t="s">
        <v>331</v>
      </c>
      <c r="C120" s="78">
        <v>2</v>
      </c>
      <c r="D120" s="58"/>
      <c r="E120" s="58"/>
      <c r="F120" s="58"/>
      <c r="G120" s="58"/>
      <c r="H120" s="58"/>
      <c r="I120" s="58"/>
      <c r="J120" s="184"/>
      <c r="K120" s="241" t="str">
        <f>_xlfn.CONCAT("734|GND|REG1|DEC(",C120,")")</f>
        <v>734|GND|REG1|DEC(2)</v>
      </c>
      <c r="L120" s="362"/>
      <c r="M120" s="362"/>
      <c r="N120" s="362"/>
      <c r="O120" s="241"/>
      <c r="P120" s="241"/>
      <c r="Q120" s="184"/>
    </row>
    <row r="121" spans="1:36" s="175" customFormat="1" ht="15.75" thickBot="1">
      <c r="A121" s="130"/>
      <c r="B121" s="255" t="s">
        <v>70</v>
      </c>
      <c r="C121" s="78"/>
      <c r="D121" s="58"/>
      <c r="E121" s="58"/>
      <c r="F121" s="58"/>
      <c r="G121" s="58"/>
      <c r="H121" s="58"/>
      <c r="I121" s="58"/>
      <c r="J121" s="184"/>
      <c r="K121" s="116" t="s">
        <v>27</v>
      </c>
      <c r="L121" s="116" t="s">
        <v>42</v>
      </c>
      <c r="M121" s="116" t="s">
        <v>129</v>
      </c>
      <c r="N121" s="116" t="str">
        <f ca="1">SUBSTITUTE(CELL("address",$K$105),"$","")</f>
        <v>K105</v>
      </c>
      <c r="O121" s="116" t="s">
        <v>130</v>
      </c>
      <c r="P121" s="228" t="s">
        <v>75</v>
      </c>
      <c r="Q121" s="185" t="str">
        <f ca="1">INDEX(tblGoSubRoutineStartCell[StartCell],MATCH(B121,tblGoSubRoutineStartCell[GoSub Routine],0))</f>
        <v>K56</v>
      </c>
    </row>
    <row r="122" spans="1:36" s="180" customFormat="1" ht="15.75" thickBot="1">
      <c r="A122" s="129"/>
      <c r="B122" s="84"/>
      <c r="C122" s="84"/>
      <c r="D122" s="84"/>
      <c r="E122" s="84"/>
      <c r="F122" s="84"/>
      <c r="G122" s="84"/>
      <c r="H122" s="84"/>
      <c r="I122" s="84"/>
      <c r="J122" s="184"/>
      <c r="K122" s="50" t="s">
        <v>80</v>
      </c>
      <c r="L122" s="50"/>
      <c r="M122" s="184"/>
      <c r="N122" s="184"/>
      <c r="O122" s="184"/>
      <c r="R122" s="178"/>
      <c r="S122" s="178"/>
      <c r="T122" s="178"/>
      <c r="U122" s="178"/>
      <c r="V122" s="178"/>
      <c r="W122" s="178"/>
      <c r="X122" s="178"/>
      <c r="Y122" s="178"/>
      <c r="Z122" s="178"/>
      <c r="AA122" s="178"/>
      <c r="AB122" s="178"/>
      <c r="AC122" s="178"/>
      <c r="AD122" s="178"/>
      <c r="AE122" s="178"/>
      <c r="AF122" s="178"/>
      <c r="AG122" s="178"/>
      <c r="AH122" s="178"/>
      <c r="AI122" s="178"/>
      <c r="AJ122" s="178"/>
    </row>
    <row r="123" spans="1:36" s="175" customFormat="1" ht="20.25" customHeight="1" thickBot="1">
      <c r="A123" s="100"/>
      <c r="B123" s="364"/>
      <c r="C123" s="365"/>
      <c r="D123" s="366" t="s">
        <v>620</v>
      </c>
      <c r="E123" s="365"/>
      <c r="F123" s="365"/>
      <c r="G123" s="365"/>
      <c r="H123" s="365"/>
      <c r="I123" s="367"/>
      <c r="J123" s="184"/>
      <c r="K123" s="89" t="s">
        <v>80</v>
      </c>
      <c r="L123" s="184"/>
      <c r="M123" s="184"/>
      <c r="N123" s="184"/>
      <c r="O123" s="184"/>
      <c r="P123" s="184"/>
      <c r="Q123" s="184"/>
    </row>
    <row r="124" spans="1:36" s="180" customFormat="1" ht="15">
      <c r="A124" s="129"/>
      <c r="B124" s="84"/>
      <c r="C124" s="84"/>
      <c r="D124" s="84"/>
      <c r="E124" s="84"/>
      <c r="F124" s="84"/>
      <c r="G124" s="84"/>
      <c r="H124" s="84"/>
      <c r="I124" s="84"/>
      <c r="J124" s="184"/>
      <c r="K124" s="362" t="s">
        <v>80</v>
      </c>
      <c r="L124" s="184"/>
      <c r="M124" s="184"/>
      <c r="N124" s="184"/>
      <c r="O124" s="184"/>
      <c r="R124" s="178"/>
      <c r="S124" s="178"/>
      <c r="T124" s="178"/>
      <c r="U124" s="178"/>
      <c r="V124" s="178"/>
      <c r="W124" s="178"/>
      <c r="X124" s="178"/>
      <c r="Y124" s="178"/>
      <c r="Z124" s="178"/>
      <c r="AA124" s="178"/>
      <c r="AB124" s="178"/>
      <c r="AC124" s="178"/>
      <c r="AD124" s="178"/>
      <c r="AE124" s="178"/>
      <c r="AF124" s="178"/>
      <c r="AG124" s="178"/>
      <c r="AH124" s="178"/>
      <c r="AI124" s="178"/>
      <c r="AJ124" s="178"/>
    </row>
    <row r="125" spans="1:36" s="355" customFormat="1" ht="15">
      <c r="A125" s="129"/>
      <c r="B125" s="84"/>
      <c r="C125" s="84"/>
      <c r="D125" s="84"/>
      <c r="E125" s="370" t="s">
        <v>522</v>
      </c>
      <c r="F125" s="84"/>
      <c r="G125" s="84"/>
      <c r="H125" s="84"/>
      <c r="I125" s="84"/>
      <c r="K125" s="363" t="s">
        <v>635</v>
      </c>
      <c r="L125" s="184"/>
    </row>
    <row r="126" spans="1:36" s="175" customFormat="1" ht="15">
      <c r="A126" s="130"/>
      <c r="B126" s="440" t="s">
        <v>678</v>
      </c>
      <c r="C126" s="78">
        <v>5000</v>
      </c>
      <c r="D126" s="58"/>
      <c r="E126" s="58"/>
      <c r="F126" s="58"/>
      <c r="G126" s="58"/>
      <c r="H126" s="58"/>
      <c r="I126" s="58"/>
      <c r="J126" s="184"/>
      <c r="K126" s="363" t="s">
        <v>27</v>
      </c>
      <c r="L126" s="363" t="s">
        <v>42</v>
      </c>
      <c r="M126" s="216" t="s">
        <v>60</v>
      </c>
      <c r="N126" s="247" t="str">
        <f>B126</f>
        <v>Initializing</v>
      </c>
      <c r="O126" s="210">
        <f>C126</f>
        <v>5000</v>
      </c>
      <c r="P126" s="184"/>
      <c r="Q126" s="184"/>
    </row>
    <row r="127" spans="1:36" s="355" customFormat="1" ht="15">
      <c r="A127" s="132" cm="1">
        <f t="array" ref="A127">SSATSLineNumbers(A127,0.01)</f>
        <v>1.0900000000000001</v>
      </c>
      <c r="B127" s="248" t="s">
        <v>633</v>
      </c>
      <c r="C127" s="356"/>
      <c r="D127" s="357"/>
      <c r="E127" s="437"/>
      <c r="F127" s="358">
        <v>10</v>
      </c>
      <c r="G127" s="358">
        <v>50</v>
      </c>
      <c r="H127" s="353" t="s">
        <v>656</v>
      </c>
      <c r="I127" s="59" t="str">
        <f t="shared" ref="I127:I138" si="0">IF(E127 ="","TBC", IF(AND(E127&gt;=F127,E127&lt;=G127 ),"Pass","Fail"))</f>
        <v>TBC</v>
      </c>
      <c r="K127" s="362" t="s">
        <v>635</v>
      </c>
      <c r="L127" s="184"/>
    </row>
    <row r="128" spans="1:36" s="355" customFormat="1" ht="15">
      <c r="A128" s="132" cm="1">
        <f t="array" ref="A128">SSATSLineNumbers(A128,0.01)</f>
        <v>1.1000000000000001</v>
      </c>
      <c r="B128" s="248" t="s">
        <v>638</v>
      </c>
      <c r="C128" s="356"/>
      <c r="D128" s="357"/>
      <c r="E128" s="437"/>
      <c r="F128" s="358">
        <v>10</v>
      </c>
      <c r="G128" s="358">
        <v>50</v>
      </c>
      <c r="H128" s="353" t="s">
        <v>656</v>
      </c>
      <c r="I128" s="59" t="str">
        <f t="shared" si="0"/>
        <v>TBC</v>
      </c>
      <c r="K128" s="362" t="s">
        <v>636</v>
      </c>
      <c r="L128" s="184"/>
    </row>
    <row r="129" spans="1:12" s="355" customFormat="1" ht="15">
      <c r="A129" s="132" cm="1">
        <f t="array" ref="A129">SSATSLineNumbers(A129,0.01)</f>
        <v>1.1100000000000001</v>
      </c>
      <c r="B129" s="248" t="s">
        <v>639</v>
      </c>
      <c r="C129" s="356"/>
      <c r="D129" s="357"/>
      <c r="E129" s="437"/>
      <c r="F129" s="358">
        <v>10</v>
      </c>
      <c r="G129" s="358">
        <v>50</v>
      </c>
      <c r="H129" s="353" t="s">
        <v>656</v>
      </c>
      <c r="I129" s="59" t="str">
        <f t="shared" si="0"/>
        <v>TBC</v>
      </c>
      <c r="K129" s="362" t="s">
        <v>637</v>
      </c>
      <c r="L129" s="184"/>
    </row>
    <row r="130" spans="1:12" s="355" customFormat="1" ht="15">
      <c r="A130" s="132" cm="1">
        <f t="array" ref="A130">SSATSLineNumbers(A130,0.01)</f>
        <v>1.1200000000000001</v>
      </c>
      <c r="B130" s="248" t="s">
        <v>634</v>
      </c>
      <c r="C130" s="356"/>
      <c r="D130" s="357"/>
      <c r="E130" s="437"/>
      <c r="F130" s="358">
        <v>10</v>
      </c>
      <c r="G130" s="358">
        <v>50</v>
      </c>
      <c r="H130" s="353" t="s">
        <v>656</v>
      </c>
      <c r="I130" s="59" t="str">
        <f t="shared" si="0"/>
        <v>TBC</v>
      </c>
      <c r="K130" s="362" t="s">
        <v>640</v>
      </c>
      <c r="L130" s="184"/>
    </row>
    <row r="131" spans="1:12" s="355" customFormat="1" ht="15">
      <c r="A131" s="132" cm="1">
        <f t="array" ref="A131">SSATSLineNumbers(A131,0.01)</f>
        <v>1.1299999999999999</v>
      </c>
      <c r="B131" s="248" t="s">
        <v>641</v>
      </c>
      <c r="C131" s="356"/>
      <c r="D131" s="357"/>
      <c r="E131" s="437"/>
      <c r="F131" s="358">
        <v>10</v>
      </c>
      <c r="G131" s="358">
        <v>50</v>
      </c>
      <c r="H131" s="353" t="s">
        <v>656</v>
      </c>
      <c r="I131" s="59" t="str">
        <f t="shared" si="0"/>
        <v>TBC</v>
      </c>
      <c r="K131" s="362" t="s">
        <v>643</v>
      </c>
      <c r="L131" s="184"/>
    </row>
    <row r="132" spans="1:12" s="355" customFormat="1" ht="15">
      <c r="A132" s="132" cm="1">
        <f t="array" ref="A132">SSATSLineNumbers(A132,0.01)</f>
        <v>1.1399999999999999</v>
      </c>
      <c r="B132" s="248" t="s">
        <v>642</v>
      </c>
      <c r="C132" s="356"/>
      <c r="D132" s="357"/>
      <c r="E132" s="437"/>
      <c r="F132" s="358">
        <v>10</v>
      </c>
      <c r="G132" s="358">
        <v>50</v>
      </c>
      <c r="H132" s="353" t="s">
        <v>656</v>
      </c>
      <c r="I132" s="59" t="str">
        <f t="shared" si="0"/>
        <v>TBC</v>
      </c>
      <c r="K132" s="362" t="s">
        <v>644</v>
      </c>
      <c r="L132" s="184"/>
    </row>
    <row r="133" spans="1:12" s="355" customFormat="1" ht="15">
      <c r="A133" s="132" cm="1">
        <f t="array" ref="A133">SSATSLineNumbers(A133,0.01)</f>
        <v>1.1499999999999999</v>
      </c>
      <c r="B133" s="248" t="s">
        <v>645</v>
      </c>
      <c r="C133" s="356"/>
      <c r="D133" s="357"/>
      <c r="E133" s="437"/>
      <c r="F133" s="358">
        <v>10</v>
      </c>
      <c r="G133" s="358">
        <v>50</v>
      </c>
      <c r="H133" s="353" t="s">
        <v>656</v>
      </c>
      <c r="I133" s="59" t="str">
        <f t="shared" si="0"/>
        <v>TBC</v>
      </c>
      <c r="K133" s="362" t="s">
        <v>647</v>
      </c>
      <c r="L133" s="184"/>
    </row>
    <row r="134" spans="1:12" s="355" customFormat="1" ht="15">
      <c r="A134" s="132" cm="1">
        <f t="array" ref="A134">SSATSLineNumbers(A134,0.01)</f>
        <v>1.1599999999999999</v>
      </c>
      <c r="B134" s="248" t="s">
        <v>646</v>
      </c>
      <c r="C134" s="356"/>
      <c r="D134" s="357"/>
      <c r="E134" s="437"/>
      <c r="F134" s="358">
        <v>10</v>
      </c>
      <c r="G134" s="358">
        <v>50</v>
      </c>
      <c r="H134" s="353" t="s">
        <v>656</v>
      </c>
      <c r="I134" s="59" t="str">
        <f t="shared" si="0"/>
        <v>TBC</v>
      </c>
      <c r="K134" s="362" t="s">
        <v>648</v>
      </c>
      <c r="L134" s="184"/>
    </row>
    <row r="135" spans="1:12" s="355" customFormat="1" ht="15">
      <c r="A135" s="132" cm="1">
        <f t="array" ref="A135">SSATSLineNumbers(A135,0.01)</f>
        <v>1.17</v>
      </c>
      <c r="B135" s="248" t="s">
        <v>649</v>
      </c>
      <c r="C135" s="356"/>
      <c r="D135" s="357"/>
      <c r="E135" s="437"/>
      <c r="F135" s="358">
        <v>10</v>
      </c>
      <c r="G135" s="358">
        <v>50</v>
      </c>
      <c r="H135" s="353" t="s">
        <v>656</v>
      </c>
      <c r="I135" s="59" t="str">
        <f t="shared" si="0"/>
        <v>TBC</v>
      </c>
      <c r="K135" s="362" t="s">
        <v>652</v>
      </c>
      <c r="L135" s="184"/>
    </row>
    <row r="136" spans="1:12" s="355" customFormat="1" ht="15">
      <c r="A136" s="132" cm="1">
        <f t="array" ref="A136">SSATSLineNumbers(A136,0.01)</f>
        <v>1.18</v>
      </c>
      <c r="B136" s="248" t="s">
        <v>650</v>
      </c>
      <c r="C136" s="356"/>
      <c r="D136" s="357"/>
      <c r="E136" s="437"/>
      <c r="F136" s="358">
        <v>10</v>
      </c>
      <c r="G136" s="358">
        <v>50</v>
      </c>
      <c r="H136" s="353" t="s">
        <v>656</v>
      </c>
      <c r="I136" s="59" t="str">
        <f t="shared" si="0"/>
        <v>TBC</v>
      </c>
      <c r="K136" s="362" t="s">
        <v>653</v>
      </c>
      <c r="L136" s="184"/>
    </row>
    <row r="137" spans="1:12" s="355" customFormat="1" ht="15">
      <c r="A137" s="132" cm="1">
        <f t="array" ref="A137">SSATSLineNumbers(A137,0.01)</f>
        <v>1.19</v>
      </c>
      <c r="B137" s="248" t="s">
        <v>651</v>
      </c>
      <c r="C137" s="356"/>
      <c r="D137" s="357"/>
      <c r="E137" s="437"/>
      <c r="F137" s="358">
        <v>10</v>
      </c>
      <c r="G137" s="358">
        <v>50</v>
      </c>
      <c r="H137" s="353" t="s">
        <v>656</v>
      </c>
      <c r="I137" s="59" t="str">
        <f t="shared" si="0"/>
        <v>TBC</v>
      </c>
      <c r="K137" s="362" t="s">
        <v>654</v>
      </c>
      <c r="L137" s="184"/>
    </row>
    <row r="138" spans="1:12" s="355" customFormat="1" ht="15">
      <c r="A138" s="132" cm="1">
        <f t="array" ref="A138">SSATSLineNumbers(A138,0.01)</f>
        <v>1.2</v>
      </c>
      <c r="B138" s="248" t="s">
        <v>530</v>
      </c>
      <c r="C138" s="356"/>
      <c r="D138" s="357"/>
      <c r="E138" s="437"/>
      <c r="F138" s="358">
        <v>10</v>
      </c>
      <c r="G138" s="358">
        <v>50</v>
      </c>
      <c r="H138" s="353" t="s">
        <v>656</v>
      </c>
      <c r="I138" s="59" t="str">
        <f t="shared" si="0"/>
        <v>TBC</v>
      </c>
      <c r="K138" s="362" t="s">
        <v>655</v>
      </c>
      <c r="L138" s="184"/>
    </row>
    <row r="139" spans="1:12" s="355" customFormat="1" ht="15">
      <c r="A139" s="132" cm="1">
        <f t="array" ref="A139">SSATSLineNumbers(A139,0.01)</f>
        <v>1.21</v>
      </c>
      <c r="B139" s="248" t="s">
        <v>622</v>
      </c>
      <c r="C139" s="356"/>
      <c r="D139" s="357"/>
      <c r="E139" s="437"/>
      <c r="F139" s="358">
        <v>10</v>
      </c>
      <c r="G139" s="358">
        <v>50</v>
      </c>
      <c r="H139" s="353" t="s">
        <v>656</v>
      </c>
      <c r="I139" s="59" t="str">
        <f t="shared" ref="I139:I144" si="1">IF(E139 ="","TBC", IF(AND(E139&gt;=F139,E139&lt;=G139 ),"Pass","Fail"))</f>
        <v>TBC</v>
      </c>
      <c r="K139" s="362" t="s">
        <v>621</v>
      </c>
      <c r="L139" s="184"/>
    </row>
    <row r="140" spans="1:12" s="355" customFormat="1" ht="15">
      <c r="A140" s="132" cm="1">
        <f t="array" ref="A140">SSATSLineNumbers(A140,0.01)</f>
        <v>1.22</v>
      </c>
      <c r="B140" s="248" t="s">
        <v>623</v>
      </c>
      <c r="C140" s="356"/>
      <c r="D140" s="357"/>
      <c r="E140" s="437"/>
      <c r="F140" s="358">
        <v>10</v>
      </c>
      <c r="G140" s="358">
        <v>50</v>
      </c>
      <c r="H140" s="353" t="s">
        <v>656</v>
      </c>
      <c r="I140" s="59" t="str">
        <f t="shared" si="1"/>
        <v>TBC</v>
      </c>
      <c r="K140" s="362" t="s">
        <v>624</v>
      </c>
      <c r="L140" s="184"/>
    </row>
    <row r="141" spans="1:12" s="355" customFormat="1" ht="15">
      <c r="A141" s="132" cm="1">
        <f t="array" ref="A141">SSATSLineNumbers(A141,0.01)</f>
        <v>1.23</v>
      </c>
      <c r="B141" s="248" t="s">
        <v>625</v>
      </c>
      <c r="C141" s="356"/>
      <c r="D141" s="357"/>
      <c r="E141" s="437"/>
      <c r="F141" s="358">
        <v>10</v>
      </c>
      <c r="G141" s="358">
        <v>50</v>
      </c>
      <c r="H141" s="353" t="s">
        <v>656</v>
      </c>
      <c r="I141" s="59" t="str">
        <f t="shared" si="1"/>
        <v>TBC</v>
      </c>
      <c r="K141" s="362" t="s">
        <v>626</v>
      </c>
      <c r="L141" s="184"/>
    </row>
    <row r="142" spans="1:12" s="355" customFormat="1" ht="15">
      <c r="A142" s="132" cm="1">
        <f t="array" ref="A142">SSATSLineNumbers(A142,0.01)</f>
        <v>1.24</v>
      </c>
      <c r="B142" s="248" t="s">
        <v>627</v>
      </c>
      <c r="C142" s="356"/>
      <c r="D142" s="357"/>
      <c r="E142" s="437"/>
      <c r="F142" s="358">
        <v>10</v>
      </c>
      <c r="G142" s="358">
        <v>50</v>
      </c>
      <c r="H142" s="353" t="s">
        <v>656</v>
      </c>
      <c r="I142" s="59" t="str">
        <f t="shared" si="1"/>
        <v>TBC</v>
      </c>
      <c r="K142" s="362" t="s">
        <v>630</v>
      </c>
      <c r="L142" s="184"/>
    </row>
    <row r="143" spans="1:12" s="355" customFormat="1" ht="15">
      <c r="A143" s="132" cm="1">
        <f t="array" ref="A143">SSATSLineNumbers(A143,0.01)</f>
        <v>1.25</v>
      </c>
      <c r="B143" s="248" t="s">
        <v>628</v>
      </c>
      <c r="C143" s="356"/>
      <c r="D143" s="357"/>
      <c r="E143" s="437"/>
      <c r="F143" s="358">
        <v>10</v>
      </c>
      <c r="G143" s="358">
        <v>50</v>
      </c>
      <c r="H143" s="353" t="s">
        <v>656</v>
      </c>
      <c r="I143" s="59" t="str">
        <f t="shared" si="1"/>
        <v>TBC</v>
      </c>
      <c r="K143" s="362" t="s">
        <v>631</v>
      </c>
      <c r="L143" s="184"/>
    </row>
    <row r="144" spans="1:12" s="355" customFormat="1" ht="15.75" thickBot="1">
      <c r="A144" s="132" cm="1">
        <f t="array" ref="A144">SSATSLineNumbers(A144,0.01)</f>
        <v>1.26</v>
      </c>
      <c r="B144" s="248" t="s">
        <v>629</v>
      </c>
      <c r="C144" s="356"/>
      <c r="D144" s="357"/>
      <c r="E144" s="437"/>
      <c r="F144" s="358">
        <v>10</v>
      </c>
      <c r="G144" s="358">
        <v>50</v>
      </c>
      <c r="H144" s="353" t="s">
        <v>656</v>
      </c>
      <c r="I144" s="59" t="str">
        <f t="shared" si="1"/>
        <v>TBC</v>
      </c>
      <c r="K144" s="362" t="s">
        <v>632</v>
      </c>
      <c r="L144" s="184"/>
    </row>
    <row r="145" spans="1:36" s="175" customFormat="1" ht="15.75" thickBot="1">
      <c r="A145" s="130"/>
      <c r="B145" s="255" t="s">
        <v>70</v>
      </c>
      <c r="C145" s="78"/>
      <c r="D145" s="58"/>
      <c r="E145" s="58"/>
      <c r="F145" s="58"/>
      <c r="G145" s="58"/>
      <c r="H145" s="58"/>
      <c r="I145" s="58"/>
      <c r="J145" s="184"/>
      <c r="K145" s="116" t="s">
        <v>27</v>
      </c>
      <c r="L145" s="116" t="s">
        <v>42</v>
      </c>
      <c r="M145" s="116" t="s">
        <v>129</v>
      </c>
      <c r="N145" s="116" t="str">
        <f ca="1">SUBSTITUTE(CELL("address",$K$139),"$","")</f>
        <v>K139</v>
      </c>
      <c r="O145" s="116" t="s">
        <v>130</v>
      </c>
      <c r="P145" s="228" t="s">
        <v>75</v>
      </c>
      <c r="Q145" s="185" t="str">
        <f ca="1">INDEX(tblGoSubRoutineStartCell[StartCell],MATCH(B145,tblGoSubRoutineStartCell[GoSub Routine],0))</f>
        <v>K56</v>
      </c>
    </row>
    <row r="146" spans="1:36" s="180" customFormat="1" ht="15.75" thickBot="1">
      <c r="A146" s="129"/>
      <c r="B146" s="84"/>
      <c r="C146" s="84"/>
      <c r="D146" s="84"/>
      <c r="E146" s="84"/>
      <c r="F146" s="84"/>
      <c r="G146" s="84"/>
      <c r="H146" s="84"/>
      <c r="I146" s="84"/>
      <c r="J146" s="184"/>
      <c r="K146" s="362" t="s">
        <v>80</v>
      </c>
      <c r="L146" s="184"/>
      <c r="M146" s="184"/>
      <c r="N146" s="184"/>
      <c r="O146" s="184"/>
      <c r="R146" s="178"/>
      <c r="S146" s="178"/>
      <c r="T146" s="178"/>
      <c r="U146" s="178"/>
      <c r="V146" s="178"/>
      <c r="W146" s="178"/>
      <c r="X146" s="178"/>
      <c r="Y146" s="178"/>
      <c r="Z146" s="178"/>
      <c r="AA146" s="178"/>
      <c r="AB146" s="178"/>
      <c r="AC146" s="178"/>
      <c r="AD146" s="178"/>
      <c r="AE146" s="178"/>
      <c r="AF146" s="178"/>
      <c r="AG146" s="178"/>
      <c r="AH146" s="178"/>
      <c r="AI146" s="178"/>
      <c r="AJ146" s="178"/>
    </row>
    <row r="147" spans="1:36" s="175" customFormat="1" ht="20.25" customHeight="1" thickBot="1">
      <c r="A147" s="100"/>
      <c r="B147" s="364"/>
      <c r="C147" s="365"/>
      <c r="D147" s="366" t="s">
        <v>657</v>
      </c>
      <c r="E147" s="365"/>
      <c r="F147" s="365"/>
      <c r="G147" s="365"/>
      <c r="H147" s="365"/>
      <c r="I147" s="367"/>
      <c r="J147" s="184"/>
      <c r="K147" s="89" t="s">
        <v>80</v>
      </c>
      <c r="L147" s="184"/>
      <c r="M147" s="184"/>
      <c r="N147" s="184"/>
      <c r="O147" s="184"/>
      <c r="P147" s="184"/>
      <c r="Q147" s="184"/>
    </row>
    <row r="148" spans="1:36" s="180" customFormat="1" ht="15">
      <c r="A148" s="129"/>
      <c r="B148" s="84"/>
      <c r="C148" s="84"/>
      <c r="D148" s="84"/>
      <c r="E148" s="84"/>
      <c r="F148" s="84"/>
      <c r="G148" s="84"/>
      <c r="H148" s="84"/>
      <c r="I148" s="84"/>
      <c r="J148" s="184"/>
      <c r="K148" s="180" t="s">
        <v>80</v>
      </c>
      <c r="L148" s="184"/>
      <c r="M148" s="184"/>
      <c r="N148" s="184"/>
      <c r="O148" s="184"/>
      <c r="R148" s="178"/>
      <c r="S148" s="178"/>
      <c r="T148" s="178"/>
      <c r="U148" s="178"/>
      <c r="V148" s="178"/>
      <c r="W148" s="178"/>
      <c r="X148" s="178"/>
      <c r="Y148" s="178"/>
      <c r="Z148" s="178"/>
      <c r="AA148" s="178"/>
      <c r="AB148" s="178"/>
      <c r="AC148" s="178"/>
      <c r="AD148" s="178"/>
      <c r="AE148" s="178"/>
      <c r="AF148" s="178"/>
      <c r="AG148" s="178"/>
      <c r="AH148" s="178"/>
      <c r="AI148" s="178"/>
      <c r="AJ148" s="178"/>
    </row>
    <row r="149" spans="1:36" s="180" customFormat="1" ht="15">
      <c r="A149" s="132" cm="1">
        <f t="array" ref="A149">SSATSLineNumbers(A149,0.01)</f>
        <v>1.27</v>
      </c>
      <c r="B149" s="248" t="s">
        <v>663</v>
      </c>
      <c r="C149" s="356"/>
      <c r="D149" s="357"/>
      <c r="E149" s="437"/>
      <c r="F149" s="368">
        <v>3.1</v>
      </c>
      <c r="G149" s="368">
        <v>3.5</v>
      </c>
      <c r="H149" s="353" t="s">
        <v>71</v>
      </c>
      <c r="I149" s="59" t="str">
        <f>IF(E149 ="","TBC", IF(AND(E149&gt;=F149,E149&lt;=G149 ),"Pass","Fail"))</f>
        <v>TBC</v>
      </c>
      <c r="J149" s="184"/>
      <c r="K149" s="362" t="s">
        <v>658</v>
      </c>
      <c r="L149" s="184"/>
      <c r="M149" s="184"/>
      <c r="N149" s="184"/>
      <c r="O149" s="184"/>
      <c r="R149" s="178"/>
      <c r="S149" s="178"/>
      <c r="T149" s="178"/>
      <c r="U149" s="178"/>
      <c r="V149" s="178"/>
      <c r="W149" s="178"/>
      <c r="X149" s="178"/>
      <c r="Y149" s="178"/>
      <c r="Z149" s="178"/>
      <c r="AA149" s="178"/>
      <c r="AB149" s="178"/>
      <c r="AC149" s="178"/>
      <c r="AD149" s="178"/>
      <c r="AE149" s="178"/>
      <c r="AF149" s="178"/>
      <c r="AG149" s="178"/>
      <c r="AH149" s="178"/>
      <c r="AI149" s="178"/>
      <c r="AJ149" s="178"/>
    </row>
    <row r="150" spans="1:36" s="79" customFormat="1" ht="15">
      <c r="A150" s="132" cm="1">
        <f t="array" ref="A150">SSATSLineNumbers(A150,0.01)</f>
        <v>1.28</v>
      </c>
      <c r="B150" s="248" t="s">
        <v>664</v>
      </c>
      <c r="C150" s="356"/>
      <c r="D150" s="357"/>
      <c r="E150" s="437"/>
      <c r="F150" s="368">
        <v>4.8</v>
      </c>
      <c r="G150" s="368">
        <v>5.2</v>
      </c>
      <c r="H150" s="353" t="s">
        <v>71</v>
      </c>
      <c r="I150" s="59" t="str">
        <f t="shared" ref="I150:I153" si="2">IF(E150 ="","TBC", IF(AND(E150&gt;=F150,E150&lt;=G150 ),"Pass","Fail"))</f>
        <v>TBC</v>
      </c>
      <c r="J150" s="26"/>
      <c r="K150" s="362" t="s">
        <v>659</v>
      </c>
      <c r="L150" s="184"/>
      <c r="M150" s="184"/>
      <c r="N150" s="184"/>
      <c r="O150" s="184"/>
      <c r="P150" s="180"/>
      <c r="Q150" s="180"/>
      <c r="R150" s="21"/>
      <c r="S150" s="21"/>
      <c r="T150" s="21"/>
      <c r="U150" s="21"/>
      <c r="V150" s="21"/>
      <c r="W150" s="21"/>
      <c r="X150" s="21"/>
      <c r="Y150" s="21"/>
      <c r="Z150" s="21"/>
      <c r="AA150" s="21"/>
      <c r="AB150" s="21"/>
      <c r="AC150" s="21"/>
      <c r="AD150" s="21"/>
      <c r="AE150" s="21"/>
      <c r="AF150" s="21"/>
      <c r="AG150" s="21"/>
      <c r="AH150" s="21"/>
      <c r="AI150" s="21"/>
      <c r="AJ150" s="21"/>
    </row>
    <row r="151" spans="1:36" s="180" customFormat="1" ht="15">
      <c r="A151" s="132" cm="1">
        <f t="array" ref="A151">SSATSLineNumbers(A151,0.01)</f>
        <v>1.29</v>
      </c>
      <c r="B151" s="248" t="s">
        <v>665</v>
      </c>
      <c r="C151" s="356"/>
      <c r="D151" s="357"/>
      <c r="E151" s="437"/>
      <c r="F151" s="368">
        <v>12.5</v>
      </c>
      <c r="G151" s="368">
        <v>15.5</v>
      </c>
      <c r="H151" s="353" t="s">
        <v>71</v>
      </c>
      <c r="I151" s="59" t="str">
        <f t="shared" si="2"/>
        <v>TBC</v>
      </c>
      <c r="J151" s="184"/>
      <c r="K151" s="362" t="s">
        <v>660</v>
      </c>
      <c r="L151" s="184"/>
      <c r="M151" s="184"/>
      <c r="N151" s="184"/>
      <c r="O151" s="184"/>
      <c r="R151" s="178"/>
      <c r="S151" s="178"/>
      <c r="T151" s="178"/>
      <c r="U151" s="178"/>
      <c r="V151" s="178"/>
      <c r="W151" s="178"/>
      <c r="X151" s="178"/>
      <c r="Y151" s="178"/>
      <c r="Z151" s="178"/>
      <c r="AA151" s="178"/>
      <c r="AB151" s="178"/>
      <c r="AC151" s="178"/>
      <c r="AD151" s="178"/>
      <c r="AE151" s="178"/>
      <c r="AF151" s="178"/>
      <c r="AG151" s="178"/>
      <c r="AH151" s="178"/>
      <c r="AI151" s="178"/>
      <c r="AJ151" s="178"/>
    </row>
    <row r="152" spans="1:36" s="180" customFormat="1" ht="15">
      <c r="A152" s="132" cm="1">
        <f t="array" ref="A152">SSATSLineNumbers(A152,0.01)</f>
        <v>1.3</v>
      </c>
      <c r="B152" s="248" t="s">
        <v>666</v>
      </c>
      <c r="C152" s="356"/>
      <c r="D152" s="357"/>
      <c r="E152" s="437"/>
      <c r="F152" s="368">
        <v>23.5</v>
      </c>
      <c r="G152" s="368">
        <v>24.5</v>
      </c>
      <c r="H152" s="353" t="s">
        <v>71</v>
      </c>
      <c r="I152" s="59" t="str">
        <f t="shared" si="2"/>
        <v>TBC</v>
      </c>
      <c r="J152" s="184"/>
      <c r="K152" s="362" t="s">
        <v>661</v>
      </c>
      <c r="L152" s="184"/>
      <c r="M152" s="184"/>
      <c r="N152" s="184"/>
      <c r="O152" s="184"/>
      <c r="R152" s="178"/>
      <c r="S152" s="178"/>
      <c r="T152" s="178"/>
      <c r="U152" s="178"/>
      <c r="V152" s="178"/>
      <c r="W152" s="178"/>
      <c r="X152" s="178"/>
      <c r="Y152" s="178"/>
      <c r="Z152" s="178"/>
      <c r="AA152" s="178"/>
      <c r="AB152" s="178"/>
      <c r="AC152" s="178"/>
      <c r="AD152" s="178"/>
      <c r="AE152" s="178"/>
      <c r="AF152" s="178"/>
      <c r="AG152" s="178"/>
      <c r="AH152" s="178"/>
      <c r="AI152" s="178"/>
      <c r="AJ152" s="178"/>
    </row>
    <row r="153" spans="1:36" s="180" customFormat="1" ht="15">
      <c r="A153" s="132" cm="1">
        <f t="array" ref="A153">SSATSLineNumbers(A153,0.01)</f>
        <v>1.31</v>
      </c>
      <c r="B153" s="248" t="s">
        <v>667</v>
      </c>
      <c r="C153" s="356"/>
      <c r="D153" s="357"/>
      <c r="E153" s="437"/>
      <c r="F153" s="368">
        <v>12.5</v>
      </c>
      <c r="G153" s="368">
        <v>15.5</v>
      </c>
      <c r="H153" s="353" t="s">
        <v>71</v>
      </c>
      <c r="I153" s="59" t="str">
        <f t="shared" si="2"/>
        <v>TBC</v>
      </c>
      <c r="J153" s="184"/>
      <c r="K153" s="362" t="s">
        <v>662</v>
      </c>
      <c r="L153" s="184"/>
      <c r="M153" s="184"/>
      <c r="N153" s="184"/>
      <c r="O153" s="184"/>
      <c r="R153" s="178"/>
      <c r="S153" s="178"/>
      <c r="T153" s="178"/>
      <c r="U153" s="178"/>
      <c r="V153" s="178"/>
      <c r="W153" s="178"/>
      <c r="X153" s="178"/>
      <c r="Y153" s="178"/>
      <c r="Z153" s="178"/>
      <c r="AA153" s="178"/>
      <c r="AB153" s="178"/>
      <c r="AC153" s="178"/>
      <c r="AD153" s="178"/>
      <c r="AE153" s="178"/>
      <c r="AF153" s="178"/>
      <c r="AG153" s="178"/>
      <c r="AH153" s="178"/>
      <c r="AI153" s="178"/>
      <c r="AJ153" s="178"/>
    </row>
    <row r="154" spans="1:36" s="180" customFormat="1" ht="15">
      <c r="A154" s="132" cm="1">
        <f t="array" ref="A154">SSATSLineNumbers(A154,0.01)</f>
        <v>1.32</v>
      </c>
      <c r="B154" s="248" t="s">
        <v>673</v>
      </c>
      <c r="C154" s="356"/>
      <c r="D154" s="357"/>
      <c r="E154" s="437"/>
      <c r="F154" s="368">
        <v>3.1</v>
      </c>
      <c r="G154" s="368">
        <v>3.5</v>
      </c>
      <c r="H154" s="353" t="s">
        <v>71</v>
      </c>
      <c r="I154" s="59" t="str">
        <f>IF(E154 ="","TBC", IF(AND(E154&gt;=F154,E154&lt;=G154 ),"Pass","Fail"))</f>
        <v>TBC</v>
      </c>
      <c r="J154" s="184"/>
      <c r="K154" s="362" t="s">
        <v>669</v>
      </c>
      <c r="L154" s="184"/>
      <c r="M154" s="184"/>
      <c r="N154" s="184"/>
      <c r="O154" s="184"/>
      <c r="R154" s="178"/>
      <c r="S154" s="178"/>
      <c r="T154" s="178"/>
      <c r="U154" s="178"/>
      <c r="V154" s="178"/>
      <c r="W154" s="178"/>
      <c r="X154" s="178"/>
      <c r="Y154" s="178"/>
      <c r="Z154" s="178"/>
      <c r="AA154" s="178"/>
      <c r="AB154" s="178"/>
      <c r="AC154" s="178"/>
      <c r="AD154" s="178"/>
      <c r="AE154" s="178"/>
      <c r="AF154" s="178"/>
      <c r="AG154" s="178"/>
      <c r="AH154" s="178"/>
      <c r="AI154" s="178"/>
      <c r="AJ154" s="178"/>
    </row>
    <row r="155" spans="1:36" s="180" customFormat="1" ht="15">
      <c r="A155" s="132" cm="1">
        <f t="array" ref="A155">SSATSLineNumbers(A155,0.01)</f>
        <v>1.33</v>
      </c>
      <c r="B155" s="248" t="s">
        <v>674</v>
      </c>
      <c r="C155" s="356"/>
      <c r="D155" s="357"/>
      <c r="E155" s="437"/>
      <c r="F155" s="368">
        <v>4.8</v>
      </c>
      <c r="G155" s="368">
        <v>5.2</v>
      </c>
      <c r="H155" s="353" t="s">
        <v>71</v>
      </c>
      <c r="I155" s="59" t="str">
        <f t="shared" ref="I155:I158" si="3">IF(E155 ="","TBC", IF(AND(E155&gt;=F155,E155&lt;=G155 ),"Pass","Fail"))</f>
        <v>TBC</v>
      </c>
      <c r="J155" s="184"/>
      <c r="K155" s="362" t="s">
        <v>668</v>
      </c>
      <c r="L155" s="184"/>
      <c r="M155" s="184"/>
      <c r="N155" s="184"/>
      <c r="O155" s="184"/>
      <c r="R155" s="178"/>
      <c r="S155" s="178"/>
      <c r="T155" s="178"/>
      <c r="U155" s="178"/>
      <c r="V155" s="178"/>
      <c r="W155" s="178"/>
      <c r="X155" s="178"/>
      <c r="Y155" s="178"/>
      <c r="Z155" s="178"/>
      <c r="AA155" s="178"/>
      <c r="AB155" s="178"/>
      <c r="AC155" s="178"/>
      <c r="AD155" s="178"/>
      <c r="AE155" s="178"/>
      <c r="AF155" s="178"/>
      <c r="AG155" s="178"/>
      <c r="AH155" s="178"/>
      <c r="AI155" s="178"/>
      <c r="AJ155" s="178"/>
    </row>
    <row r="156" spans="1:36" s="180" customFormat="1" ht="15">
      <c r="A156" s="132" cm="1">
        <f t="array" ref="A156">SSATSLineNumbers(A156,0.01)</f>
        <v>1.34</v>
      </c>
      <c r="B156" s="248" t="s">
        <v>675</v>
      </c>
      <c r="C156" s="356"/>
      <c r="D156" s="357"/>
      <c r="E156" s="437"/>
      <c r="F156" s="368">
        <v>12.5</v>
      </c>
      <c r="G156" s="368">
        <v>15.5</v>
      </c>
      <c r="H156" s="353" t="s">
        <v>71</v>
      </c>
      <c r="I156" s="59" t="str">
        <f t="shared" si="3"/>
        <v>TBC</v>
      </c>
      <c r="J156" s="184"/>
      <c r="K156" s="362" t="s">
        <v>670</v>
      </c>
      <c r="L156" s="184"/>
      <c r="M156" s="184"/>
      <c r="N156" s="184"/>
      <c r="O156" s="184"/>
      <c r="R156" s="178"/>
      <c r="S156" s="178"/>
      <c r="T156" s="178"/>
      <c r="U156" s="178"/>
      <c r="V156" s="178"/>
      <c r="W156" s="178"/>
      <c r="X156" s="178"/>
      <c r="Y156" s="178"/>
      <c r="Z156" s="178"/>
      <c r="AA156" s="178"/>
      <c r="AB156" s="178"/>
      <c r="AC156" s="178"/>
      <c r="AD156" s="178"/>
      <c r="AE156" s="178"/>
      <c r="AF156" s="178"/>
      <c r="AG156" s="178"/>
      <c r="AH156" s="178"/>
      <c r="AI156" s="178"/>
      <c r="AJ156" s="178"/>
    </row>
    <row r="157" spans="1:36" s="180" customFormat="1" ht="15">
      <c r="A157" s="132" cm="1">
        <f t="array" ref="A157">SSATSLineNumbers(A157,0.01)</f>
        <v>1.35</v>
      </c>
      <c r="B157" s="248" t="s">
        <v>676</v>
      </c>
      <c r="C157" s="356"/>
      <c r="D157" s="357"/>
      <c r="E157" s="437"/>
      <c r="F157" s="368">
        <v>23.5</v>
      </c>
      <c r="G157" s="368">
        <v>24.5</v>
      </c>
      <c r="H157" s="353" t="s">
        <v>71</v>
      </c>
      <c r="I157" s="59" t="str">
        <f t="shared" si="3"/>
        <v>TBC</v>
      </c>
      <c r="J157" s="184"/>
      <c r="K157" s="362" t="s">
        <v>671</v>
      </c>
      <c r="L157" s="184"/>
      <c r="M157" s="184"/>
      <c r="N157" s="184"/>
      <c r="O157" s="184"/>
      <c r="R157" s="178"/>
      <c r="S157" s="178"/>
      <c r="T157" s="178"/>
      <c r="U157" s="178"/>
      <c r="V157" s="178"/>
      <c r="W157" s="178"/>
      <c r="X157" s="178"/>
      <c r="Y157" s="178"/>
      <c r="Z157" s="178"/>
      <c r="AA157" s="178"/>
      <c r="AB157" s="178"/>
      <c r="AC157" s="178"/>
      <c r="AD157" s="178"/>
      <c r="AE157" s="178"/>
      <c r="AF157" s="178"/>
      <c r="AG157" s="178"/>
      <c r="AH157" s="178"/>
      <c r="AI157" s="178"/>
      <c r="AJ157" s="178"/>
    </row>
    <row r="158" spans="1:36" s="180" customFormat="1" ht="15.75" thickBot="1">
      <c r="A158" s="132" cm="1">
        <f t="array" ref="A158">SSATSLineNumbers(A158,0.01)</f>
        <v>1.36</v>
      </c>
      <c r="B158" s="248" t="s">
        <v>677</v>
      </c>
      <c r="C158" s="356"/>
      <c r="D158" s="357"/>
      <c r="E158" s="437"/>
      <c r="F158" s="368">
        <v>12.5</v>
      </c>
      <c r="G158" s="368">
        <v>15.5</v>
      </c>
      <c r="H158" s="353" t="s">
        <v>71</v>
      </c>
      <c r="I158" s="59" t="str">
        <f t="shared" si="3"/>
        <v>TBC</v>
      </c>
      <c r="J158" s="184"/>
      <c r="K158" s="362" t="s">
        <v>672</v>
      </c>
      <c r="L158" s="184"/>
      <c r="M158" s="184"/>
      <c r="N158" s="184"/>
      <c r="O158" s="184"/>
      <c r="R158" s="178"/>
      <c r="S158" s="178"/>
      <c r="T158" s="178"/>
      <c r="U158" s="178"/>
      <c r="V158" s="178"/>
      <c r="W158" s="178"/>
      <c r="X158" s="178"/>
      <c r="Y158" s="178"/>
      <c r="Z158" s="178"/>
      <c r="AA158" s="178"/>
      <c r="AB158" s="178"/>
      <c r="AC158" s="178"/>
      <c r="AD158" s="178"/>
      <c r="AE158" s="178"/>
      <c r="AF158" s="178"/>
      <c r="AG158" s="178"/>
      <c r="AH158" s="178"/>
      <c r="AI158" s="178"/>
      <c r="AJ158" s="178"/>
    </row>
    <row r="159" spans="1:36" s="175" customFormat="1" ht="15.75" thickBot="1">
      <c r="A159" s="130"/>
      <c r="B159" s="255" t="s">
        <v>70</v>
      </c>
      <c r="C159" s="78"/>
      <c r="D159" s="58"/>
      <c r="E159" s="58"/>
      <c r="F159" s="58"/>
      <c r="G159" s="58"/>
      <c r="H159" s="58"/>
      <c r="I159" s="58"/>
      <c r="J159" s="184"/>
      <c r="K159" s="116" t="s">
        <v>27</v>
      </c>
      <c r="L159" s="116" t="s">
        <v>42</v>
      </c>
      <c r="M159" s="116" t="s">
        <v>129</v>
      </c>
      <c r="N159" s="116" t="str">
        <f ca="1">SUBSTITUTE(CELL("address",$K$149),"$","")</f>
        <v>K149</v>
      </c>
      <c r="O159" s="116" t="s">
        <v>130</v>
      </c>
      <c r="P159" s="228" t="s">
        <v>75</v>
      </c>
      <c r="Q159" s="185" t="str">
        <f ca="1">INDEX(tblGoSubRoutineStartCell[StartCell],MATCH(B159,tblGoSubRoutineStartCell[GoSub Routine],0))</f>
        <v>K56</v>
      </c>
    </row>
    <row r="160" spans="1:36" s="180" customFormat="1" ht="15.75" thickBot="1">
      <c r="A160" s="129"/>
      <c r="B160" s="84"/>
      <c r="C160" s="84"/>
      <c r="D160" s="84"/>
      <c r="E160" s="84"/>
      <c r="F160" s="84"/>
      <c r="G160" s="84"/>
      <c r="H160" s="84"/>
      <c r="I160" s="84"/>
      <c r="J160" s="184"/>
      <c r="K160" s="362" t="s">
        <v>80</v>
      </c>
      <c r="L160" s="184"/>
      <c r="M160" s="184"/>
      <c r="N160" s="184"/>
      <c r="O160" s="184"/>
      <c r="R160" s="178"/>
      <c r="S160" s="178"/>
      <c r="T160" s="178"/>
      <c r="U160" s="178"/>
      <c r="V160" s="178"/>
      <c r="W160" s="178"/>
      <c r="X160" s="178"/>
      <c r="Y160" s="178"/>
      <c r="Z160" s="178"/>
      <c r="AA160" s="178"/>
      <c r="AB160" s="178"/>
      <c r="AC160" s="178"/>
      <c r="AD160" s="178"/>
      <c r="AE160" s="178"/>
      <c r="AF160" s="178"/>
      <c r="AG160" s="178"/>
      <c r="AH160" s="178"/>
      <c r="AI160" s="178"/>
      <c r="AJ160" s="178"/>
    </row>
    <row r="161" spans="1:36" s="79" customFormat="1" ht="38.25" customHeight="1" thickBot="1">
      <c r="A161" s="134"/>
      <c r="B161" s="54" t="s">
        <v>70</v>
      </c>
      <c r="C161" s="55"/>
      <c r="D161" s="55"/>
      <c r="E161" s="55"/>
      <c r="F161" s="55"/>
      <c r="G161" s="55"/>
      <c r="H161" s="55"/>
      <c r="I161" s="56"/>
      <c r="K161" s="227" t="s">
        <v>77</v>
      </c>
      <c r="L161" s="227" t="s">
        <v>75</v>
      </c>
      <c r="M161" s="184" t="str">
        <f ca="1">SubRoutines!C6</f>
        <v>K56</v>
      </c>
      <c r="N161" s="184"/>
      <c r="O161" s="184"/>
      <c r="P161" s="227"/>
      <c r="Q161" s="184"/>
      <c r="R161" s="26"/>
      <c r="S161" s="21"/>
      <c r="T161" s="21"/>
      <c r="U161" s="21"/>
      <c r="V161" s="21"/>
      <c r="W161" s="21"/>
      <c r="X161" s="21"/>
      <c r="Y161" s="21"/>
      <c r="Z161" s="21"/>
      <c r="AA161" s="21"/>
      <c r="AB161" s="21"/>
      <c r="AC161" s="21"/>
      <c r="AD161" s="21"/>
      <c r="AE161" s="21"/>
      <c r="AF161" s="21"/>
      <c r="AG161" s="21"/>
      <c r="AH161" s="21"/>
      <c r="AI161" s="21"/>
      <c r="AJ161" s="21"/>
    </row>
    <row r="162" spans="1:36" s="45" customFormat="1" ht="15" customHeight="1">
      <c r="A162" s="504" t="str">
        <f>_xlfn.CONCAT(section_1_heading," Overall Verdict")</f>
        <v>Chassis and Readbacks Overall Verdict</v>
      </c>
      <c r="B162" s="505"/>
      <c r="C162" s="505"/>
      <c r="D162" s="505"/>
      <c r="E162" s="505"/>
      <c r="F162" s="505"/>
      <c r="G162" s="506"/>
      <c r="H162" s="513" t="str" cm="1">
        <f t="array" ref="H162">_xlfn.IFS(COUNTIF(section_1_results,"TBC")&gt;0,"Incomplete",COUNT(IF(ISERROR(section_1_results),1,""))&gt;0,"VALUE ERROR",COUNTIF(section_1_results,"Fail")&gt;0,"Fail",COUNTIF(unit_type,"")&gt;0,"NO UNIT TYPE",COUNTIF(serial_number,"")&gt;0,"NO SERIAL NUMBER",COUNTIF(tester_name,"")&gt;0,"NO TESTER ID",TRUE,"Pass")</f>
        <v>Incomplete</v>
      </c>
      <c r="I162" s="514"/>
      <c r="K162" s="50"/>
      <c r="R162" s="46"/>
      <c r="S162" s="46"/>
      <c r="T162" s="46"/>
      <c r="U162" s="46"/>
      <c r="V162" s="46"/>
      <c r="W162" s="46"/>
      <c r="X162" s="46"/>
      <c r="Y162" s="46"/>
      <c r="Z162" s="46"/>
      <c r="AA162" s="46"/>
      <c r="AB162" s="46"/>
      <c r="AC162" s="46"/>
      <c r="AD162" s="46"/>
      <c r="AE162" s="46"/>
      <c r="AF162" s="46"/>
      <c r="AG162" s="46"/>
      <c r="AH162" s="46"/>
      <c r="AI162" s="46"/>
      <c r="AJ162" s="46"/>
    </row>
    <row r="163" spans="1:36" s="45" customFormat="1" ht="22.5" customHeight="1">
      <c r="A163" s="507"/>
      <c r="B163" s="508"/>
      <c r="C163" s="508"/>
      <c r="D163" s="508"/>
      <c r="E163" s="508"/>
      <c r="F163" s="508"/>
      <c r="G163" s="509"/>
      <c r="H163" s="515"/>
      <c r="I163" s="516"/>
      <c r="K163" s="171" t="s">
        <v>25</v>
      </c>
      <c r="L163" s="121">
        <v>4</v>
      </c>
      <c r="N163" s="45" t="s">
        <v>596</v>
      </c>
      <c r="R163" s="46"/>
      <c r="S163" s="46"/>
      <c r="T163" s="46"/>
      <c r="U163" s="46"/>
      <c r="V163" s="46"/>
      <c r="W163" s="46"/>
      <c r="X163" s="46"/>
      <c r="Y163" s="46"/>
      <c r="Z163" s="46"/>
      <c r="AA163" s="46"/>
      <c r="AB163" s="46"/>
      <c r="AC163" s="46"/>
      <c r="AD163" s="46"/>
      <c r="AE163" s="46"/>
      <c r="AF163" s="46"/>
      <c r="AG163" s="46"/>
      <c r="AH163" s="46"/>
      <c r="AI163" s="46"/>
      <c r="AJ163" s="46"/>
    </row>
    <row r="164" spans="1:36" s="45" customFormat="1" ht="15.75" customHeight="1" thickBot="1">
      <c r="A164" s="510"/>
      <c r="B164" s="511"/>
      <c r="C164" s="511"/>
      <c r="D164" s="511"/>
      <c r="E164" s="511"/>
      <c r="F164" s="511"/>
      <c r="G164" s="512"/>
      <c r="H164" s="517"/>
      <c r="I164" s="518"/>
      <c r="K164" s="171" t="s">
        <v>164</v>
      </c>
      <c r="L164" s="121" t="s">
        <v>165</v>
      </c>
      <c r="R164" s="46"/>
      <c r="S164" s="46"/>
      <c r="T164" s="46"/>
      <c r="U164" s="46"/>
      <c r="V164" s="46"/>
      <c r="W164" s="46"/>
      <c r="X164" s="46"/>
      <c r="Y164" s="46"/>
      <c r="Z164" s="46"/>
      <c r="AA164" s="46"/>
      <c r="AB164" s="46"/>
      <c r="AC164" s="46"/>
      <c r="AD164" s="46"/>
      <c r="AE164" s="46"/>
      <c r="AF164" s="46"/>
      <c r="AG164" s="46"/>
      <c r="AH164" s="46"/>
      <c r="AI164" s="46"/>
      <c r="AJ164" s="46"/>
    </row>
    <row r="165" spans="1:36" s="180" customFormat="1" ht="32.25" hidden="1" customHeight="1" thickBot="1">
      <c r="A165" s="188">
        <v>2</v>
      </c>
      <c r="B165" s="531" t="s">
        <v>277</v>
      </c>
      <c r="C165" s="532"/>
      <c r="D165" s="532"/>
      <c r="E165" s="532"/>
      <c r="F165" s="532"/>
      <c r="G165" s="532"/>
      <c r="H165" s="532"/>
      <c r="I165" s="533"/>
      <c r="J165" s="184"/>
      <c r="K165" s="227"/>
      <c r="L165" s="184"/>
      <c r="M165" s="184"/>
      <c r="N165" s="184"/>
      <c r="O165" s="184"/>
      <c r="R165" s="178"/>
      <c r="S165" s="178"/>
      <c r="T165" s="178"/>
      <c r="U165" s="178"/>
      <c r="V165" s="178"/>
      <c r="W165" s="178"/>
      <c r="X165" s="178"/>
      <c r="Y165" s="178"/>
      <c r="Z165" s="178"/>
      <c r="AA165" s="178"/>
      <c r="AB165" s="178"/>
      <c r="AC165" s="178"/>
      <c r="AD165" s="178"/>
      <c r="AE165" s="178"/>
      <c r="AF165" s="178"/>
      <c r="AG165" s="178"/>
      <c r="AH165" s="178"/>
      <c r="AI165" s="178"/>
      <c r="AJ165" s="178"/>
    </row>
    <row r="166" spans="1:36" s="45" customFormat="1" ht="12.75" hidden="1" customHeight="1">
      <c r="A166" s="474" t="s">
        <v>363</v>
      </c>
      <c r="B166" s="475"/>
      <c r="C166" s="475"/>
      <c r="D166" s="475"/>
      <c r="E166" s="475"/>
      <c r="F166" s="475"/>
      <c r="G166" s="475"/>
      <c r="H166" s="475"/>
      <c r="I166" s="476"/>
      <c r="K166" s="50"/>
      <c r="R166" s="177"/>
      <c r="S166" s="177"/>
      <c r="T166" s="177"/>
      <c r="U166" s="177"/>
      <c r="V166" s="177"/>
      <c r="W166" s="177"/>
      <c r="X166" s="177"/>
      <c r="Y166" s="177"/>
      <c r="Z166" s="177"/>
      <c r="AA166" s="177"/>
      <c r="AB166" s="177"/>
      <c r="AC166" s="177"/>
      <c r="AD166" s="177"/>
      <c r="AE166" s="177"/>
      <c r="AF166" s="177"/>
      <c r="AG166" s="177"/>
      <c r="AH166" s="177"/>
      <c r="AI166" s="177"/>
      <c r="AJ166" s="177"/>
    </row>
    <row r="167" spans="1:36" s="45" customFormat="1" ht="21" hidden="1" customHeight="1">
      <c r="A167" s="477"/>
      <c r="B167" s="478"/>
      <c r="C167" s="478"/>
      <c r="D167" s="478"/>
      <c r="E167" s="478"/>
      <c r="F167" s="478"/>
      <c r="G167" s="478"/>
      <c r="H167" s="478"/>
      <c r="I167" s="479"/>
      <c r="K167" s="50"/>
      <c r="R167" s="177"/>
      <c r="S167" s="177"/>
      <c r="T167" s="177"/>
      <c r="U167" s="177"/>
      <c r="V167" s="177"/>
      <c r="W167" s="177"/>
      <c r="X167" s="177"/>
      <c r="Y167" s="177"/>
      <c r="Z167" s="177"/>
      <c r="AA167" s="177"/>
      <c r="AB167" s="177"/>
      <c r="AC167" s="177"/>
      <c r="AD167" s="177"/>
      <c r="AE167" s="177"/>
      <c r="AF167" s="177"/>
      <c r="AG167" s="177"/>
      <c r="AH167" s="177"/>
      <c r="AI167" s="177"/>
      <c r="AJ167" s="177"/>
    </row>
    <row r="168" spans="1:36" s="45" customFormat="1" ht="12.75" hidden="1" customHeight="1">
      <c r="A168" s="480"/>
      <c r="B168" s="481"/>
      <c r="C168" s="481"/>
      <c r="D168" s="481"/>
      <c r="E168" s="481"/>
      <c r="F168" s="481"/>
      <c r="G168" s="481"/>
      <c r="H168" s="481"/>
      <c r="I168" s="482"/>
      <c r="K168" s="50"/>
      <c r="R168" s="177"/>
      <c r="S168" s="177"/>
      <c r="T168" s="177"/>
      <c r="U168" s="177"/>
      <c r="V168" s="177"/>
      <c r="W168" s="177"/>
      <c r="X168" s="177"/>
      <c r="Y168" s="177"/>
      <c r="Z168" s="177"/>
      <c r="AA168" s="177"/>
      <c r="AB168" s="177"/>
      <c r="AC168" s="177"/>
      <c r="AD168" s="177"/>
      <c r="AE168" s="177"/>
      <c r="AF168" s="177"/>
      <c r="AG168" s="177"/>
      <c r="AH168" s="177"/>
      <c r="AI168" s="177"/>
      <c r="AJ168" s="177"/>
    </row>
    <row r="169" spans="1:36" s="45" customFormat="1" ht="12.75" hidden="1" customHeight="1">
      <c r="A169" s="477"/>
      <c r="B169" s="478"/>
      <c r="C169" s="478"/>
      <c r="D169" s="478"/>
      <c r="E169" s="478"/>
      <c r="F169" s="478"/>
      <c r="G169" s="478"/>
      <c r="H169" s="478"/>
      <c r="I169" s="479"/>
      <c r="K169" s="50"/>
      <c r="R169" s="177"/>
      <c r="S169" s="177"/>
      <c r="T169" s="177"/>
      <c r="U169" s="177"/>
      <c r="V169" s="177"/>
      <c r="W169" s="177"/>
      <c r="X169" s="177"/>
      <c r="Y169" s="177"/>
      <c r="Z169" s="177"/>
      <c r="AA169" s="177"/>
      <c r="AB169" s="177"/>
      <c r="AC169" s="177"/>
      <c r="AD169" s="177"/>
      <c r="AE169" s="177"/>
      <c r="AF169" s="177"/>
      <c r="AG169" s="177"/>
      <c r="AH169" s="177"/>
      <c r="AI169" s="177"/>
      <c r="AJ169" s="177"/>
    </row>
    <row r="170" spans="1:36" s="45" customFormat="1" ht="12.75" hidden="1" customHeight="1">
      <c r="A170" s="477"/>
      <c r="B170" s="478"/>
      <c r="C170" s="478"/>
      <c r="D170" s="478"/>
      <c r="E170" s="478"/>
      <c r="F170" s="478"/>
      <c r="G170" s="478"/>
      <c r="H170" s="478"/>
      <c r="I170" s="479"/>
      <c r="K170" s="50"/>
      <c r="R170" s="177"/>
      <c r="S170" s="177"/>
      <c r="T170" s="177"/>
      <c r="U170" s="177"/>
      <c r="V170" s="177"/>
      <c r="W170" s="177"/>
      <c r="X170" s="177"/>
      <c r="Y170" s="177"/>
      <c r="Z170" s="177"/>
      <c r="AA170" s="177"/>
      <c r="AB170" s="177"/>
      <c r="AC170" s="177"/>
      <c r="AD170" s="177"/>
      <c r="AE170" s="177"/>
      <c r="AF170" s="177"/>
      <c r="AG170" s="177"/>
      <c r="AH170" s="177"/>
      <c r="AI170" s="177"/>
      <c r="AJ170" s="177"/>
    </row>
    <row r="171" spans="1:36" s="45" customFormat="1" ht="12.75" hidden="1" customHeight="1">
      <c r="A171" s="477"/>
      <c r="B171" s="478"/>
      <c r="C171" s="478"/>
      <c r="D171" s="478"/>
      <c r="E171" s="478"/>
      <c r="F171" s="478"/>
      <c r="G171" s="478"/>
      <c r="H171" s="478"/>
      <c r="I171" s="479"/>
      <c r="K171" s="50"/>
      <c r="R171" s="177"/>
      <c r="S171" s="177"/>
      <c r="T171" s="177"/>
      <c r="U171" s="177"/>
      <c r="V171" s="177"/>
      <c r="W171" s="177"/>
      <c r="X171" s="177"/>
      <c r="Y171" s="177"/>
      <c r="Z171" s="177"/>
      <c r="AA171" s="177"/>
      <c r="AB171" s="177"/>
      <c r="AC171" s="177"/>
      <c r="AD171" s="177"/>
      <c r="AE171" s="177"/>
      <c r="AF171" s="177"/>
      <c r="AG171" s="177"/>
      <c r="AH171" s="177"/>
      <c r="AI171" s="177"/>
      <c r="AJ171" s="177"/>
    </row>
    <row r="172" spans="1:36" s="45" customFormat="1" ht="12.75" hidden="1" customHeight="1">
      <c r="A172" s="477"/>
      <c r="B172" s="478"/>
      <c r="C172" s="478"/>
      <c r="D172" s="478"/>
      <c r="E172" s="478"/>
      <c r="F172" s="478"/>
      <c r="G172" s="478"/>
      <c r="H172" s="478"/>
      <c r="I172" s="479"/>
      <c r="K172" s="50"/>
      <c r="R172" s="177"/>
      <c r="S172" s="177"/>
      <c r="T172" s="177"/>
      <c r="U172" s="177"/>
      <c r="V172" s="177"/>
      <c r="W172" s="177"/>
      <c r="X172" s="177"/>
      <c r="Y172" s="177"/>
      <c r="Z172" s="177"/>
      <c r="AA172" s="177"/>
      <c r="AB172" s="177"/>
      <c r="AC172" s="177"/>
      <c r="AD172" s="177"/>
      <c r="AE172" s="177"/>
      <c r="AF172" s="177"/>
      <c r="AG172" s="177"/>
      <c r="AH172" s="177"/>
      <c r="AI172" s="177"/>
      <c r="AJ172" s="177"/>
    </row>
    <row r="173" spans="1:36" s="45" customFormat="1" ht="12.75" hidden="1" customHeight="1">
      <c r="A173" s="477"/>
      <c r="B173" s="478"/>
      <c r="C173" s="478"/>
      <c r="D173" s="478"/>
      <c r="E173" s="478"/>
      <c r="F173" s="478"/>
      <c r="G173" s="478"/>
      <c r="H173" s="478"/>
      <c r="I173" s="479"/>
      <c r="K173" s="50"/>
      <c r="R173" s="177"/>
      <c r="S173" s="177"/>
      <c r="T173" s="177"/>
      <c r="U173" s="177"/>
      <c r="V173" s="177"/>
      <c r="W173" s="177"/>
      <c r="X173" s="177"/>
      <c r="Y173" s="177"/>
      <c r="Z173" s="177"/>
      <c r="AA173" s="177"/>
      <c r="AB173" s="177"/>
      <c r="AC173" s="177"/>
      <c r="AD173" s="177"/>
      <c r="AE173" s="177"/>
      <c r="AF173" s="177"/>
      <c r="AG173" s="177"/>
      <c r="AH173" s="177"/>
      <c r="AI173" s="177"/>
      <c r="AJ173" s="177"/>
    </row>
    <row r="174" spans="1:36" s="45" customFormat="1" ht="12.75" hidden="1" customHeight="1">
      <c r="A174" s="477"/>
      <c r="B174" s="478"/>
      <c r="C174" s="478"/>
      <c r="D174" s="478"/>
      <c r="E174" s="478"/>
      <c r="F174" s="478"/>
      <c r="G174" s="478"/>
      <c r="H174" s="478"/>
      <c r="I174" s="479"/>
      <c r="K174" s="50"/>
      <c r="R174" s="177"/>
      <c r="S174" s="177"/>
      <c r="T174" s="177"/>
      <c r="U174" s="177"/>
      <c r="V174" s="177"/>
      <c r="W174" s="177"/>
      <c r="X174" s="177"/>
      <c r="Y174" s="177"/>
      <c r="Z174" s="177"/>
      <c r="AA174" s="177"/>
      <c r="AB174" s="177"/>
      <c r="AC174" s="177"/>
      <c r="AD174" s="177"/>
      <c r="AE174" s="177"/>
      <c r="AF174" s="177"/>
      <c r="AG174" s="177"/>
      <c r="AH174" s="177"/>
      <c r="AI174" s="177"/>
      <c r="AJ174" s="177"/>
    </row>
    <row r="175" spans="1:36" s="45" customFormat="1" ht="12.75" hidden="1" customHeight="1">
      <c r="A175" s="477"/>
      <c r="B175" s="478"/>
      <c r="C175" s="478"/>
      <c r="D175" s="478"/>
      <c r="E175" s="478"/>
      <c r="F175" s="478"/>
      <c r="G175" s="478"/>
      <c r="H175" s="478"/>
      <c r="I175" s="479"/>
      <c r="K175" s="50"/>
      <c r="R175" s="177"/>
      <c r="S175" s="177"/>
      <c r="T175" s="177"/>
      <c r="U175" s="177"/>
      <c r="V175" s="177"/>
      <c r="W175" s="177"/>
      <c r="X175" s="177"/>
      <c r="Y175" s="177"/>
      <c r="Z175" s="177"/>
      <c r="AA175" s="177"/>
      <c r="AB175" s="177"/>
      <c r="AC175" s="177"/>
      <c r="AD175" s="177"/>
      <c r="AE175" s="177"/>
      <c r="AF175" s="177"/>
      <c r="AG175" s="177"/>
      <c r="AH175" s="177"/>
      <c r="AI175" s="177"/>
      <c r="AJ175" s="177"/>
    </row>
    <row r="176" spans="1:36" s="45" customFormat="1" ht="12.75" hidden="1" customHeight="1">
      <c r="A176" s="477"/>
      <c r="B176" s="478"/>
      <c r="C176" s="478"/>
      <c r="D176" s="478"/>
      <c r="E176" s="478"/>
      <c r="F176" s="478"/>
      <c r="G176" s="478"/>
      <c r="H176" s="478"/>
      <c r="I176" s="479"/>
      <c r="K176" s="50"/>
      <c r="R176" s="177"/>
      <c r="S176" s="177"/>
      <c r="T176" s="177"/>
      <c r="U176" s="177"/>
      <c r="V176" s="177"/>
      <c r="W176" s="177"/>
      <c r="X176" s="177"/>
      <c r="Y176" s="177"/>
      <c r="Z176" s="177"/>
      <c r="AA176" s="177"/>
      <c r="AB176" s="177"/>
      <c r="AC176" s="177"/>
      <c r="AD176" s="177"/>
      <c r="AE176" s="177"/>
      <c r="AF176" s="177"/>
      <c r="AG176" s="177"/>
      <c r="AH176" s="177"/>
      <c r="AI176" s="177"/>
      <c r="AJ176" s="177"/>
    </row>
    <row r="177" spans="1:36" s="45" customFormat="1" ht="12.75" hidden="1" customHeight="1">
      <c r="A177" s="477"/>
      <c r="B177" s="478"/>
      <c r="C177" s="478"/>
      <c r="D177" s="478"/>
      <c r="E177" s="478"/>
      <c r="F177" s="478"/>
      <c r="G177" s="478"/>
      <c r="H177" s="478"/>
      <c r="I177" s="479"/>
      <c r="K177" s="50"/>
      <c r="R177" s="177"/>
      <c r="S177" s="177"/>
      <c r="T177" s="177"/>
      <c r="U177" s="177"/>
      <c r="V177" s="177"/>
      <c r="W177" s="177"/>
      <c r="X177" s="177"/>
      <c r="Y177" s="177"/>
      <c r="Z177" s="177"/>
      <c r="AA177" s="177"/>
      <c r="AB177" s="177"/>
      <c r="AC177" s="177"/>
      <c r="AD177" s="177"/>
      <c r="AE177" s="177"/>
      <c r="AF177" s="177"/>
      <c r="AG177" s="177"/>
      <c r="AH177" s="177"/>
      <c r="AI177" s="177"/>
      <c r="AJ177" s="177"/>
    </row>
    <row r="178" spans="1:36" s="45" customFormat="1" ht="12.75" hidden="1" customHeight="1">
      <c r="A178" s="477"/>
      <c r="B178" s="478"/>
      <c r="C178" s="478"/>
      <c r="D178" s="478"/>
      <c r="E178" s="478"/>
      <c r="F178" s="478"/>
      <c r="G178" s="478"/>
      <c r="H178" s="478"/>
      <c r="I178" s="479"/>
      <c r="K178" s="50"/>
      <c r="R178" s="177"/>
      <c r="S178" s="177"/>
      <c r="T178" s="177"/>
      <c r="U178" s="177"/>
      <c r="V178" s="177"/>
      <c r="W178" s="177"/>
      <c r="X178" s="177"/>
      <c r="Y178" s="177"/>
      <c r="Z178" s="177"/>
      <c r="AA178" s="177"/>
      <c r="AB178" s="177"/>
      <c r="AC178" s="177"/>
      <c r="AD178" s="177"/>
      <c r="AE178" s="177"/>
      <c r="AF178" s="177"/>
      <c r="AG178" s="177"/>
      <c r="AH178" s="177"/>
      <c r="AI178" s="177"/>
      <c r="AJ178" s="177"/>
    </row>
    <row r="179" spans="1:36" s="45" customFormat="1" ht="12.75" hidden="1" customHeight="1">
      <c r="A179" s="477"/>
      <c r="B179" s="478"/>
      <c r="C179" s="478"/>
      <c r="D179" s="478"/>
      <c r="E179" s="478"/>
      <c r="F179" s="478"/>
      <c r="G179" s="478"/>
      <c r="H179" s="478"/>
      <c r="I179" s="479"/>
      <c r="K179" s="50"/>
      <c r="R179" s="177"/>
      <c r="S179" s="177"/>
      <c r="T179" s="177"/>
      <c r="U179" s="177"/>
      <c r="V179" s="177"/>
      <c r="W179" s="177"/>
      <c r="X179" s="177"/>
      <c r="Y179" s="177"/>
      <c r="Z179" s="177"/>
      <c r="AA179" s="177"/>
      <c r="AB179" s="177"/>
      <c r="AC179" s="177"/>
      <c r="AD179" s="177"/>
      <c r="AE179" s="177"/>
      <c r="AF179" s="177"/>
      <c r="AG179" s="177"/>
      <c r="AH179" s="177"/>
      <c r="AI179" s="177"/>
      <c r="AJ179" s="177"/>
    </row>
    <row r="180" spans="1:36" s="45" customFormat="1" ht="12.75" hidden="1" customHeight="1">
      <c r="A180" s="477"/>
      <c r="B180" s="478"/>
      <c r="C180" s="478"/>
      <c r="D180" s="478"/>
      <c r="E180" s="478"/>
      <c r="F180" s="478"/>
      <c r="G180" s="478"/>
      <c r="H180" s="478"/>
      <c r="I180" s="479"/>
      <c r="K180" s="50"/>
      <c r="R180" s="177"/>
      <c r="S180" s="177"/>
      <c r="T180" s="177"/>
      <c r="U180" s="177"/>
      <c r="V180" s="177"/>
      <c r="W180" s="177"/>
      <c r="X180" s="177"/>
      <c r="Y180" s="177"/>
      <c r="Z180" s="177"/>
      <c r="AA180" s="177"/>
      <c r="AB180" s="177"/>
      <c r="AC180" s="177"/>
      <c r="AD180" s="177"/>
      <c r="AE180" s="177"/>
      <c r="AF180" s="177"/>
      <c r="AG180" s="177"/>
      <c r="AH180" s="177"/>
      <c r="AI180" s="177"/>
      <c r="AJ180" s="177"/>
    </row>
    <row r="181" spans="1:36" s="45" customFormat="1" ht="12.75" hidden="1" customHeight="1">
      <c r="A181" s="477"/>
      <c r="B181" s="478"/>
      <c r="C181" s="478"/>
      <c r="D181" s="478"/>
      <c r="E181" s="478"/>
      <c r="F181" s="478"/>
      <c r="G181" s="478"/>
      <c r="H181" s="478"/>
      <c r="I181" s="479"/>
      <c r="K181" s="50"/>
      <c r="R181" s="177"/>
      <c r="S181" s="177"/>
      <c r="T181" s="177"/>
      <c r="U181" s="177"/>
      <c r="V181" s="177"/>
      <c r="W181" s="177"/>
      <c r="X181" s="177"/>
      <c r="Y181" s="177"/>
      <c r="Z181" s="177"/>
      <c r="AA181" s="177"/>
      <c r="AB181" s="177"/>
      <c r="AC181" s="177"/>
      <c r="AD181" s="177"/>
      <c r="AE181" s="177"/>
      <c r="AF181" s="177"/>
      <c r="AG181" s="177"/>
      <c r="AH181" s="177"/>
      <c r="AI181" s="177"/>
      <c r="AJ181" s="177"/>
    </row>
    <row r="182" spans="1:36" s="45" customFormat="1" ht="12.75" hidden="1" customHeight="1">
      <c r="A182" s="477"/>
      <c r="B182" s="478"/>
      <c r="C182" s="478"/>
      <c r="D182" s="478"/>
      <c r="E182" s="478"/>
      <c r="F182" s="478"/>
      <c r="G182" s="478"/>
      <c r="H182" s="478"/>
      <c r="I182" s="479"/>
      <c r="K182" s="50"/>
      <c r="R182" s="177"/>
      <c r="S182" s="177"/>
      <c r="T182" s="177"/>
      <c r="U182" s="177"/>
      <c r="V182" s="177"/>
      <c r="W182" s="177"/>
      <c r="X182" s="177"/>
      <c r="Y182" s="177"/>
      <c r="Z182" s="177"/>
      <c r="AA182" s="177"/>
      <c r="AB182" s="177"/>
      <c r="AC182" s="177"/>
      <c r="AD182" s="177"/>
      <c r="AE182" s="177"/>
      <c r="AF182" s="177"/>
      <c r="AG182" s="177"/>
      <c r="AH182" s="177"/>
      <c r="AI182" s="177"/>
      <c r="AJ182" s="177"/>
    </row>
    <row r="183" spans="1:36" s="45" customFormat="1" ht="12.75" hidden="1" customHeight="1">
      <c r="A183" s="477"/>
      <c r="B183" s="478"/>
      <c r="C183" s="478"/>
      <c r="D183" s="478"/>
      <c r="E183" s="478"/>
      <c r="F183" s="478"/>
      <c r="G183" s="478"/>
      <c r="H183" s="478"/>
      <c r="I183" s="479"/>
      <c r="K183" s="50"/>
      <c r="R183" s="177"/>
      <c r="S183" s="177"/>
      <c r="T183" s="177"/>
      <c r="U183" s="177"/>
      <c r="V183" s="177"/>
      <c r="W183" s="177"/>
      <c r="X183" s="177"/>
      <c r="Y183" s="177"/>
      <c r="Z183" s="177"/>
      <c r="AA183" s="177"/>
      <c r="AB183" s="177"/>
      <c r="AC183" s="177"/>
      <c r="AD183" s="177"/>
      <c r="AE183" s="177"/>
      <c r="AF183" s="177"/>
      <c r="AG183" s="177"/>
      <c r="AH183" s="177"/>
      <c r="AI183" s="177"/>
      <c r="AJ183" s="177"/>
    </row>
    <row r="184" spans="1:36" s="45" customFormat="1" ht="12.75" hidden="1" customHeight="1">
      <c r="A184" s="477"/>
      <c r="B184" s="478"/>
      <c r="C184" s="478"/>
      <c r="D184" s="478"/>
      <c r="E184" s="478"/>
      <c r="F184" s="478"/>
      <c r="G184" s="478"/>
      <c r="H184" s="478"/>
      <c r="I184" s="479"/>
      <c r="K184" s="50"/>
      <c r="R184" s="177"/>
      <c r="S184" s="177"/>
      <c r="T184" s="177"/>
      <c r="U184" s="177"/>
      <c r="V184" s="177"/>
      <c r="W184" s="177"/>
      <c r="X184" s="177"/>
      <c r="Y184" s="177"/>
      <c r="Z184" s="177"/>
      <c r="AA184" s="177"/>
      <c r="AB184" s="177"/>
      <c r="AC184" s="177"/>
      <c r="AD184" s="177"/>
      <c r="AE184" s="177"/>
      <c r="AF184" s="177"/>
      <c r="AG184" s="177"/>
      <c r="AH184" s="177"/>
      <c r="AI184" s="177"/>
      <c r="AJ184" s="177"/>
    </row>
    <row r="185" spans="1:36" s="45" customFormat="1" ht="12.75" hidden="1" customHeight="1">
      <c r="A185" s="477"/>
      <c r="B185" s="478"/>
      <c r="C185" s="478"/>
      <c r="D185" s="478"/>
      <c r="E185" s="478"/>
      <c r="F185" s="478"/>
      <c r="G185" s="478"/>
      <c r="H185" s="478"/>
      <c r="I185" s="479"/>
      <c r="K185" s="50"/>
      <c r="R185" s="177"/>
      <c r="S185" s="177"/>
      <c r="T185" s="177"/>
      <c r="U185" s="177"/>
      <c r="V185" s="177"/>
      <c r="W185" s="177"/>
      <c r="X185" s="177"/>
      <c r="Y185" s="177"/>
      <c r="Z185" s="177"/>
      <c r="AA185" s="177"/>
      <c r="AB185" s="177"/>
      <c r="AC185" s="177"/>
      <c r="AD185" s="177"/>
      <c r="AE185" s="177"/>
      <c r="AF185" s="177"/>
      <c r="AG185" s="177"/>
      <c r="AH185" s="177"/>
      <c r="AI185" s="177"/>
      <c r="AJ185" s="177"/>
    </row>
    <row r="186" spans="1:36" s="45" customFormat="1" ht="14.25" hidden="1" customHeight="1">
      <c r="A186" s="477"/>
      <c r="B186" s="478"/>
      <c r="C186" s="478"/>
      <c r="D186" s="478"/>
      <c r="E186" s="478"/>
      <c r="F186" s="478"/>
      <c r="G186" s="478"/>
      <c r="H186" s="478"/>
      <c r="I186" s="479"/>
      <c r="K186" s="50"/>
      <c r="R186" s="177"/>
      <c r="S186" s="177"/>
      <c r="T186" s="177"/>
      <c r="U186" s="177"/>
      <c r="V186" s="177"/>
      <c r="W186" s="177"/>
      <c r="X186" s="177"/>
      <c r="Y186" s="177"/>
      <c r="Z186" s="177"/>
      <c r="AA186" s="177"/>
      <c r="AB186" s="177"/>
      <c r="AC186" s="177"/>
      <c r="AD186" s="177"/>
      <c r="AE186" s="177"/>
      <c r="AF186" s="177"/>
      <c r="AG186" s="177"/>
      <c r="AH186" s="177"/>
      <c r="AI186" s="177"/>
      <c r="AJ186" s="177"/>
    </row>
    <row r="187" spans="1:36" s="45" customFormat="1" ht="12.75" hidden="1" customHeight="1">
      <c r="A187" s="477"/>
      <c r="B187" s="478"/>
      <c r="C187" s="478"/>
      <c r="D187" s="478"/>
      <c r="E187" s="478"/>
      <c r="F187" s="478"/>
      <c r="G187" s="478"/>
      <c r="H187" s="478"/>
      <c r="I187" s="479"/>
      <c r="K187" s="50"/>
      <c r="R187" s="177"/>
      <c r="S187" s="177"/>
      <c r="T187" s="177"/>
      <c r="U187" s="177"/>
      <c r="V187" s="177"/>
      <c r="W187" s="177"/>
      <c r="X187" s="177"/>
      <c r="Y187" s="177"/>
      <c r="Z187" s="177"/>
      <c r="AA187" s="177"/>
      <c r="AB187" s="177"/>
      <c r="AC187" s="177"/>
      <c r="AD187" s="177"/>
      <c r="AE187" s="177"/>
      <c r="AF187" s="177"/>
      <c r="AG187" s="177"/>
      <c r="AH187" s="177"/>
      <c r="AI187" s="177"/>
      <c r="AJ187" s="177"/>
    </row>
    <row r="188" spans="1:36" s="45" customFormat="1" ht="12.75" hidden="1" customHeight="1">
      <c r="A188" s="477"/>
      <c r="B188" s="478"/>
      <c r="C188" s="478"/>
      <c r="D188" s="478"/>
      <c r="E188" s="478"/>
      <c r="F188" s="478"/>
      <c r="G188" s="478"/>
      <c r="H188" s="478"/>
      <c r="I188" s="479"/>
      <c r="K188" s="50"/>
      <c r="R188" s="177"/>
      <c r="S188" s="177"/>
      <c r="T188" s="177"/>
      <c r="U188" s="177"/>
      <c r="V188" s="177"/>
      <c r="W188" s="177"/>
      <c r="X188" s="177"/>
      <c r="Y188" s="177"/>
      <c r="Z188" s="177"/>
      <c r="AA188" s="177"/>
      <c r="AB188" s="177"/>
      <c r="AC188" s="177"/>
      <c r="AD188" s="177"/>
      <c r="AE188" s="177"/>
      <c r="AF188" s="177"/>
      <c r="AG188" s="177"/>
      <c r="AH188" s="177"/>
      <c r="AI188" s="177"/>
      <c r="AJ188" s="177"/>
    </row>
    <row r="189" spans="1:36" s="45" customFormat="1" ht="12.75" hidden="1" customHeight="1">
      <c r="A189" s="477"/>
      <c r="B189" s="478"/>
      <c r="C189" s="478"/>
      <c r="D189" s="478"/>
      <c r="E189" s="478"/>
      <c r="F189" s="478"/>
      <c r="G189" s="478"/>
      <c r="H189" s="478"/>
      <c r="I189" s="479"/>
      <c r="K189" s="50"/>
      <c r="R189" s="177"/>
      <c r="S189" s="177"/>
      <c r="T189" s="177"/>
      <c r="U189" s="177"/>
      <c r="V189" s="177"/>
      <c r="W189" s="177"/>
      <c r="X189" s="177"/>
      <c r="Y189" s="177"/>
      <c r="Z189" s="177"/>
      <c r="AA189" s="177"/>
      <c r="AB189" s="177"/>
      <c r="AC189" s="177"/>
      <c r="AD189" s="177"/>
      <c r="AE189" s="177"/>
      <c r="AF189" s="177"/>
      <c r="AG189" s="177"/>
      <c r="AH189" s="177"/>
      <c r="AI189" s="177"/>
      <c r="AJ189" s="177"/>
    </row>
    <row r="190" spans="1:36" s="45" customFormat="1" ht="12.75" hidden="1" customHeight="1">
      <c r="A190" s="477"/>
      <c r="B190" s="478"/>
      <c r="C190" s="478"/>
      <c r="D190" s="478"/>
      <c r="E190" s="478"/>
      <c r="F190" s="478"/>
      <c r="G190" s="478"/>
      <c r="H190" s="478"/>
      <c r="I190" s="479"/>
      <c r="K190" s="50"/>
      <c r="R190" s="177"/>
      <c r="S190" s="177"/>
      <c r="T190" s="177"/>
      <c r="U190" s="177"/>
      <c r="V190" s="177"/>
      <c r="W190" s="177"/>
      <c r="X190" s="177"/>
      <c r="Y190" s="177"/>
      <c r="Z190" s="177"/>
      <c r="AA190" s="177"/>
      <c r="AB190" s="177"/>
      <c r="AC190" s="177"/>
      <c r="AD190" s="177"/>
      <c r="AE190" s="177"/>
      <c r="AF190" s="177"/>
      <c r="AG190" s="177"/>
      <c r="AH190" s="177"/>
      <c r="AI190" s="177"/>
      <c r="AJ190" s="177"/>
    </row>
    <row r="191" spans="1:36" s="45" customFormat="1" ht="12.75" hidden="1" customHeight="1">
      <c r="A191" s="477"/>
      <c r="B191" s="478"/>
      <c r="C191" s="478"/>
      <c r="D191" s="478"/>
      <c r="E191" s="478"/>
      <c r="F191" s="478"/>
      <c r="G191" s="478"/>
      <c r="H191" s="478"/>
      <c r="I191" s="479"/>
      <c r="K191" s="50"/>
      <c r="R191" s="177"/>
      <c r="S191" s="177"/>
      <c r="T191" s="177"/>
      <c r="U191" s="177"/>
      <c r="V191" s="177"/>
      <c r="W191" s="177"/>
      <c r="X191" s="177"/>
      <c r="Y191" s="177"/>
      <c r="Z191" s="177"/>
      <c r="AA191" s="177"/>
      <c r="AB191" s="177"/>
      <c r="AC191" s="177"/>
      <c r="AD191" s="177"/>
      <c r="AE191" s="177"/>
      <c r="AF191" s="177"/>
      <c r="AG191" s="177"/>
      <c r="AH191" s="177"/>
      <c r="AI191" s="177"/>
      <c r="AJ191" s="177"/>
    </row>
    <row r="192" spans="1:36" s="45" customFormat="1" ht="12.75" hidden="1" customHeight="1">
      <c r="A192" s="477"/>
      <c r="B192" s="478"/>
      <c r="C192" s="478"/>
      <c r="D192" s="478"/>
      <c r="E192" s="478"/>
      <c r="F192" s="478"/>
      <c r="G192" s="478"/>
      <c r="H192" s="478"/>
      <c r="I192" s="479"/>
      <c r="K192" s="50"/>
      <c r="R192" s="177"/>
      <c r="S192" s="177"/>
      <c r="T192" s="177"/>
      <c r="U192" s="177"/>
      <c r="V192" s="177"/>
      <c r="W192" s="177"/>
      <c r="X192" s="177"/>
      <c r="Y192" s="177"/>
      <c r="Z192" s="177"/>
      <c r="AA192" s="177"/>
      <c r="AB192" s="177"/>
      <c r="AC192" s="177"/>
      <c r="AD192" s="177"/>
      <c r="AE192" s="177"/>
      <c r="AF192" s="177"/>
      <c r="AG192" s="177"/>
      <c r="AH192" s="177"/>
      <c r="AI192" s="177"/>
      <c r="AJ192" s="177"/>
    </row>
    <row r="193" spans="1:36" s="45" customFormat="1" ht="12.75" hidden="1" customHeight="1">
      <c r="A193" s="477"/>
      <c r="B193" s="478"/>
      <c r="C193" s="478"/>
      <c r="D193" s="478"/>
      <c r="E193" s="478"/>
      <c r="F193" s="478"/>
      <c r="G193" s="478"/>
      <c r="H193" s="478"/>
      <c r="I193" s="479"/>
      <c r="K193" s="50"/>
      <c r="R193" s="177"/>
      <c r="S193" s="177"/>
      <c r="T193" s="177"/>
      <c r="U193" s="177"/>
      <c r="V193" s="177"/>
      <c r="W193" s="177"/>
      <c r="X193" s="177"/>
      <c r="Y193" s="177"/>
      <c r="Z193" s="177"/>
      <c r="AA193" s="177"/>
      <c r="AB193" s="177"/>
      <c r="AC193" s="177"/>
      <c r="AD193" s="177"/>
      <c r="AE193" s="177"/>
      <c r="AF193" s="177"/>
      <c r="AG193" s="177"/>
      <c r="AH193" s="177"/>
      <c r="AI193" s="177"/>
      <c r="AJ193" s="177"/>
    </row>
    <row r="194" spans="1:36" s="45" customFormat="1" ht="12.75" hidden="1" customHeight="1">
      <c r="A194" s="477"/>
      <c r="B194" s="478"/>
      <c r="C194" s="478"/>
      <c r="D194" s="478"/>
      <c r="E194" s="478"/>
      <c r="F194" s="478"/>
      <c r="G194" s="478"/>
      <c r="H194" s="478"/>
      <c r="I194" s="479"/>
      <c r="K194" s="50"/>
      <c r="R194" s="177"/>
      <c r="S194" s="177"/>
      <c r="T194" s="177"/>
      <c r="U194" s="177"/>
      <c r="V194" s="177"/>
      <c r="W194" s="177"/>
      <c r="X194" s="177"/>
      <c r="Y194" s="177"/>
      <c r="Z194" s="177"/>
      <c r="AA194" s="177"/>
      <c r="AB194" s="177"/>
      <c r="AC194" s="177"/>
      <c r="AD194" s="177"/>
      <c r="AE194" s="177"/>
      <c r="AF194" s="177"/>
      <c r="AG194" s="177"/>
      <c r="AH194" s="177"/>
      <c r="AI194" s="177"/>
      <c r="AJ194" s="177"/>
    </row>
    <row r="195" spans="1:36" s="45" customFormat="1" ht="12.75" hidden="1" customHeight="1">
      <c r="A195" s="477"/>
      <c r="B195" s="478"/>
      <c r="C195" s="478"/>
      <c r="D195" s="478"/>
      <c r="E195" s="478"/>
      <c r="F195" s="478"/>
      <c r="G195" s="478"/>
      <c r="H195" s="478"/>
      <c r="I195" s="479"/>
      <c r="K195" s="50"/>
      <c r="R195" s="177"/>
      <c r="S195" s="177"/>
      <c r="T195" s="177"/>
      <c r="U195" s="177"/>
      <c r="V195" s="177"/>
      <c r="W195" s="177"/>
      <c r="X195" s="177"/>
      <c r="Y195" s="177"/>
      <c r="Z195" s="177"/>
      <c r="AA195" s="177"/>
      <c r="AB195" s="177"/>
      <c r="AC195" s="177"/>
      <c r="AD195" s="177"/>
      <c r="AE195" s="177"/>
      <c r="AF195" s="177"/>
      <c r="AG195" s="177"/>
      <c r="AH195" s="177"/>
      <c r="AI195" s="177"/>
      <c r="AJ195" s="177"/>
    </row>
    <row r="196" spans="1:36" s="45" customFormat="1" ht="12.75" hidden="1" customHeight="1">
      <c r="A196" s="477"/>
      <c r="B196" s="478"/>
      <c r="C196" s="478"/>
      <c r="D196" s="478"/>
      <c r="E196" s="478"/>
      <c r="F196" s="478"/>
      <c r="G196" s="478"/>
      <c r="H196" s="478"/>
      <c r="I196" s="479"/>
      <c r="K196" s="50"/>
      <c r="R196" s="177"/>
      <c r="S196" s="177"/>
      <c r="T196" s="177"/>
      <c r="U196" s="177"/>
      <c r="V196" s="177"/>
      <c r="W196" s="177"/>
      <c r="X196" s="177"/>
      <c r="Y196" s="177"/>
      <c r="Z196" s="177"/>
      <c r="AA196" s="177"/>
      <c r="AB196" s="177"/>
      <c r="AC196" s="177"/>
      <c r="AD196" s="177"/>
      <c r="AE196" s="177"/>
      <c r="AF196" s="177"/>
      <c r="AG196" s="177"/>
      <c r="AH196" s="177"/>
      <c r="AI196" s="177"/>
      <c r="AJ196" s="177"/>
    </row>
    <row r="197" spans="1:36" s="45" customFormat="1" ht="12.75" hidden="1" customHeight="1">
      <c r="A197" s="477"/>
      <c r="B197" s="478"/>
      <c r="C197" s="478"/>
      <c r="D197" s="478"/>
      <c r="E197" s="478"/>
      <c r="F197" s="478"/>
      <c r="G197" s="478"/>
      <c r="H197" s="478"/>
      <c r="I197" s="479"/>
      <c r="K197" s="50"/>
      <c r="R197" s="177"/>
      <c r="S197" s="177"/>
      <c r="T197" s="177"/>
      <c r="U197" s="177"/>
      <c r="V197" s="177"/>
      <c r="W197" s="177"/>
      <c r="X197" s="177"/>
      <c r="Y197" s="177"/>
      <c r="Z197" s="177"/>
      <c r="AA197" s="177"/>
      <c r="AB197" s="177"/>
      <c r="AC197" s="177"/>
      <c r="AD197" s="177"/>
      <c r="AE197" s="177"/>
      <c r="AF197" s="177"/>
      <c r="AG197" s="177"/>
      <c r="AH197" s="177"/>
      <c r="AI197" s="177"/>
      <c r="AJ197" s="177"/>
    </row>
    <row r="198" spans="1:36" s="45" customFormat="1" ht="12.75" hidden="1" customHeight="1">
      <c r="A198" s="477"/>
      <c r="B198" s="478"/>
      <c r="C198" s="478"/>
      <c r="D198" s="478"/>
      <c r="E198" s="478"/>
      <c r="F198" s="478"/>
      <c r="G198" s="478"/>
      <c r="H198" s="478"/>
      <c r="I198" s="479"/>
      <c r="K198" s="50"/>
      <c r="R198" s="177"/>
      <c r="S198" s="177"/>
      <c r="T198" s="177"/>
      <c r="U198" s="177"/>
      <c r="V198" s="177"/>
      <c r="W198" s="177"/>
      <c r="X198" s="177"/>
      <c r="Y198" s="177"/>
      <c r="Z198" s="177"/>
      <c r="AA198" s="177"/>
      <c r="AB198" s="177"/>
      <c r="AC198" s="177"/>
      <c r="AD198" s="177"/>
      <c r="AE198" s="177"/>
      <c r="AF198" s="177"/>
      <c r="AG198" s="177"/>
      <c r="AH198" s="177"/>
      <c r="AI198" s="177"/>
      <c r="AJ198" s="177"/>
    </row>
    <row r="199" spans="1:36" s="45" customFormat="1" ht="12.75" hidden="1" customHeight="1">
      <c r="A199" s="477"/>
      <c r="B199" s="478"/>
      <c r="C199" s="478"/>
      <c r="D199" s="478"/>
      <c r="E199" s="478"/>
      <c r="F199" s="478"/>
      <c r="G199" s="478"/>
      <c r="H199" s="478"/>
      <c r="I199" s="479"/>
      <c r="K199" s="50"/>
      <c r="R199" s="177"/>
      <c r="S199" s="177"/>
      <c r="T199" s="177"/>
      <c r="U199" s="177"/>
      <c r="V199" s="177"/>
      <c r="W199" s="177"/>
      <c r="X199" s="177"/>
      <c r="Y199" s="177"/>
      <c r="Z199" s="177"/>
      <c r="AA199" s="177"/>
      <c r="AB199" s="177"/>
      <c r="AC199" s="177"/>
      <c r="AD199" s="177"/>
      <c r="AE199" s="177"/>
      <c r="AF199" s="177"/>
      <c r="AG199" s="177"/>
      <c r="AH199" s="177"/>
      <c r="AI199" s="177"/>
      <c r="AJ199" s="177"/>
    </row>
    <row r="200" spans="1:36" s="45" customFormat="1" ht="13.5" hidden="1" customHeight="1" thickBot="1">
      <c r="A200" s="483"/>
      <c r="B200" s="484"/>
      <c r="C200" s="484"/>
      <c r="D200" s="484"/>
      <c r="E200" s="484"/>
      <c r="F200" s="484"/>
      <c r="G200" s="484"/>
      <c r="H200" s="484"/>
      <c r="I200" s="485"/>
      <c r="K200" s="50"/>
      <c r="R200" s="177"/>
      <c r="S200" s="177"/>
      <c r="T200" s="177"/>
      <c r="U200" s="177"/>
      <c r="V200" s="177"/>
      <c r="W200" s="177"/>
      <c r="X200" s="177"/>
      <c r="Y200" s="177"/>
      <c r="Z200" s="177"/>
      <c r="AA200" s="177"/>
      <c r="AB200" s="177"/>
      <c r="AC200" s="177"/>
      <c r="AD200" s="177"/>
      <c r="AE200" s="177"/>
      <c r="AF200" s="177"/>
      <c r="AG200" s="177"/>
      <c r="AH200" s="177"/>
      <c r="AI200" s="177"/>
      <c r="AJ200" s="177"/>
    </row>
    <row r="201" spans="1:36" s="45" customFormat="1" ht="15.75" hidden="1" customHeight="1">
      <c r="A201" s="534" t="s">
        <v>753</v>
      </c>
      <c r="B201" s="535"/>
      <c r="C201" s="535"/>
      <c r="D201" s="535"/>
      <c r="E201" s="535"/>
      <c r="F201" s="535"/>
      <c r="G201" s="535"/>
      <c r="H201" s="535"/>
      <c r="I201" s="536"/>
      <c r="K201" s="50"/>
      <c r="R201" s="177"/>
      <c r="S201" s="177"/>
      <c r="T201" s="177"/>
      <c r="U201" s="177"/>
      <c r="V201" s="177"/>
      <c r="W201" s="177"/>
      <c r="X201" s="177"/>
      <c r="Y201" s="177"/>
      <c r="Z201" s="177"/>
      <c r="AA201" s="177"/>
      <c r="AB201" s="177"/>
      <c r="AC201" s="177"/>
      <c r="AD201" s="177"/>
      <c r="AE201" s="177"/>
      <c r="AF201" s="177"/>
      <c r="AG201" s="177"/>
      <c r="AH201" s="177"/>
      <c r="AI201" s="177"/>
      <c r="AJ201" s="177"/>
    </row>
    <row r="202" spans="1:36" s="45" customFormat="1" ht="15.75" hidden="1" customHeight="1">
      <c r="A202" s="537"/>
      <c r="B202" s="538"/>
      <c r="C202" s="538"/>
      <c r="D202" s="538"/>
      <c r="E202" s="538"/>
      <c r="F202" s="538"/>
      <c r="G202" s="538"/>
      <c r="H202" s="538"/>
      <c r="I202" s="539"/>
      <c r="K202" s="50"/>
      <c r="R202" s="177"/>
      <c r="S202" s="177"/>
      <c r="T202" s="177"/>
      <c r="U202" s="177"/>
      <c r="V202" s="177"/>
      <c r="W202" s="177"/>
      <c r="X202" s="177"/>
      <c r="Y202" s="177"/>
      <c r="Z202" s="177"/>
      <c r="AA202" s="177"/>
      <c r="AB202" s="177"/>
      <c r="AC202" s="177"/>
      <c r="AD202" s="177"/>
      <c r="AE202" s="177"/>
      <c r="AF202" s="177"/>
      <c r="AG202" s="177"/>
      <c r="AH202" s="177"/>
      <c r="AI202" s="177"/>
      <c r="AJ202" s="177"/>
    </row>
    <row r="203" spans="1:36" s="45" customFormat="1" ht="15" hidden="1" customHeight="1">
      <c r="A203" s="537"/>
      <c r="B203" s="538"/>
      <c r="C203" s="538"/>
      <c r="D203" s="538"/>
      <c r="E203" s="538"/>
      <c r="F203" s="538"/>
      <c r="G203" s="538"/>
      <c r="H203" s="538"/>
      <c r="I203" s="539"/>
      <c r="K203" s="50"/>
      <c r="R203" s="177"/>
      <c r="S203" s="177"/>
      <c r="T203" s="177"/>
      <c r="U203" s="177"/>
      <c r="V203" s="177"/>
      <c r="W203" s="177"/>
      <c r="X203" s="177"/>
      <c r="Y203" s="177"/>
      <c r="Z203" s="177"/>
      <c r="AA203" s="177"/>
      <c r="AB203" s="177"/>
      <c r="AC203" s="177"/>
      <c r="AD203" s="177"/>
      <c r="AE203" s="177"/>
      <c r="AF203" s="177"/>
      <c r="AG203" s="177"/>
      <c r="AH203" s="177"/>
      <c r="AI203" s="177"/>
      <c r="AJ203" s="177"/>
    </row>
    <row r="204" spans="1:36" s="45" customFormat="1" ht="15" hidden="1" customHeight="1">
      <c r="A204" s="537"/>
      <c r="B204" s="538"/>
      <c r="C204" s="538"/>
      <c r="D204" s="538"/>
      <c r="E204" s="538"/>
      <c r="F204" s="538"/>
      <c r="G204" s="538"/>
      <c r="H204" s="538"/>
      <c r="I204" s="539"/>
      <c r="K204" s="50"/>
      <c r="R204" s="177"/>
      <c r="S204" s="177"/>
      <c r="T204" s="177"/>
      <c r="U204" s="177"/>
      <c r="V204" s="177"/>
      <c r="W204" s="177"/>
      <c r="X204" s="177"/>
      <c r="Y204" s="177"/>
      <c r="Z204" s="177"/>
      <c r="AA204" s="177"/>
      <c r="AB204" s="177"/>
      <c r="AC204" s="177"/>
      <c r="AD204" s="177"/>
      <c r="AE204" s="177"/>
      <c r="AF204" s="177"/>
      <c r="AG204" s="177"/>
      <c r="AH204" s="177"/>
      <c r="AI204" s="177"/>
      <c r="AJ204" s="177"/>
    </row>
    <row r="205" spans="1:36" s="45" customFormat="1" ht="15" hidden="1" customHeight="1">
      <c r="A205" s="537"/>
      <c r="B205" s="538"/>
      <c r="C205" s="538"/>
      <c r="D205" s="538"/>
      <c r="E205" s="538"/>
      <c r="F205" s="538"/>
      <c r="G205" s="538"/>
      <c r="H205" s="538"/>
      <c r="I205" s="539"/>
      <c r="K205" s="50"/>
      <c r="R205" s="177"/>
      <c r="S205" s="177"/>
      <c r="T205" s="177"/>
      <c r="U205" s="177"/>
      <c r="V205" s="177"/>
      <c r="W205" s="177"/>
      <c r="X205" s="177"/>
      <c r="Y205" s="177"/>
      <c r="Z205" s="177"/>
      <c r="AA205" s="177"/>
      <c r="AB205" s="177"/>
      <c r="AC205" s="177"/>
      <c r="AD205" s="177"/>
      <c r="AE205" s="177"/>
      <c r="AF205" s="177"/>
      <c r="AG205" s="177"/>
      <c r="AH205" s="177"/>
      <c r="AI205" s="177"/>
      <c r="AJ205" s="177"/>
    </row>
    <row r="206" spans="1:36" s="45" customFormat="1" ht="15" hidden="1" customHeight="1">
      <c r="A206" s="537"/>
      <c r="B206" s="538"/>
      <c r="C206" s="538"/>
      <c r="D206" s="538"/>
      <c r="E206" s="538"/>
      <c r="F206" s="538"/>
      <c r="G206" s="538"/>
      <c r="H206" s="538"/>
      <c r="I206" s="539"/>
      <c r="K206" s="50"/>
      <c r="R206" s="177"/>
      <c r="S206" s="177"/>
      <c r="T206" s="177"/>
      <c r="U206" s="177"/>
      <c r="V206" s="177"/>
      <c r="W206" s="177"/>
      <c r="X206" s="177"/>
      <c r="Y206" s="177"/>
      <c r="Z206" s="177"/>
      <c r="AA206" s="177"/>
      <c r="AB206" s="177"/>
      <c r="AC206" s="177"/>
      <c r="AD206" s="177"/>
      <c r="AE206" s="177"/>
      <c r="AF206" s="177"/>
      <c r="AG206" s="177"/>
      <c r="AH206" s="177"/>
      <c r="AI206" s="177"/>
      <c r="AJ206" s="177"/>
    </row>
    <row r="207" spans="1:36" s="45" customFormat="1" ht="15" hidden="1" customHeight="1">
      <c r="A207" s="537"/>
      <c r="B207" s="538"/>
      <c r="C207" s="538"/>
      <c r="D207" s="538"/>
      <c r="E207" s="538"/>
      <c r="F207" s="538"/>
      <c r="G207" s="538"/>
      <c r="H207" s="538"/>
      <c r="I207" s="539"/>
      <c r="K207" s="50"/>
      <c r="R207" s="177"/>
      <c r="S207" s="177"/>
      <c r="T207" s="177"/>
      <c r="U207" s="177"/>
      <c r="V207" s="177"/>
      <c r="W207" s="177"/>
      <c r="X207" s="177"/>
      <c r="Y207" s="177"/>
      <c r="Z207" s="177"/>
      <c r="AA207" s="177"/>
      <c r="AB207" s="177"/>
      <c r="AC207" s="177"/>
      <c r="AD207" s="177"/>
      <c r="AE207" s="177"/>
      <c r="AF207" s="177"/>
      <c r="AG207" s="177"/>
      <c r="AH207" s="177"/>
      <c r="AI207" s="177"/>
      <c r="AJ207" s="177"/>
    </row>
    <row r="208" spans="1:36" s="45" customFormat="1" ht="15" hidden="1" customHeight="1">
      <c r="A208" s="537"/>
      <c r="B208" s="538"/>
      <c r="C208" s="538"/>
      <c r="D208" s="538"/>
      <c r="E208" s="538"/>
      <c r="F208" s="538"/>
      <c r="G208" s="538"/>
      <c r="H208" s="538"/>
      <c r="I208" s="539"/>
      <c r="K208" s="50"/>
      <c r="R208" s="177"/>
      <c r="S208" s="177"/>
      <c r="T208" s="177"/>
      <c r="U208" s="177"/>
      <c r="V208" s="177"/>
      <c r="W208" s="177"/>
      <c r="X208" s="177"/>
      <c r="Y208" s="177"/>
      <c r="Z208" s="177"/>
      <c r="AA208" s="177"/>
      <c r="AB208" s="177"/>
      <c r="AC208" s="177"/>
      <c r="AD208" s="177"/>
      <c r="AE208" s="177"/>
      <c r="AF208" s="177"/>
      <c r="AG208" s="177"/>
      <c r="AH208" s="177"/>
      <c r="AI208" s="177"/>
      <c r="AJ208" s="177"/>
    </row>
    <row r="209" spans="1:36" s="45" customFormat="1" ht="15" hidden="1" customHeight="1">
      <c r="A209" s="537"/>
      <c r="B209" s="538"/>
      <c r="C209" s="538"/>
      <c r="D209" s="538"/>
      <c r="E209" s="538"/>
      <c r="F209" s="538"/>
      <c r="G209" s="538"/>
      <c r="H209" s="538"/>
      <c r="I209" s="539"/>
      <c r="K209" s="50"/>
      <c r="R209" s="177"/>
      <c r="S209" s="177"/>
      <c r="T209" s="177"/>
      <c r="U209" s="177"/>
      <c r="V209" s="177"/>
      <c r="W209" s="177"/>
      <c r="X209" s="177"/>
      <c r="Y209" s="177"/>
      <c r="Z209" s="177"/>
      <c r="AA209" s="177"/>
      <c r="AB209" s="177"/>
      <c r="AC209" s="177"/>
      <c r="AD209" s="177"/>
      <c r="AE209" s="177"/>
      <c r="AF209" s="177"/>
      <c r="AG209" s="177"/>
      <c r="AH209" s="177"/>
      <c r="AI209" s="177"/>
      <c r="AJ209" s="177"/>
    </row>
    <row r="210" spans="1:36" s="45" customFormat="1" ht="15" hidden="1" customHeight="1">
      <c r="A210" s="537"/>
      <c r="B210" s="538"/>
      <c r="C210" s="538"/>
      <c r="D210" s="538"/>
      <c r="E210" s="538"/>
      <c r="F210" s="538"/>
      <c r="G210" s="538"/>
      <c r="H210" s="538"/>
      <c r="I210" s="539"/>
      <c r="K210" s="50"/>
      <c r="R210" s="177"/>
      <c r="S210" s="177"/>
      <c r="T210" s="177"/>
      <c r="U210" s="177"/>
      <c r="V210" s="177"/>
      <c r="W210" s="177"/>
      <c r="X210" s="177"/>
      <c r="Y210" s="177"/>
      <c r="Z210" s="177"/>
      <c r="AA210" s="177"/>
      <c r="AB210" s="177"/>
      <c r="AC210" s="177"/>
      <c r="AD210" s="177"/>
      <c r="AE210" s="177"/>
      <c r="AF210" s="177"/>
      <c r="AG210" s="177"/>
      <c r="AH210" s="177"/>
      <c r="AI210" s="177"/>
      <c r="AJ210" s="177"/>
    </row>
    <row r="211" spans="1:36" s="45" customFormat="1" ht="15" hidden="1" customHeight="1">
      <c r="A211" s="537"/>
      <c r="B211" s="538"/>
      <c r="C211" s="538"/>
      <c r="D211" s="538"/>
      <c r="E211" s="538"/>
      <c r="F211" s="538"/>
      <c r="G211" s="538"/>
      <c r="H211" s="538"/>
      <c r="I211" s="539"/>
      <c r="K211" s="50"/>
      <c r="R211" s="177"/>
      <c r="S211" s="177"/>
      <c r="T211" s="177"/>
      <c r="U211" s="177"/>
      <c r="V211" s="177"/>
      <c r="W211" s="177"/>
      <c r="X211" s="177"/>
      <c r="Y211" s="177"/>
      <c r="Z211" s="177"/>
      <c r="AA211" s="177"/>
      <c r="AB211" s="177"/>
      <c r="AC211" s="177"/>
      <c r="AD211" s="177"/>
      <c r="AE211" s="177"/>
      <c r="AF211" s="177"/>
      <c r="AG211" s="177"/>
      <c r="AH211" s="177"/>
      <c r="AI211" s="177"/>
      <c r="AJ211" s="177"/>
    </row>
    <row r="212" spans="1:36" s="45" customFormat="1" ht="45.75" hidden="1" customHeight="1" thickBot="1">
      <c r="A212" s="540"/>
      <c r="B212" s="541"/>
      <c r="C212" s="541"/>
      <c r="D212" s="541"/>
      <c r="E212" s="541"/>
      <c r="F212" s="541"/>
      <c r="G212" s="541"/>
      <c r="H212" s="541"/>
      <c r="I212" s="542"/>
      <c r="K212" s="50"/>
      <c r="R212" s="177"/>
      <c r="S212" s="177"/>
      <c r="T212" s="177"/>
      <c r="U212" s="177"/>
      <c r="V212" s="177"/>
      <c r="W212" s="177"/>
      <c r="X212" s="177"/>
      <c r="Y212" s="177"/>
      <c r="Z212" s="177"/>
      <c r="AA212" s="177"/>
      <c r="AB212" s="177"/>
      <c r="AC212" s="177"/>
      <c r="AD212" s="177"/>
      <c r="AE212" s="177"/>
      <c r="AF212" s="177"/>
      <c r="AG212" s="177"/>
      <c r="AH212" s="177"/>
      <c r="AI212" s="177"/>
      <c r="AJ212" s="177"/>
    </row>
    <row r="213" spans="1:36" s="180" customFormat="1" ht="45.75" hidden="1" customHeight="1" thickBot="1">
      <c r="A213" s="95"/>
      <c r="B213" s="94" t="s">
        <v>11</v>
      </c>
      <c r="C213" s="94" t="s">
        <v>30</v>
      </c>
      <c r="D213" s="94" t="s">
        <v>31</v>
      </c>
      <c r="E213" s="94" t="s">
        <v>136</v>
      </c>
      <c r="F213" s="94" t="s">
        <v>12</v>
      </c>
      <c r="G213" s="94" t="s">
        <v>13</v>
      </c>
      <c r="H213" s="94" t="s">
        <v>14</v>
      </c>
      <c r="I213" s="94" t="s">
        <v>157</v>
      </c>
      <c r="J213" s="123"/>
      <c r="K213" s="344" t="str">
        <f>IF(I102&lt;&gt;"Pass","","DO_ALL")</f>
        <v/>
      </c>
      <c r="L213" s="184"/>
      <c r="M213" s="184"/>
      <c r="N213" s="184"/>
      <c r="O213" s="184"/>
      <c r="R213" s="178"/>
      <c r="S213" s="178"/>
      <c r="T213" s="178"/>
      <c r="U213" s="178"/>
      <c r="V213" s="178"/>
      <c r="W213" s="178"/>
      <c r="X213" s="178"/>
      <c r="Y213" s="178"/>
      <c r="Z213" s="178"/>
      <c r="AA213" s="178"/>
      <c r="AB213" s="178"/>
      <c r="AC213" s="178"/>
      <c r="AD213" s="178"/>
      <c r="AE213" s="178"/>
      <c r="AF213" s="178"/>
      <c r="AG213" s="178"/>
      <c r="AH213" s="178"/>
      <c r="AI213" s="178"/>
      <c r="AJ213" s="178"/>
    </row>
    <row r="214" spans="1:36" s="180" customFormat="1" ht="15.75" hidden="1" thickBot="1">
      <c r="A214" s="129"/>
      <c r="B214" s="84"/>
      <c r="C214" s="84"/>
      <c r="D214" s="84"/>
      <c r="E214" s="84"/>
      <c r="F214" s="84"/>
      <c r="G214" s="84"/>
      <c r="H214" s="84"/>
      <c r="I214" s="84"/>
      <c r="J214" s="184"/>
      <c r="K214" s="137" t="s">
        <v>80</v>
      </c>
      <c r="L214" s="50"/>
      <c r="M214" s="184"/>
      <c r="N214" s="184"/>
      <c r="O214" s="184"/>
      <c r="R214" s="178"/>
      <c r="S214" s="178"/>
      <c r="T214" s="178"/>
      <c r="U214" s="178"/>
      <c r="V214" s="178"/>
      <c r="W214" s="178"/>
      <c r="X214" s="178"/>
      <c r="Y214" s="178"/>
      <c r="Z214" s="178"/>
      <c r="AA214" s="178"/>
      <c r="AB214" s="178"/>
      <c r="AC214" s="178"/>
      <c r="AD214" s="178"/>
      <c r="AE214" s="178"/>
      <c r="AF214" s="178"/>
      <c r="AG214" s="178"/>
      <c r="AH214" s="178"/>
      <c r="AI214" s="178"/>
      <c r="AJ214" s="178"/>
    </row>
    <row r="215" spans="1:36" s="175" customFormat="1" ht="15.75" hidden="1" thickBot="1">
      <c r="A215" s="130"/>
      <c r="B215" s="239" t="s">
        <v>186</v>
      </c>
      <c r="C215" s="58"/>
      <c r="D215" s="58"/>
      <c r="E215" s="58"/>
      <c r="F215" s="58"/>
      <c r="G215" s="58"/>
      <c r="H215" s="58"/>
      <c r="I215" s="58"/>
      <c r="J215" s="234"/>
      <c r="K215" s="234" t="s">
        <v>77</v>
      </c>
      <c r="L215" s="234" t="s">
        <v>75</v>
      </c>
      <c r="M215" s="238" t="str">
        <f ca="1">INDEX(tblGoSubRoutineStartCell[StartCell],MATCH(B215,tblGoSubRoutineStartCell[GoSub Routine],0))</f>
        <v>K104</v>
      </c>
      <c r="N215" s="184"/>
      <c r="O215" s="184"/>
      <c r="P215" s="184"/>
      <c r="Q215" s="184"/>
    </row>
    <row r="216" spans="1:36" s="175" customFormat="1" ht="15.75" hidden="1" thickBot="1">
      <c r="A216" s="130"/>
      <c r="B216" s="239" t="s">
        <v>188</v>
      </c>
      <c r="C216" s="58"/>
      <c r="D216" s="58"/>
      <c r="E216" s="58"/>
      <c r="F216" s="58"/>
      <c r="G216" s="58"/>
      <c r="H216" s="58"/>
      <c r="I216" s="58"/>
      <c r="J216" s="234"/>
      <c r="K216" s="234" t="s">
        <v>77</v>
      </c>
      <c r="L216" s="234" t="s">
        <v>75</v>
      </c>
      <c r="M216" s="238" t="str">
        <f ca="1">INDEX(tblGoSubRoutineStartCell[StartCell],MATCH(B216,tblGoSubRoutineStartCell[GoSub Routine],0))</f>
        <v>K121</v>
      </c>
      <c r="N216" s="184"/>
      <c r="O216" s="184"/>
      <c r="P216" s="184"/>
      <c r="Q216" s="184"/>
    </row>
    <row r="217" spans="1:36" s="175" customFormat="1" ht="40.5" hidden="1" customHeight="1">
      <c r="A217" s="131"/>
      <c r="B217" s="253" t="s">
        <v>710</v>
      </c>
      <c r="C217" s="113"/>
      <c r="D217" s="113"/>
      <c r="E217" s="113"/>
      <c r="F217" s="113"/>
      <c r="G217" s="113"/>
      <c r="H217" s="113"/>
      <c r="I217" s="113"/>
      <c r="J217" s="184"/>
      <c r="K217" s="227" t="s">
        <v>82</v>
      </c>
      <c r="L217" s="89" t="str">
        <f>B217</f>
        <v>Also that Load IMon Rotary Switch is Set to LENS 1
ENSURE A BUNG HAS BEEN FITTED TO THE EXTRACTOR OUTPUT TO PREVENT ARCING.</v>
      </c>
      <c r="M217" s="184"/>
      <c r="N217" s="184"/>
      <c r="O217" s="184"/>
      <c r="P217" s="184"/>
      <c r="Q217" s="184"/>
    </row>
    <row r="218" spans="1:36" s="175" customFormat="1" ht="40.5" hidden="1" customHeight="1">
      <c r="A218" s="131"/>
      <c r="B218" s="253" t="s">
        <v>453</v>
      </c>
      <c r="C218" s="113"/>
      <c r="D218" s="113"/>
      <c r="E218" s="113"/>
      <c r="F218" s="113"/>
      <c r="G218" s="113"/>
      <c r="H218" s="113"/>
      <c r="I218" s="113"/>
      <c r="J218" s="184"/>
      <c r="K218" s="270" t="s">
        <v>82</v>
      </c>
      <c r="L218" s="89" t="str">
        <f>B218</f>
        <v>PLEASE ENSURE UUT IS SWITCH ON VIA FRONT PANEL!</v>
      </c>
      <c r="M218" s="184"/>
      <c r="N218" s="184"/>
      <c r="O218" s="184"/>
      <c r="P218" s="184"/>
      <c r="Q218" s="184"/>
    </row>
    <row r="219" spans="1:36" s="180" customFormat="1" ht="15.75" hidden="1" thickBot="1">
      <c r="A219" s="129"/>
      <c r="B219" s="84"/>
      <c r="C219" s="84"/>
      <c r="D219" s="84"/>
      <c r="E219" s="84"/>
      <c r="F219" s="84"/>
      <c r="G219" s="84"/>
      <c r="H219" s="84"/>
      <c r="I219" s="84"/>
      <c r="J219" s="184"/>
      <c r="K219" s="227" t="s">
        <v>80</v>
      </c>
      <c r="L219" s="50"/>
      <c r="M219" s="184"/>
      <c r="N219" s="184"/>
      <c r="O219" s="184"/>
      <c r="R219" s="178"/>
      <c r="S219" s="178"/>
      <c r="T219" s="178"/>
      <c r="U219" s="178"/>
      <c r="V219" s="178"/>
      <c r="W219" s="178"/>
      <c r="X219" s="178"/>
      <c r="Y219" s="178"/>
      <c r="Z219" s="178"/>
      <c r="AA219" s="178"/>
      <c r="AB219" s="178"/>
      <c r="AC219" s="178"/>
      <c r="AD219" s="178"/>
      <c r="AE219" s="178"/>
      <c r="AF219" s="178"/>
      <c r="AG219" s="178"/>
      <c r="AH219" s="178"/>
      <c r="AI219" s="178"/>
      <c r="AJ219" s="178"/>
    </row>
    <row r="220" spans="1:36" s="175" customFormat="1" ht="20.25" hidden="1" customHeight="1" thickBot="1">
      <c r="A220" s="188"/>
      <c r="B220" s="256"/>
      <c r="C220" s="257"/>
      <c r="D220" s="308" t="s">
        <v>274</v>
      </c>
      <c r="E220" s="257"/>
      <c r="F220" s="257"/>
      <c r="G220" s="257"/>
      <c r="H220" s="257"/>
      <c r="I220" s="258"/>
      <c r="J220" s="184"/>
      <c r="K220" s="89" t="s">
        <v>80</v>
      </c>
      <c r="L220" s="184"/>
      <c r="M220" s="184"/>
      <c r="N220" s="184"/>
      <c r="O220" s="184"/>
      <c r="P220" s="184"/>
      <c r="Q220" s="184"/>
    </row>
    <row r="221" spans="1:36" s="180" customFormat="1" ht="15" hidden="1">
      <c r="A221" s="131"/>
      <c r="B221" s="113"/>
      <c r="C221" s="113"/>
      <c r="D221" s="113"/>
      <c r="E221" s="113"/>
      <c r="F221" s="113"/>
      <c r="G221" s="113"/>
      <c r="H221" s="113"/>
      <c r="I221" s="113"/>
      <c r="J221" s="184"/>
      <c r="K221" s="227" t="s">
        <v>80</v>
      </c>
      <c r="L221" s="184"/>
      <c r="M221" s="184"/>
      <c r="N221" s="184"/>
      <c r="O221" s="184"/>
      <c r="R221" s="178"/>
      <c r="S221" s="178"/>
      <c r="T221" s="178"/>
      <c r="U221" s="178"/>
      <c r="V221" s="178"/>
      <c r="W221" s="178"/>
      <c r="X221" s="178"/>
      <c r="Y221" s="178"/>
      <c r="Z221" s="178"/>
      <c r="AA221" s="178"/>
      <c r="AB221" s="178"/>
      <c r="AC221" s="178"/>
      <c r="AD221" s="178"/>
      <c r="AE221" s="178"/>
      <c r="AF221" s="178"/>
      <c r="AG221" s="178"/>
      <c r="AH221" s="178"/>
      <c r="AI221" s="178"/>
      <c r="AJ221" s="178"/>
    </row>
    <row r="222" spans="1:36" s="175" customFormat="1" ht="15" hidden="1">
      <c r="A222" s="130"/>
      <c r="B222" s="240" t="s">
        <v>343</v>
      </c>
      <c r="C222" s="78"/>
      <c r="D222" s="58"/>
      <c r="E222" s="58"/>
      <c r="F222" s="58"/>
      <c r="G222" s="58"/>
      <c r="H222" s="58"/>
      <c r="I222" s="58"/>
      <c r="J222" s="184"/>
      <c r="K222" s="227" t="s">
        <v>27</v>
      </c>
      <c r="L222" s="227" t="s">
        <v>313</v>
      </c>
      <c r="M222" s="227" t="s">
        <v>91</v>
      </c>
      <c r="N222" s="227" t="s">
        <v>315</v>
      </c>
      <c r="O222" s="241" t="s">
        <v>316</v>
      </c>
      <c r="P222" s="241" t="s">
        <v>312</v>
      </c>
      <c r="Q222" s="184"/>
    </row>
    <row r="223" spans="1:36" s="175" customFormat="1" ht="15.75" hidden="1" thickBot="1">
      <c r="A223" s="130"/>
      <c r="B223" s="240" t="s">
        <v>328</v>
      </c>
      <c r="C223" s="78">
        <v>2</v>
      </c>
      <c r="D223" s="58"/>
      <c r="E223" s="58"/>
      <c r="F223" s="58"/>
      <c r="G223" s="58"/>
      <c r="H223" s="58"/>
      <c r="I223" s="58"/>
      <c r="J223" s="184"/>
      <c r="K223" s="234" t="s">
        <v>27</v>
      </c>
      <c r="L223" s="234" t="s">
        <v>313</v>
      </c>
      <c r="M223" s="234" t="s">
        <v>32</v>
      </c>
      <c r="N223" s="234" t="s">
        <v>315</v>
      </c>
      <c r="O223" s="241">
        <f>C223</f>
        <v>2</v>
      </c>
      <c r="P223" s="241"/>
      <c r="Q223" s="184"/>
    </row>
    <row r="224" spans="1:36" s="175" customFormat="1" ht="15.75" hidden="1" thickBot="1">
      <c r="A224" s="130"/>
      <c r="B224" s="260" t="s">
        <v>188</v>
      </c>
      <c r="C224" s="58"/>
      <c r="D224" s="58"/>
      <c r="E224" s="58"/>
      <c r="F224" s="58"/>
      <c r="G224" s="58"/>
      <c r="H224" s="58"/>
      <c r="I224" s="58"/>
      <c r="J224" s="184"/>
      <c r="K224" s="259" t="s">
        <v>77</v>
      </c>
      <c r="L224" s="259" t="s">
        <v>75</v>
      </c>
      <c r="M224" s="238" t="str">
        <f ca="1">INDEX(tblGoSubRoutineStartCell[StartCell],MATCH(B224,tblGoSubRoutineStartCell[GoSub Routine],0))</f>
        <v>K121</v>
      </c>
      <c r="N224" s="184"/>
      <c r="O224" s="184"/>
      <c r="P224" s="184"/>
      <c r="Q224" s="184"/>
    </row>
    <row r="225" spans="1:21" s="175" customFormat="1" ht="15" hidden="1">
      <c r="A225" s="130"/>
      <c r="B225" s="240" t="s">
        <v>329</v>
      </c>
      <c r="C225" s="78">
        <v>3</v>
      </c>
      <c r="D225" s="58"/>
      <c r="E225" s="58"/>
      <c r="F225" s="58"/>
      <c r="G225" s="58"/>
      <c r="H225" s="58"/>
      <c r="I225" s="58"/>
      <c r="J225" s="184"/>
      <c r="K225" s="241" t="str">
        <f>_xlfn.CONCAT("734|GND|REG1|DEC(",C225,")")</f>
        <v>734|GND|REG1|DEC(3)</v>
      </c>
      <c r="L225" s="234"/>
      <c r="M225" s="234"/>
      <c r="N225" s="234"/>
      <c r="O225" s="241"/>
      <c r="P225" s="241"/>
      <c r="Q225" s="184"/>
    </row>
    <row r="226" spans="1:21" s="175" customFormat="1" ht="15" hidden="1">
      <c r="A226" s="130"/>
      <c r="B226" s="246" t="s">
        <v>355</v>
      </c>
      <c r="C226" s="78">
        <v>500</v>
      </c>
      <c r="D226" s="58"/>
      <c r="E226" s="58"/>
      <c r="F226" s="58"/>
      <c r="G226" s="58"/>
      <c r="H226" s="58"/>
      <c r="I226" s="58"/>
      <c r="J226" s="184"/>
      <c r="K226" s="234" t="s">
        <v>27</v>
      </c>
      <c r="L226" s="234" t="s">
        <v>42</v>
      </c>
      <c r="M226" s="216" t="s">
        <v>60</v>
      </c>
      <c r="N226" s="247" t="str">
        <f>B226</f>
        <v>Lens 1 Initialising…</v>
      </c>
      <c r="O226" s="210">
        <f>C226</f>
        <v>500</v>
      </c>
      <c r="P226" s="184"/>
      <c r="Q226" s="184"/>
    </row>
    <row r="227" spans="1:21" s="175" customFormat="1" ht="15" hidden="1">
      <c r="A227" s="130"/>
      <c r="B227" s="240" t="s">
        <v>330</v>
      </c>
      <c r="C227" s="78">
        <v>1100</v>
      </c>
      <c r="D227" s="58"/>
      <c r="E227" s="58"/>
      <c r="F227" s="58"/>
      <c r="G227" s="58"/>
      <c r="H227" s="58"/>
      <c r="I227" s="58"/>
      <c r="J227" s="184"/>
      <c r="K227" s="241" t="str">
        <f>_xlfn.CONCAT("734|GND|OUT2|FLT(",C227,")")</f>
        <v>734|GND|OUT2|FLT(1100)</v>
      </c>
      <c r="L227" s="234"/>
      <c r="M227" s="234"/>
      <c r="N227" s="234"/>
      <c r="O227" s="241"/>
      <c r="P227" s="241"/>
      <c r="Q227" s="184"/>
    </row>
    <row r="228" spans="1:21" s="175" customFormat="1" ht="58.5" hidden="1" customHeight="1" thickBot="1">
      <c r="A228" s="131"/>
      <c r="B228" s="249" t="str">
        <f>_xlfn.CONCAT("Please check the product GUI, if the current limit flag for ", section_2_heading," has not turned red, please wait until this happens. Please press yes to confirm")</f>
        <v>Please check the product GUI, if the current limit flag for Lens 1 has not turned red, please wait until this happens. Please press yes to confirm</v>
      </c>
      <c r="C228" s="113"/>
      <c r="D228" s="113"/>
      <c r="E228" s="437"/>
      <c r="F228" s="58"/>
      <c r="G228" s="58"/>
      <c r="H228" s="58"/>
      <c r="I228" s="59" t="str">
        <f>IF(E228 ="","TBC", IF(E228="Y","Pass","Fail"))</f>
        <v>TBC</v>
      </c>
      <c r="J228" s="184"/>
      <c r="K228" s="301" t="s">
        <v>27</v>
      </c>
      <c r="L228" s="89" t="s">
        <v>42</v>
      </c>
      <c r="M228" s="301" t="s">
        <v>332</v>
      </c>
      <c r="N228" s="184" t="s">
        <v>333</v>
      </c>
      <c r="O228" s="184" t="s">
        <v>421</v>
      </c>
      <c r="P228" s="184" t="s">
        <v>334</v>
      </c>
      <c r="Q228" s="184" t="str">
        <f>B228</f>
        <v>Please check the product GUI, if the current limit flag for Lens 1 has not turned red, please wait until this happens. Please press yes to confirm</v>
      </c>
    </row>
    <row r="229" spans="1:21" s="175" customFormat="1" ht="15.75" hidden="1" thickBot="1">
      <c r="A229" s="130"/>
      <c r="B229" s="255" t="s">
        <v>70</v>
      </c>
      <c r="C229" s="78"/>
      <c r="D229" s="58"/>
      <c r="E229" s="58"/>
      <c r="F229" s="58"/>
      <c r="G229" s="58"/>
      <c r="H229" s="58"/>
      <c r="I229" s="58"/>
      <c r="J229" s="184"/>
      <c r="K229" s="116" t="s">
        <v>27</v>
      </c>
      <c r="L229" s="116" t="s">
        <v>42</v>
      </c>
      <c r="M229" s="116" t="s">
        <v>129</v>
      </c>
      <c r="N229" s="116" t="str">
        <f ca="1">SUBSTITUTE(CELL("address",K223),"$","")</f>
        <v>K223</v>
      </c>
      <c r="O229" s="116" t="s">
        <v>130</v>
      </c>
      <c r="P229" s="228" t="s">
        <v>75</v>
      </c>
      <c r="Q229" s="185" t="str">
        <f ca="1">INDEX(tblGoSubRoutineStartCell[StartCell],MATCH(B229,tblGoSubRoutineStartCell[GoSub Routine],0))</f>
        <v>K56</v>
      </c>
    </row>
    <row r="230" spans="1:21" s="175" customFormat="1" ht="15.75" hidden="1" thickBot="1">
      <c r="A230" s="130"/>
      <c r="B230" s="240" t="s">
        <v>335</v>
      </c>
      <c r="C230" s="78"/>
      <c r="D230" s="58"/>
      <c r="E230" s="456"/>
      <c r="F230" s="58"/>
      <c r="G230" s="58"/>
      <c r="H230" s="58"/>
      <c r="I230" s="58"/>
      <c r="J230" s="184"/>
      <c r="K230" s="301" t="s">
        <v>27</v>
      </c>
      <c r="L230" s="301" t="s">
        <v>319</v>
      </c>
      <c r="M230" s="301" t="s">
        <v>55</v>
      </c>
      <c r="N230" s="241" t="s">
        <v>310</v>
      </c>
      <c r="P230" s="241"/>
      <c r="Q230" s="184"/>
    </row>
    <row r="231" spans="1:21" s="175" customFormat="1" ht="16.5" hidden="1" customHeight="1" thickBot="1">
      <c r="A231" s="132" cm="1">
        <f t="array" ref="A231">SSATSLineNumbers(A231,0.01)</f>
        <v>2.0099999999999998</v>
      </c>
      <c r="B231" s="244" t="s">
        <v>525</v>
      </c>
      <c r="C231" s="84"/>
      <c r="D231" s="211"/>
      <c r="E231" s="458" t="str">
        <f>IF(E230="","[AUTO]",(E230*T231)*-1)</f>
        <v>[AUTO]</v>
      </c>
      <c r="F231" s="212">
        <f ca="1">P231</f>
        <v>30</v>
      </c>
      <c r="G231" s="86">
        <f ca="1">Q231</f>
        <v>33</v>
      </c>
      <c r="H231" s="86" t="str">
        <f ca="1">R231</f>
        <v>uA</v>
      </c>
      <c r="I231" s="59" t="str">
        <f>IF(E231 ="[AUTO]","TBC", IF(AND(E231&gt;=F231,E231&lt;=G231 ),"Pass","Fail"))</f>
        <v>TBC</v>
      </c>
      <c r="J231" s="184"/>
      <c r="K231" s="301" t="s">
        <v>80</v>
      </c>
      <c r="L231" s="184"/>
      <c r="M231" s="184"/>
      <c r="N231" s="184"/>
      <c r="O231" s="184"/>
      <c r="P231" s="245">
        <f ca="1">C231+(INDEX(tblProductScalesMeasures[Min],MATCH(_xlfn.CONCAT(B231),tblProductScalesMeasures[Description],0)))</f>
        <v>30</v>
      </c>
      <c r="Q231" s="245">
        <f ca="1">C231+(INDEX(tblProductScalesMeasures[Max],MATCH(_xlfn.CONCAT(B231),tblProductScalesMeasures[Description],0)))</f>
        <v>33</v>
      </c>
      <c r="R231" s="245" t="str">
        <f ca="1">(INDEX(tblProductScalesMeasures[Unit],MATCH(_xlfn.CONCAT(B231),tblProductScalesMeasures[Description],0)))</f>
        <v>uA</v>
      </c>
      <c r="S231" s="177"/>
      <c r="T231" s="245">
        <f ca="1">IF(COUNTIF(tblExempt[],R231)&gt;0,0,INDEX(tblScaling[Divider],MATCH(_xlfn.CONCAT(IF(ISNUMBER(SEARCH(" ",section_3_heading))=TRUE,SUBSTITUTE(section_3_heading," ",""),"")," ",R231),tblScaling[Description],0)))</f>
        <v>1000000</v>
      </c>
      <c r="U231" s="184"/>
    </row>
    <row r="232" spans="1:21" s="175" customFormat="1" ht="15.75" hidden="1" thickBot="1">
      <c r="A232" s="130"/>
      <c r="B232" s="240" t="s">
        <v>330</v>
      </c>
      <c r="C232" s="78">
        <v>8000</v>
      </c>
      <c r="D232" s="58"/>
      <c r="E232" s="58"/>
      <c r="F232" s="58"/>
      <c r="G232" s="58"/>
      <c r="H232" s="58"/>
      <c r="I232" s="58"/>
      <c r="J232" s="184"/>
      <c r="K232" s="241" t="str">
        <f>_xlfn.CONCAT("734|GND|OUT2|FLT(",C232,")")</f>
        <v>734|GND|OUT2|FLT(8000)</v>
      </c>
      <c r="L232" s="301"/>
      <c r="M232" s="301"/>
      <c r="N232" s="301"/>
      <c r="O232" s="241"/>
      <c r="P232" s="241"/>
      <c r="Q232" s="184"/>
    </row>
    <row r="233" spans="1:21" s="175" customFormat="1" ht="15.75" hidden="1" thickBot="1">
      <c r="A233" s="130"/>
      <c r="B233" s="255" t="s">
        <v>70</v>
      </c>
      <c r="C233" s="78"/>
      <c r="D233" s="58"/>
      <c r="E233" s="58"/>
      <c r="F233" s="58"/>
      <c r="G233" s="58"/>
      <c r="H233" s="58"/>
      <c r="I233" s="58"/>
      <c r="J233" s="184"/>
      <c r="K233" s="116" t="s">
        <v>27</v>
      </c>
      <c r="L233" s="116" t="s">
        <v>42</v>
      </c>
      <c r="M233" s="116" t="s">
        <v>129</v>
      </c>
      <c r="N233" s="116" t="str">
        <f ca="1">SUBSTITUTE(CELL("address",K223),"$","")</f>
        <v>K223</v>
      </c>
      <c r="O233" s="116" t="s">
        <v>130</v>
      </c>
      <c r="P233" s="228" t="s">
        <v>75</v>
      </c>
      <c r="Q233" s="185" t="str">
        <f ca="1">INDEX(tblGoSubRoutineStartCell[StartCell],MATCH(B233,tblGoSubRoutineStartCell[GoSub Routine],0))</f>
        <v>K56</v>
      </c>
    </row>
    <row r="234" spans="1:21" s="175" customFormat="1" ht="15" hidden="1">
      <c r="A234" s="130"/>
      <c r="B234" s="253" t="s">
        <v>523</v>
      </c>
      <c r="C234" s="78">
        <v>10000</v>
      </c>
      <c r="D234" s="58"/>
      <c r="E234" s="58"/>
      <c r="F234" s="58"/>
      <c r="G234" s="58"/>
      <c r="H234" s="58"/>
      <c r="I234" s="58"/>
      <c r="J234" s="184"/>
      <c r="K234" s="301" t="s">
        <v>27</v>
      </c>
      <c r="L234" s="301" t="s">
        <v>42</v>
      </c>
      <c r="M234" s="216" t="s">
        <v>60</v>
      </c>
      <c r="N234" s="247" t="str">
        <f>B234</f>
        <v>Settling…</v>
      </c>
      <c r="O234" s="210">
        <f>C234</f>
        <v>10000</v>
      </c>
      <c r="P234" s="184"/>
      <c r="Q234" s="184"/>
    </row>
    <row r="235" spans="1:21" s="175" customFormat="1" ht="41.25" hidden="1" customHeight="1" thickBot="1">
      <c r="A235" s="131"/>
      <c r="B235" s="249" t="str">
        <f>_xlfn.CONCAT("Please check product GUI to see if a fault has occurred on ",section_3_heading, " This mean the UUT has tripped.")</f>
        <v>Please check product GUI to see if a fault has occurred on Lens 2 This mean the UUT has tripped.</v>
      </c>
      <c r="C235" s="113"/>
      <c r="D235" s="113"/>
      <c r="E235" s="437"/>
      <c r="F235" s="58"/>
      <c r="G235" s="58"/>
      <c r="H235" s="58"/>
      <c r="I235" s="59" t="str">
        <f>IF(E235 ="","TBC", IF(E235="Y","Pass","Fail"))</f>
        <v>TBC</v>
      </c>
      <c r="J235" s="184"/>
      <c r="K235" s="301" t="s">
        <v>27</v>
      </c>
      <c r="L235" s="89" t="s">
        <v>42</v>
      </c>
      <c r="M235" s="301" t="s">
        <v>332</v>
      </c>
      <c r="N235" s="184" t="s">
        <v>333</v>
      </c>
      <c r="O235" s="184" t="s">
        <v>421</v>
      </c>
      <c r="P235" s="184" t="s">
        <v>334</v>
      </c>
      <c r="Q235" s="184" t="str">
        <f>B235</f>
        <v>Please check product GUI to see if a fault has occurred on Lens 2 This mean the UUT has tripped.</v>
      </c>
    </row>
    <row r="236" spans="1:21" s="175" customFormat="1" ht="15.75" hidden="1" thickBot="1">
      <c r="A236" s="130"/>
      <c r="B236" s="255" t="s">
        <v>70</v>
      </c>
      <c r="C236" s="78"/>
      <c r="D236" s="58"/>
      <c r="E236" s="58"/>
      <c r="F236" s="58"/>
      <c r="G236" s="58"/>
      <c r="H236" s="58"/>
      <c r="I236" s="58"/>
      <c r="J236" s="184"/>
      <c r="K236" s="116" t="s">
        <v>27</v>
      </c>
      <c r="L236" s="116" t="s">
        <v>42</v>
      </c>
      <c r="M236" s="116" t="s">
        <v>129</v>
      </c>
      <c r="N236" s="116" t="str">
        <f ca="1">SUBSTITUTE(CELL("address",K223),"$","")</f>
        <v>K223</v>
      </c>
      <c r="O236" s="116" t="s">
        <v>130</v>
      </c>
      <c r="P236" s="228" t="s">
        <v>75</v>
      </c>
      <c r="Q236" s="185" t="str">
        <f ca="1">INDEX(tblGoSubRoutineStartCell[StartCell],MATCH(B236,tblGoSubRoutineStartCell[GoSub Routine],0))</f>
        <v>K56</v>
      </c>
    </row>
    <row r="237" spans="1:21" s="175" customFormat="1" ht="40.5" hidden="1" customHeight="1" thickBot="1">
      <c r="A237" s="131"/>
      <c r="B237" s="249" t="s">
        <v>422</v>
      </c>
      <c r="C237" s="113"/>
      <c r="D237" s="113"/>
      <c r="E237" s="437"/>
      <c r="F237" s="58"/>
      <c r="G237" s="58"/>
      <c r="H237" s="58"/>
      <c r="I237" s="59" t="str">
        <f>IF(E237 ="","TBC", IF(E237="Y","Pass","Fail"))</f>
        <v>TBC</v>
      </c>
      <c r="J237" s="184"/>
      <c r="K237" s="301" t="s">
        <v>27</v>
      </c>
      <c r="L237" s="89" t="s">
        <v>42</v>
      </c>
      <c r="M237" s="301" t="s">
        <v>332</v>
      </c>
      <c r="N237" s="184" t="s">
        <v>333</v>
      </c>
      <c r="O237" s="184" t="s">
        <v>421</v>
      </c>
      <c r="P237" s="184" t="s">
        <v>334</v>
      </c>
      <c r="Q237" s="184" t="str">
        <f>B237</f>
        <v>Please check the front of the UUT to see if LENS 1 fault LED is illuminated. Is it illuminated?</v>
      </c>
    </row>
    <row r="238" spans="1:21" s="175" customFormat="1" ht="15.75" hidden="1" thickBot="1">
      <c r="A238" s="130"/>
      <c r="B238" s="255" t="s">
        <v>70</v>
      </c>
      <c r="C238" s="78"/>
      <c r="D238" s="58"/>
      <c r="E238" s="58"/>
      <c r="F238" s="58"/>
      <c r="G238" s="58"/>
      <c r="H238" s="58"/>
      <c r="I238" s="58"/>
      <c r="J238" s="184"/>
      <c r="K238" s="116" t="s">
        <v>27</v>
      </c>
      <c r="L238" s="116" t="s">
        <v>42</v>
      </c>
      <c r="M238" s="116" t="s">
        <v>129</v>
      </c>
      <c r="N238" s="116" t="str">
        <f ca="1">SUBSTITUTE(CELL("address",K223),"$","")</f>
        <v>K223</v>
      </c>
      <c r="O238" s="116" t="s">
        <v>130</v>
      </c>
      <c r="P238" s="228" t="s">
        <v>75</v>
      </c>
      <c r="Q238" s="185" t="str">
        <f ca="1">INDEX(tblGoSubRoutineStartCell[StartCell],MATCH(B238,tblGoSubRoutineStartCell[GoSub Routine],0))</f>
        <v>K56</v>
      </c>
    </row>
    <row r="239" spans="1:21" s="175" customFormat="1" ht="40.5" hidden="1" customHeight="1" thickBot="1">
      <c r="A239" s="131"/>
      <c r="B239" s="253" t="s">
        <v>524</v>
      </c>
      <c r="C239" s="113"/>
      <c r="D239" s="113"/>
      <c r="E239" s="437"/>
      <c r="F239" s="58"/>
      <c r="G239" s="58"/>
      <c r="H239" s="58"/>
      <c r="I239" s="59" t="str">
        <f>IF(E239 ="","TBC", IF(E239="Y","Pass","Fail"))</f>
        <v>TBC</v>
      </c>
      <c r="J239" s="184"/>
      <c r="K239" s="301" t="s">
        <v>27</v>
      </c>
      <c r="L239" s="89" t="s">
        <v>42</v>
      </c>
      <c r="M239" s="301" t="s">
        <v>332</v>
      </c>
      <c r="N239" s="184" t="s">
        <v>333</v>
      </c>
      <c r="O239" s="184" t="s">
        <v>421</v>
      </c>
      <c r="P239" s="184" t="s">
        <v>334</v>
      </c>
      <c r="Q239" s="184" t="str">
        <f>B239</f>
        <v>Please press "Reset" on the product GUI, and wait for Polling to restart. Press yes if the UUT continues communicating.</v>
      </c>
    </row>
    <row r="240" spans="1:21" s="175" customFormat="1" ht="15.75" hidden="1" thickBot="1">
      <c r="A240" s="130"/>
      <c r="B240" s="255" t="s">
        <v>70</v>
      </c>
      <c r="C240" s="78"/>
      <c r="D240" s="58"/>
      <c r="E240" s="58"/>
      <c r="F240" s="58"/>
      <c r="G240" s="58"/>
      <c r="H240" s="58"/>
      <c r="I240" s="58"/>
      <c r="J240" s="184"/>
      <c r="K240" s="116" t="s">
        <v>27</v>
      </c>
      <c r="L240" s="116" t="s">
        <v>42</v>
      </c>
      <c r="M240" s="116" t="s">
        <v>129</v>
      </c>
      <c r="N240" s="116" t="str">
        <f ca="1">SUBSTITUTE(CELL("address",K223),"$","")</f>
        <v>K223</v>
      </c>
      <c r="O240" s="116" t="s">
        <v>130</v>
      </c>
      <c r="P240" s="228" t="s">
        <v>75</v>
      </c>
      <c r="Q240" s="185" t="str">
        <f ca="1">INDEX(tblGoSubRoutineStartCell[StartCell],MATCH(B240,tblGoSubRoutineStartCell[GoSub Routine],0))</f>
        <v>K56</v>
      </c>
    </row>
    <row r="241" spans="1:36" s="175" customFormat="1" ht="67.5" hidden="1" customHeight="1" thickBot="1">
      <c r="A241" s="131"/>
      <c r="B241" s="249" t="s">
        <v>423</v>
      </c>
      <c r="C241" s="113"/>
      <c r="D241" s="113"/>
      <c r="E241" s="437"/>
      <c r="F241" s="58"/>
      <c r="G241" s="58"/>
      <c r="H241" s="58"/>
      <c r="I241" s="59" t="str">
        <f>IF(E241 ="","TBC", IF(E241="Y","Pass","Fail"))</f>
        <v>TBC</v>
      </c>
      <c r="J241" s="184"/>
      <c r="K241" s="301" t="s">
        <v>27</v>
      </c>
      <c r="L241" s="89" t="s">
        <v>42</v>
      </c>
      <c r="M241" s="301" t="s">
        <v>332</v>
      </c>
      <c r="N241" s="184" t="s">
        <v>333</v>
      </c>
      <c r="O241" s="184" t="s">
        <v>421</v>
      </c>
      <c r="P241" s="184" t="s">
        <v>334</v>
      </c>
      <c r="Q241" s="184" t="str">
        <f>B241</f>
        <v>Now the GUI has been refreshed, please check the GUI to monitor if the error has cleared, and that the fault LED for LENS 1 on the UUT has gone out. Are these both true?</v>
      </c>
    </row>
    <row r="242" spans="1:36" s="180" customFormat="1" ht="16.5" hidden="1" customHeight="1" thickBot="1">
      <c r="A242" s="133"/>
      <c r="B242" s="255" t="s">
        <v>70</v>
      </c>
      <c r="C242" s="57"/>
      <c r="D242" s="57"/>
      <c r="E242" s="80"/>
      <c r="F242" s="57"/>
      <c r="G242" s="57"/>
      <c r="H242" s="57"/>
      <c r="I242" s="57"/>
      <c r="J242" s="184"/>
      <c r="K242" s="116" t="s">
        <v>27</v>
      </c>
      <c r="L242" s="116" t="s">
        <v>42</v>
      </c>
      <c r="M242" s="116" t="s">
        <v>129</v>
      </c>
      <c r="N242" s="116" t="str">
        <f ca="1">SUBSTITUTE(CELL("address",K223),"$","")</f>
        <v>K223</v>
      </c>
      <c r="O242" s="116" t="s">
        <v>130</v>
      </c>
      <c r="P242" s="228" t="s">
        <v>75</v>
      </c>
      <c r="Q242" s="250" t="str">
        <f ca="1">INDEX(tblGoSubRoutineStartCell[StartCell],MATCH(B242,tblGoSubRoutineStartCell[GoSub Routine],0))</f>
        <v>K56</v>
      </c>
      <c r="R242" s="184"/>
      <c r="S242" s="178"/>
      <c r="T242" s="178"/>
      <c r="U242" s="178"/>
      <c r="V242" s="178"/>
      <c r="W242" s="178"/>
      <c r="X242" s="178"/>
      <c r="Y242" s="178"/>
      <c r="Z242" s="178"/>
      <c r="AA242" s="178"/>
      <c r="AB242" s="178"/>
      <c r="AC242" s="178"/>
      <c r="AD242" s="178"/>
      <c r="AE242" s="178"/>
      <c r="AF242" s="178"/>
      <c r="AG242" s="178"/>
      <c r="AH242" s="178"/>
      <c r="AI242" s="178"/>
      <c r="AJ242" s="178"/>
    </row>
    <row r="243" spans="1:36" s="175" customFormat="1" ht="15" hidden="1">
      <c r="A243" s="130"/>
      <c r="B243" s="240" t="s">
        <v>343</v>
      </c>
      <c r="C243" s="78"/>
      <c r="D243" s="58"/>
      <c r="E243" s="58"/>
      <c r="F243" s="58"/>
      <c r="G243" s="58"/>
      <c r="H243" s="58"/>
      <c r="I243" s="58"/>
      <c r="J243" s="184"/>
      <c r="K243" s="333" t="s">
        <v>27</v>
      </c>
      <c r="L243" s="333" t="s">
        <v>313</v>
      </c>
      <c r="M243" s="333" t="s">
        <v>91</v>
      </c>
      <c r="N243" s="333" t="s">
        <v>315</v>
      </c>
      <c r="O243" s="241" t="s">
        <v>316</v>
      </c>
      <c r="P243" s="241" t="s">
        <v>312</v>
      </c>
      <c r="Q243" s="184"/>
    </row>
    <row r="244" spans="1:36" s="45" customFormat="1" ht="16.5" hidden="1" customHeight="1" thickBot="1">
      <c r="A244" s="130"/>
      <c r="B244" s="84"/>
      <c r="C244" s="78"/>
      <c r="D244" s="58"/>
      <c r="E244" s="58"/>
      <c r="F244" s="58"/>
      <c r="G244" s="58"/>
      <c r="H244" s="58"/>
      <c r="I244" s="58"/>
      <c r="J244" s="184"/>
      <c r="K244" s="227" t="s">
        <v>80</v>
      </c>
      <c r="L244" s="227"/>
      <c r="M244" s="227"/>
      <c r="N244" s="227"/>
      <c r="O244" s="227"/>
      <c r="P244" s="227"/>
      <c r="V244" s="177"/>
      <c r="W244" s="177"/>
      <c r="X244" s="177"/>
      <c r="Y244" s="177"/>
      <c r="Z244" s="177"/>
      <c r="AA244" s="177"/>
      <c r="AB244" s="177"/>
      <c r="AC244" s="177"/>
      <c r="AD244" s="177"/>
      <c r="AE244" s="177"/>
      <c r="AF244" s="177"/>
      <c r="AG244" s="177"/>
      <c r="AH244" s="177"/>
      <c r="AI244" s="177"/>
      <c r="AJ244" s="177"/>
    </row>
    <row r="245" spans="1:36" s="175" customFormat="1" ht="15.75" hidden="1" customHeight="1" thickBot="1">
      <c r="A245" s="188"/>
      <c r="B245" s="189"/>
      <c r="C245" s="190"/>
      <c r="D245" s="308" t="s">
        <v>288</v>
      </c>
      <c r="E245" s="190"/>
      <c r="F245" s="190"/>
      <c r="G245" s="190"/>
      <c r="H245" s="190"/>
      <c r="I245" s="191"/>
      <c r="J245" s="184"/>
      <c r="K245" s="227" t="s">
        <v>80</v>
      </c>
      <c r="L245" s="49"/>
      <c r="N245" s="184"/>
      <c r="O245" s="184"/>
      <c r="P245" s="184"/>
      <c r="Q245" s="184"/>
    </row>
    <row r="246" spans="1:36" s="180" customFormat="1" ht="18" hidden="1" customHeight="1">
      <c r="A246" s="131"/>
      <c r="B246" s="113"/>
      <c r="C246" s="113"/>
      <c r="D246" s="113"/>
      <c r="E246" s="113"/>
      <c r="F246" s="113"/>
      <c r="G246" s="113"/>
      <c r="H246" s="113"/>
      <c r="I246" s="113"/>
      <c r="J246" s="184"/>
      <c r="K246" s="234" t="s">
        <v>80</v>
      </c>
      <c r="L246" s="184"/>
      <c r="M246" s="184"/>
      <c r="N246" s="184"/>
      <c r="O246" s="184"/>
      <c r="R246" s="178"/>
      <c r="S246" s="178"/>
      <c r="T246" s="178"/>
      <c r="U246" s="178"/>
      <c r="V246" s="178"/>
      <c r="W246" s="178"/>
      <c r="X246" s="178"/>
      <c r="Y246" s="178"/>
      <c r="Z246" s="178"/>
      <c r="AA246" s="178"/>
      <c r="AB246" s="178"/>
      <c r="AC246" s="178"/>
      <c r="AD246" s="178"/>
      <c r="AE246" s="178"/>
      <c r="AF246" s="178"/>
      <c r="AG246" s="178"/>
      <c r="AH246" s="178"/>
      <c r="AI246" s="178"/>
      <c r="AJ246" s="178"/>
    </row>
    <row r="247" spans="1:36" s="175" customFormat="1" ht="15" hidden="1">
      <c r="A247" s="130"/>
      <c r="B247" s="240" t="s">
        <v>329</v>
      </c>
      <c r="C247" s="78">
        <v>3</v>
      </c>
      <c r="D247" s="58"/>
      <c r="E247" s="58"/>
      <c r="F247" s="58"/>
      <c r="G247" s="58"/>
      <c r="H247" s="58"/>
      <c r="I247" s="58"/>
      <c r="J247" s="184"/>
      <c r="K247" s="241" t="str">
        <f>_xlfn.CONCAT("734|GND|REG1|DEC(",C247,")")</f>
        <v>734|GND|REG1|DEC(3)</v>
      </c>
      <c r="L247" s="234"/>
      <c r="M247" s="234"/>
      <c r="N247" s="234"/>
      <c r="O247" s="241"/>
      <c r="P247" s="241"/>
      <c r="Q247" s="184"/>
    </row>
    <row r="248" spans="1:36" s="175" customFormat="1" ht="15" hidden="1">
      <c r="A248" s="130"/>
      <c r="B248" s="246" t="s">
        <v>344</v>
      </c>
      <c r="C248" s="78">
        <v>2000</v>
      </c>
      <c r="D248" s="58"/>
      <c r="E248" s="58"/>
      <c r="F248" s="58"/>
      <c r="G248" s="58"/>
      <c r="H248" s="58"/>
      <c r="I248" s="58"/>
      <c r="J248" s="184"/>
      <c r="K248" s="234" t="s">
        <v>27</v>
      </c>
      <c r="L248" s="234" t="s">
        <v>42</v>
      </c>
      <c r="M248" s="216" t="s">
        <v>60</v>
      </c>
      <c r="N248" s="247" t="str">
        <f>B248</f>
        <v>Waiting…</v>
      </c>
      <c r="O248" s="210">
        <f>C248</f>
        <v>2000</v>
      </c>
      <c r="P248" s="184"/>
      <c r="Q248" s="184"/>
    </row>
    <row r="249" spans="1:36" s="175" customFormat="1" ht="15.75" hidden="1" thickBot="1">
      <c r="A249" s="130"/>
      <c r="B249" s="240" t="s">
        <v>336</v>
      </c>
      <c r="C249" s="78">
        <v>1</v>
      </c>
      <c r="D249" s="58"/>
      <c r="E249" s="251"/>
      <c r="F249" s="58"/>
      <c r="G249" s="58"/>
      <c r="H249" s="58"/>
      <c r="I249" s="58"/>
      <c r="J249" s="184"/>
      <c r="K249" s="234" t="s">
        <v>27</v>
      </c>
      <c r="L249" s="234" t="s">
        <v>318</v>
      </c>
      <c r="M249" s="234" t="s">
        <v>55</v>
      </c>
      <c r="N249" s="234" t="s">
        <v>33</v>
      </c>
      <c r="O249" s="241">
        <f>C249</f>
        <v>1</v>
      </c>
      <c r="P249" s="241"/>
      <c r="Q249" s="184"/>
    </row>
    <row r="250" spans="1:36" s="175" customFormat="1" ht="20.25" hidden="1" customHeight="1" thickBot="1">
      <c r="A250" s="132" cm="1">
        <f t="array" ref="A250">SSATSLineNumbers(A250,0.01)</f>
        <v>2.02</v>
      </c>
      <c r="B250" s="244" t="s">
        <v>289</v>
      </c>
      <c r="C250" s="66"/>
      <c r="D250" s="84"/>
      <c r="E250" s="457" t="str">
        <f>IF(E249="","[AUTO]",E249*T250)</f>
        <v>[AUTO]</v>
      </c>
      <c r="F250" s="86">
        <f ca="1">P250</f>
        <v>-100</v>
      </c>
      <c r="G250" s="86">
        <f ca="1">Q250</f>
        <v>100</v>
      </c>
      <c r="H250" s="86" t="str">
        <f ca="1">R250</f>
        <v>V</v>
      </c>
      <c r="I250" s="59" t="str">
        <f>IF(E250 ="[AUTO]","TBC", IF(AND(E250&gt;=F250,E250&lt;=G250 ),"Pass","Fail"))</f>
        <v>TBC</v>
      </c>
      <c r="J250" s="184"/>
      <c r="K250" s="227" t="s">
        <v>80</v>
      </c>
      <c r="L250" s="184"/>
      <c r="M250" s="184"/>
      <c r="N250" s="184"/>
      <c r="O250" s="184"/>
      <c r="P250" s="245">
        <f ca="1">C250+(INDEX(tblProductScalesMeasures[Min],MATCH(_xlfn.CONCAT(B250),tblProductScalesMeasures[Description],0)))</f>
        <v>-100</v>
      </c>
      <c r="Q250" s="245">
        <f ca="1">C250+(INDEX(tblProductScalesMeasures[Max],MATCH(_xlfn.CONCAT(B250),tblProductScalesMeasures[Description],0)))</f>
        <v>100</v>
      </c>
      <c r="R250" s="245" t="str">
        <f ca="1">(INDEX(tblProductScalesMeasures[Unit],MATCH(_xlfn.CONCAT(B250),tblProductScalesMeasures[Description],0)))</f>
        <v>V</v>
      </c>
      <c r="S250" s="177"/>
      <c r="T250" s="245">
        <f ca="1">IF(COUNTIF(tblExempt[],R250)&gt;0,0,INDEX(tblScaling[Divider],MATCH(_xlfn.CONCAT(IF(ISNUMBER(SEARCH(" ",section_2_heading))=TRUE,SUBSTITUTE(section_2_heading," ",""),"")," ",R250),tblScaling[Description],0)))</f>
        <v>10000</v>
      </c>
    </row>
    <row r="251" spans="1:36" s="180" customFormat="1" ht="16.5" hidden="1" customHeight="1" thickBot="1">
      <c r="A251" s="133"/>
      <c r="B251" s="237" t="s">
        <v>70</v>
      </c>
      <c r="C251" s="57"/>
      <c r="D251" s="57"/>
      <c r="E251" s="80"/>
      <c r="F251" s="57"/>
      <c r="G251" s="57"/>
      <c r="H251" s="57"/>
      <c r="I251" s="57"/>
      <c r="J251" s="184"/>
      <c r="K251" s="116" t="s">
        <v>27</v>
      </c>
      <c r="L251" s="116" t="s">
        <v>42</v>
      </c>
      <c r="M251" s="116" t="s">
        <v>129</v>
      </c>
      <c r="N251" s="116" t="str">
        <f ca="1">SUBSTITUTE(CELL("address",K247),"$","")</f>
        <v>K247</v>
      </c>
      <c r="O251" s="116" t="s">
        <v>130</v>
      </c>
      <c r="P251" s="228" t="s">
        <v>75</v>
      </c>
      <c r="Q251" s="250" t="str">
        <f ca="1">INDEX(tblGoSubRoutineStartCell[StartCell],MATCH(B251,tblGoSubRoutineStartCell[GoSub Routine],0))</f>
        <v>K56</v>
      </c>
      <c r="R251" s="184"/>
      <c r="S251" s="178"/>
      <c r="T251" s="178"/>
      <c r="U251" s="178"/>
      <c r="V251" s="178"/>
      <c r="W251" s="178"/>
      <c r="X251" s="178"/>
      <c r="Y251" s="178"/>
      <c r="Z251" s="178"/>
      <c r="AA251" s="178"/>
      <c r="AB251" s="178"/>
      <c r="AC251" s="178"/>
      <c r="AD251" s="178"/>
      <c r="AE251" s="178"/>
      <c r="AF251" s="178"/>
      <c r="AG251" s="178"/>
      <c r="AH251" s="178"/>
      <c r="AI251" s="178"/>
      <c r="AJ251" s="178"/>
    </row>
    <row r="252" spans="1:36" s="175" customFormat="1" ht="15" hidden="1">
      <c r="A252" s="130"/>
      <c r="B252" s="240" t="s">
        <v>330</v>
      </c>
      <c r="C252" s="78">
        <v>40000</v>
      </c>
      <c r="D252" s="58"/>
      <c r="E252" s="58"/>
      <c r="F252" s="58"/>
      <c r="G252" s="58"/>
      <c r="H252" s="58"/>
      <c r="I252" s="58"/>
      <c r="J252" s="184"/>
      <c r="K252" s="241" t="str">
        <f>_xlfn.CONCAT("734|GND|OUT2|FLT(",C252,")")</f>
        <v>734|GND|OUT2|FLT(40000)</v>
      </c>
      <c r="L252" s="234"/>
      <c r="M252" s="234"/>
      <c r="N252" s="234"/>
      <c r="O252" s="241"/>
      <c r="P252" s="241"/>
      <c r="Q252" s="184"/>
    </row>
    <row r="253" spans="1:36" s="175" customFormat="1" ht="15" hidden="1">
      <c r="A253" s="130"/>
      <c r="B253" s="249" t="str">
        <f>_xlfn.CONCAT("Press OK once UUT is at ",C252,"v on DMM 1")</f>
        <v>Press OK once UUT is at 40000v on DMM 1</v>
      </c>
      <c r="C253" s="78">
        <v>47500</v>
      </c>
      <c r="D253" s="58"/>
      <c r="E253" s="58"/>
      <c r="F253" s="58"/>
      <c r="G253" s="58"/>
      <c r="H253" s="58"/>
      <c r="I253" s="58"/>
      <c r="J253" s="184"/>
      <c r="K253" s="234" t="s">
        <v>27</v>
      </c>
      <c r="L253" s="234" t="s">
        <v>42</v>
      </c>
      <c r="M253" s="216" t="s">
        <v>60</v>
      </c>
      <c r="N253" s="247" t="str">
        <f>B253</f>
        <v>Press OK once UUT is at 40000v on DMM 1</v>
      </c>
      <c r="O253" s="210">
        <f>C253</f>
        <v>47500</v>
      </c>
      <c r="P253" s="184"/>
      <c r="Q253" s="184"/>
    </row>
    <row r="254" spans="1:36" s="175" customFormat="1" ht="15.75" hidden="1" thickBot="1">
      <c r="A254" s="130"/>
      <c r="B254" s="240" t="s">
        <v>336</v>
      </c>
      <c r="C254" s="78">
        <v>1</v>
      </c>
      <c r="D254" s="58"/>
      <c r="E254" s="251"/>
      <c r="F254" s="58"/>
      <c r="G254" s="58"/>
      <c r="H254" s="58"/>
      <c r="I254" s="58"/>
      <c r="J254" s="184"/>
      <c r="K254" s="234" t="s">
        <v>27</v>
      </c>
      <c r="L254" s="234" t="s">
        <v>318</v>
      </c>
      <c r="M254" s="234" t="s">
        <v>55</v>
      </c>
      <c r="N254" s="234" t="s">
        <v>33</v>
      </c>
      <c r="O254" s="241">
        <f>C254</f>
        <v>1</v>
      </c>
      <c r="P254" s="241"/>
      <c r="Q254" s="184"/>
    </row>
    <row r="255" spans="1:36" s="175" customFormat="1" ht="15.75" hidden="1" customHeight="1" thickBot="1">
      <c r="A255" s="132" cm="1">
        <f t="array" ref="A255">SSATSLineNumbers(A255,0.01)</f>
        <v>2.0299999999999998</v>
      </c>
      <c r="B255" s="244" t="s">
        <v>289</v>
      </c>
      <c r="C255" s="243">
        <v>-40000</v>
      </c>
      <c r="D255" s="84"/>
      <c r="E255" s="457" t="str">
        <f>IF(E254="","[AUTO]",E254*T255)</f>
        <v>[AUTO]</v>
      </c>
      <c r="F255" s="86">
        <f ca="1">P255</f>
        <v>-40100</v>
      </c>
      <c r="G255" s="86">
        <f ca="1">Q255</f>
        <v>-39900</v>
      </c>
      <c r="H255" s="86" t="str">
        <f ca="1">R255</f>
        <v>V</v>
      </c>
      <c r="I255" s="59" t="str">
        <f>IF(E255 ="[AUTO]","TBC", IF(AND(E255&gt;=F255,E255&lt;=G255 ),"Pass","Fail"))</f>
        <v>TBC</v>
      </c>
      <c r="J255" s="184"/>
      <c r="K255" s="227" t="s">
        <v>80</v>
      </c>
      <c r="L255" s="49"/>
      <c r="M255" s="184"/>
      <c r="N255" s="184"/>
      <c r="O255" s="184"/>
      <c r="P255" s="245">
        <f ca="1">C255+(INDEX(tblProductScalesMeasures[Min],MATCH(_xlfn.CONCAT(B255),tblProductScalesMeasures[Description],0)))</f>
        <v>-40100</v>
      </c>
      <c r="Q255" s="245">
        <f ca="1">C255+(INDEX(tblProductScalesMeasures[Max],MATCH(_xlfn.CONCAT(B255),tblProductScalesMeasures[Description],0)))</f>
        <v>-39900</v>
      </c>
      <c r="R255" s="245" t="str">
        <f ca="1">(INDEX(tblProductScalesMeasures[Unit],MATCH(_xlfn.CONCAT(B255),tblProductScalesMeasures[Description],0)))</f>
        <v>V</v>
      </c>
      <c r="S255" s="177"/>
      <c r="T255" s="245">
        <f ca="1">IF(COUNTIF(tblExempt[],R255)&gt;0,0,INDEX(tblScaling[Divider],MATCH(_xlfn.CONCAT(IF(ISNUMBER(SEARCH(" ",section_2_heading))=TRUE,SUBSTITUTE(section_2_heading," ",""),"")," ",R255),tblScaling[Description],0)))</f>
        <v>10000</v>
      </c>
    </row>
    <row r="256" spans="1:36" s="180" customFormat="1" ht="16.5" hidden="1" customHeight="1" thickBot="1">
      <c r="A256" s="133"/>
      <c r="B256" s="237" t="s">
        <v>70</v>
      </c>
      <c r="C256" s="57"/>
      <c r="D256" s="57"/>
      <c r="E256" s="80"/>
      <c r="F256" s="57"/>
      <c r="G256" s="57"/>
      <c r="H256" s="57"/>
      <c r="I256" s="57"/>
      <c r="J256" s="184"/>
      <c r="K256" s="116" t="s">
        <v>27</v>
      </c>
      <c r="L256" s="116" t="s">
        <v>42</v>
      </c>
      <c r="M256" s="116" t="s">
        <v>129</v>
      </c>
      <c r="N256" s="116" t="str">
        <f ca="1">SUBSTITUTE(CELL("address",K252),"$","")</f>
        <v>K252</v>
      </c>
      <c r="O256" s="116" t="s">
        <v>130</v>
      </c>
      <c r="P256" s="228" t="s">
        <v>75</v>
      </c>
      <c r="Q256" s="250" t="str">
        <f ca="1">INDEX(tblGoSubRoutineStartCell[StartCell],MATCH(B256,tblGoSubRoutineStartCell[GoSub Routine],0))</f>
        <v>K56</v>
      </c>
      <c r="R256" s="184"/>
      <c r="S256" s="178"/>
      <c r="T256" s="178"/>
      <c r="U256" s="178"/>
      <c r="V256" s="178"/>
      <c r="W256" s="178"/>
      <c r="X256" s="178"/>
      <c r="Y256" s="178"/>
      <c r="Z256" s="178"/>
      <c r="AA256" s="178"/>
      <c r="AB256" s="178"/>
      <c r="AC256" s="178"/>
      <c r="AD256" s="178"/>
      <c r="AE256" s="178"/>
      <c r="AF256" s="178"/>
      <c r="AG256" s="178"/>
      <c r="AH256" s="178"/>
      <c r="AI256" s="178"/>
      <c r="AJ256" s="178"/>
    </row>
    <row r="257" spans="1:36" s="175" customFormat="1" ht="15.75" hidden="1" customHeight="1" thickBot="1">
      <c r="A257" s="133"/>
      <c r="B257" s="244" t="str">
        <f ca="1">ATE_Settings!Y63</f>
        <v>L1 Current Monitor @ -40kV (uA)</v>
      </c>
      <c r="C257" s="66"/>
      <c r="D257" s="84"/>
      <c r="E257" s="456"/>
      <c r="F257" s="58"/>
      <c r="G257" s="58"/>
      <c r="H257" s="58"/>
      <c r="I257" s="58"/>
      <c r="J257" s="184"/>
      <c r="K257" s="241" t="s">
        <v>339</v>
      </c>
      <c r="L257" s="49"/>
      <c r="M257" s="184"/>
      <c r="N257" s="184"/>
      <c r="O257" s="180"/>
      <c r="P257" s="180"/>
      <c r="Q257" s="180"/>
      <c r="R257" s="178"/>
      <c r="S257" s="178"/>
      <c r="T257" s="178"/>
      <c r="U257" s="178"/>
    </row>
    <row r="258" spans="1:36" s="180" customFormat="1" ht="16.5" hidden="1" customHeight="1" thickBot="1">
      <c r="A258" s="132" cm="1">
        <f t="array" ref="A258">SSATSLineNumbers(A258,0.01)</f>
        <v>2.04</v>
      </c>
      <c r="B258" s="244" t="s">
        <v>354</v>
      </c>
      <c r="C258" s="243">
        <v>8</v>
      </c>
      <c r="D258" s="84"/>
      <c r="E258" s="457" t="str">
        <f>IF(E257="","[AUTO]",E257*-1)</f>
        <v>[AUTO]</v>
      </c>
      <c r="F258" s="86">
        <f ca="1">P258</f>
        <v>6.5</v>
      </c>
      <c r="G258" s="86">
        <f ca="1">Q258</f>
        <v>9.5</v>
      </c>
      <c r="H258" s="86" t="str">
        <f ca="1">R258</f>
        <v>uA</v>
      </c>
      <c r="I258" s="59" t="str">
        <f>IF(E258 ="[AUTO]","TBC", IF(AND(E258&gt;=F258,E258&lt;=G258 ),"Pass","Fail"))</f>
        <v>TBC</v>
      </c>
      <c r="J258" s="184"/>
      <c r="K258" s="227" t="s">
        <v>80</v>
      </c>
      <c r="L258" s="49"/>
      <c r="M258" s="184"/>
      <c r="N258" s="184"/>
      <c r="O258" s="184"/>
      <c r="P258" s="245">
        <f ca="1">C258+(INDEX(tblProductScalesMeasures[Min],MATCH(_xlfn.CONCAT(B257),tblProductScalesMeasures[Description],0)))</f>
        <v>6.5</v>
      </c>
      <c r="Q258" s="245">
        <f ca="1">C258+(INDEX(tblProductScalesMeasures[Max],MATCH(_xlfn.CONCAT(B257),tblProductScalesMeasures[Description],0)))</f>
        <v>9.5</v>
      </c>
      <c r="R258" s="245" t="str">
        <f ca="1">(INDEX(tblProductScalesMeasures[Unit],MATCH(_xlfn.CONCAT(B257),tblProductScalesMeasures[Description],0)))</f>
        <v>uA</v>
      </c>
      <c r="S258" s="177"/>
      <c r="T258" s="178"/>
      <c r="U258" s="178"/>
      <c r="V258" s="178"/>
      <c r="W258" s="178"/>
      <c r="X258" s="178"/>
      <c r="Y258" s="178"/>
      <c r="Z258" s="178"/>
      <c r="AA258" s="178"/>
      <c r="AB258" s="178"/>
      <c r="AC258" s="178"/>
      <c r="AD258" s="178"/>
      <c r="AE258" s="178"/>
      <c r="AF258" s="178"/>
      <c r="AG258" s="178"/>
      <c r="AH258" s="178"/>
      <c r="AI258" s="178"/>
      <c r="AJ258" s="178"/>
    </row>
    <row r="259" spans="1:36" s="180" customFormat="1" ht="16.5" hidden="1" customHeight="1" thickBot="1">
      <c r="A259" s="133"/>
      <c r="B259" s="237" t="s">
        <v>70</v>
      </c>
      <c r="C259" s="57"/>
      <c r="D259" s="57"/>
      <c r="E259" s="80"/>
      <c r="F259" s="57"/>
      <c r="G259" s="57"/>
      <c r="H259" s="57"/>
      <c r="I259" s="57"/>
      <c r="J259" s="184"/>
      <c r="K259" s="116" t="s">
        <v>27</v>
      </c>
      <c r="L259" s="116" t="s">
        <v>42</v>
      </c>
      <c r="M259" s="116" t="s">
        <v>129</v>
      </c>
      <c r="N259" s="116" t="str">
        <f ca="1">SUBSTITUTE(CELL("address",K257),"$","")</f>
        <v>K257</v>
      </c>
      <c r="O259" s="116" t="s">
        <v>130</v>
      </c>
      <c r="P259" s="228" t="s">
        <v>75</v>
      </c>
      <c r="Q259" s="250" t="str">
        <f ca="1">INDEX(tblGoSubRoutineStartCell[StartCell],MATCH(B259,tblGoSubRoutineStartCell[GoSub Routine],0))</f>
        <v>K56</v>
      </c>
      <c r="R259" s="184"/>
      <c r="S259" s="178"/>
      <c r="T259" s="178"/>
      <c r="U259" s="178"/>
      <c r="V259" s="178"/>
      <c r="W259" s="178"/>
      <c r="X259" s="178"/>
      <c r="Y259" s="178"/>
      <c r="Z259" s="178"/>
      <c r="AA259" s="178"/>
      <c r="AB259" s="178"/>
      <c r="AC259" s="178"/>
      <c r="AD259" s="178"/>
      <c r="AE259" s="178"/>
      <c r="AF259" s="178"/>
      <c r="AG259" s="178"/>
      <c r="AH259" s="178"/>
      <c r="AI259" s="178"/>
      <c r="AJ259" s="178"/>
    </row>
    <row r="260" spans="1:36" s="175" customFormat="1" ht="15" hidden="1">
      <c r="A260" s="130"/>
      <c r="B260" s="240" t="s">
        <v>331</v>
      </c>
      <c r="C260" s="78">
        <v>2</v>
      </c>
      <c r="D260" s="58"/>
      <c r="E260" s="58"/>
      <c r="F260" s="58"/>
      <c r="G260" s="58"/>
      <c r="H260" s="58"/>
      <c r="I260" s="58"/>
      <c r="J260" s="184"/>
      <c r="K260" s="241" t="str">
        <f>_xlfn.CONCAT("734|GND|REG1|DEC(",C260,")")</f>
        <v>734|GND|REG1|DEC(2)</v>
      </c>
      <c r="L260" s="234"/>
      <c r="M260" s="234"/>
      <c r="N260" s="234"/>
      <c r="O260" s="241"/>
      <c r="P260" s="241"/>
      <c r="Q260" s="184"/>
    </row>
    <row r="261" spans="1:36" s="175" customFormat="1" ht="15" hidden="1">
      <c r="A261" s="130"/>
      <c r="B261" s="240" t="s">
        <v>343</v>
      </c>
      <c r="C261" s="78"/>
      <c r="D261" s="58"/>
      <c r="E261" s="58"/>
      <c r="F261" s="58"/>
      <c r="G261" s="58"/>
      <c r="H261" s="58"/>
      <c r="I261" s="58"/>
      <c r="J261" s="184"/>
      <c r="K261" s="234" t="s">
        <v>27</v>
      </c>
      <c r="L261" s="234" t="s">
        <v>313</v>
      </c>
      <c r="M261" s="234" t="s">
        <v>91</v>
      </c>
      <c r="N261" s="234" t="s">
        <v>315</v>
      </c>
      <c r="O261" s="241" t="s">
        <v>316</v>
      </c>
      <c r="P261" s="241" t="s">
        <v>312</v>
      </c>
      <c r="Q261" s="184"/>
    </row>
    <row r="262" spans="1:36" s="180" customFormat="1" ht="16.5" hidden="1" customHeight="1" thickBot="1">
      <c r="A262" s="131"/>
      <c r="B262" s="124"/>
      <c r="C262" s="84"/>
      <c r="D262" s="84"/>
      <c r="E262" s="84"/>
      <c r="F262" s="85"/>
      <c r="G262" s="84"/>
      <c r="H262" s="84"/>
      <c r="I262" s="84"/>
      <c r="J262" s="184"/>
      <c r="K262" s="227" t="s">
        <v>80</v>
      </c>
      <c r="L262" s="49"/>
      <c r="M262" s="184"/>
      <c r="N262" s="184"/>
      <c r="O262" s="184"/>
      <c r="P262" s="184"/>
      <c r="Q262" s="184"/>
      <c r="R262" s="184"/>
      <c r="S262" s="178"/>
      <c r="T262" s="178"/>
      <c r="U262" s="178"/>
      <c r="V262" s="178"/>
      <c r="W262" s="178"/>
      <c r="X262" s="178"/>
      <c r="Y262" s="178"/>
      <c r="Z262" s="178"/>
      <c r="AA262" s="178"/>
      <c r="AB262" s="178"/>
      <c r="AC262" s="178"/>
      <c r="AD262" s="178"/>
      <c r="AE262" s="178"/>
      <c r="AF262" s="178"/>
      <c r="AG262" s="178"/>
      <c r="AH262" s="178"/>
      <c r="AI262" s="178"/>
      <c r="AJ262" s="178"/>
    </row>
    <row r="263" spans="1:36" s="180" customFormat="1" ht="22.5" hidden="1" customHeight="1" thickBot="1">
      <c r="A263" s="188"/>
      <c r="B263" s="189"/>
      <c r="C263" s="190"/>
      <c r="D263" s="308" t="s">
        <v>291</v>
      </c>
      <c r="E263" s="190"/>
      <c r="F263" s="190"/>
      <c r="G263" s="190"/>
      <c r="H263" s="190"/>
      <c r="I263" s="191"/>
      <c r="J263" s="184"/>
      <c r="K263" s="227" t="s">
        <v>80</v>
      </c>
      <c r="L263" s="49"/>
      <c r="M263" s="184"/>
      <c r="N263" s="184"/>
      <c r="O263" s="184"/>
      <c r="R263" s="178"/>
      <c r="S263" s="178"/>
      <c r="T263" s="178"/>
      <c r="U263" s="178"/>
      <c r="V263" s="178"/>
      <c r="W263" s="178"/>
      <c r="X263" s="178"/>
      <c r="Y263" s="178"/>
      <c r="Z263" s="178"/>
      <c r="AA263" s="178"/>
      <c r="AB263" s="178"/>
      <c r="AC263" s="178"/>
      <c r="AD263" s="178"/>
      <c r="AE263" s="178"/>
      <c r="AF263" s="178"/>
      <c r="AG263" s="178"/>
      <c r="AH263" s="178"/>
      <c r="AI263" s="178"/>
      <c r="AJ263" s="178"/>
    </row>
    <row r="264" spans="1:36" s="180" customFormat="1" ht="16.5" hidden="1" customHeight="1">
      <c r="A264" s="131"/>
      <c r="B264" s="113"/>
      <c r="C264" s="113"/>
      <c r="D264" s="113"/>
      <c r="E264" s="113"/>
      <c r="F264" s="113"/>
      <c r="G264" s="113"/>
      <c r="H264" s="113"/>
      <c r="I264" s="113"/>
      <c r="J264" s="184"/>
      <c r="K264" s="234" t="s">
        <v>80</v>
      </c>
      <c r="L264" s="49"/>
      <c r="M264" s="184"/>
      <c r="N264" s="184"/>
      <c r="O264" s="184"/>
      <c r="P264" s="184"/>
      <c r="Q264" s="184"/>
      <c r="R264" s="184"/>
      <c r="S264" s="178"/>
      <c r="T264" s="178"/>
      <c r="U264" s="178"/>
      <c r="V264" s="178"/>
      <c r="W264" s="178"/>
      <c r="X264" s="178"/>
      <c r="Y264" s="178"/>
      <c r="Z264" s="178"/>
      <c r="AA264" s="178"/>
      <c r="AB264" s="178"/>
      <c r="AC264" s="178"/>
      <c r="AD264" s="178"/>
      <c r="AE264" s="178"/>
      <c r="AF264" s="178"/>
      <c r="AG264" s="178"/>
      <c r="AH264" s="178"/>
      <c r="AI264" s="178"/>
      <c r="AJ264" s="178"/>
    </row>
    <row r="265" spans="1:36" s="175" customFormat="1" ht="15" hidden="1">
      <c r="A265" s="130"/>
      <c r="B265" s="240" t="s">
        <v>337</v>
      </c>
      <c r="C265" s="78">
        <v>1</v>
      </c>
      <c r="D265" s="58"/>
      <c r="E265" s="58"/>
      <c r="F265" s="58"/>
      <c r="G265" s="58"/>
      <c r="H265" s="58"/>
      <c r="I265" s="58"/>
      <c r="J265" s="184"/>
      <c r="K265" s="234" t="s">
        <v>27</v>
      </c>
      <c r="L265" s="234" t="s">
        <v>313</v>
      </c>
      <c r="M265" s="234" t="s">
        <v>32</v>
      </c>
      <c r="N265" s="234" t="s">
        <v>315</v>
      </c>
      <c r="O265" s="241">
        <f>C265</f>
        <v>1</v>
      </c>
      <c r="P265" s="241"/>
      <c r="Q265" s="184"/>
    </row>
    <row r="266" spans="1:36" s="175" customFormat="1" ht="15" hidden="1">
      <c r="A266" s="130"/>
      <c r="B266" s="240" t="s">
        <v>329</v>
      </c>
      <c r="C266" s="78">
        <v>3</v>
      </c>
      <c r="D266" s="58"/>
      <c r="E266" s="58"/>
      <c r="F266" s="58"/>
      <c r="G266" s="58"/>
      <c r="H266" s="58"/>
      <c r="I266" s="58"/>
      <c r="J266" s="184"/>
      <c r="K266" s="241" t="str">
        <f>_xlfn.CONCAT("734|GND|REG1|DEC(",C266,")")</f>
        <v>734|GND|REG1|DEC(3)</v>
      </c>
      <c r="L266" s="234"/>
      <c r="M266" s="234"/>
      <c r="N266" s="234"/>
      <c r="O266" s="241"/>
      <c r="P266" s="241"/>
      <c r="Q266" s="184"/>
    </row>
    <row r="267" spans="1:36" s="175" customFormat="1" ht="15" hidden="1">
      <c r="A267" s="130"/>
      <c r="B267" s="240" t="s">
        <v>330</v>
      </c>
      <c r="C267" s="78">
        <v>37000</v>
      </c>
      <c r="D267" s="58"/>
      <c r="E267" s="58"/>
      <c r="F267" s="58"/>
      <c r="G267" s="58"/>
      <c r="H267" s="58"/>
      <c r="I267" s="58"/>
      <c r="J267" s="184"/>
      <c r="K267" s="241" t="str">
        <f>_xlfn.CONCAT("734|GND|OUT2|FLT(",C267,")")</f>
        <v>734|GND|OUT2|FLT(37000)</v>
      </c>
      <c r="L267" s="234"/>
      <c r="M267" s="234"/>
      <c r="N267" s="234"/>
      <c r="O267" s="241"/>
      <c r="P267" s="241"/>
      <c r="Q267" s="184"/>
    </row>
    <row r="268" spans="1:36" s="175" customFormat="1" ht="15" hidden="1">
      <c r="A268" s="130"/>
      <c r="B268" s="249" t="str">
        <f>_xlfn.CONCAT("Press OK once UUT is at ",C267,"v on DMM 1")</f>
        <v>Press OK once UUT is at 37000v on DMM 1</v>
      </c>
      <c r="C268" s="78">
        <v>200000</v>
      </c>
      <c r="D268" s="58"/>
      <c r="E268" s="58"/>
      <c r="F268" s="58"/>
      <c r="G268" s="58"/>
      <c r="H268" s="58"/>
      <c r="I268" s="58"/>
      <c r="J268" s="184"/>
      <c r="K268" s="234" t="s">
        <v>27</v>
      </c>
      <c r="L268" s="234" t="s">
        <v>42</v>
      </c>
      <c r="M268" s="216" t="s">
        <v>60</v>
      </c>
      <c r="N268" s="247" t="str">
        <f>B268</f>
        <v>Press OK once UUT is at 37000v on DMM 1</v>
      </c>
      <c r="O268" s="210">
        <f>C268</f>
        <v>200000</v>
      </c>
      <c r="P268" s="184"/>
      <c r="Q268" s="184"/>
    </row>
    <row r="269" spans="1:36" s="380" customFormat="1" ht="15.75" hidden="1" customHeight="1" thickBot="1">
      <c r="A269" s="399"/>
      <c r="B269" s="240" t="s">
        <v>335</v>
      </c>
      <c r="C269" s="390"/>
      <c r="D269" s="387"/>
      <c r="E269" s="459"/>
      <c r="F269" s="387"/>
      <c r="G269" s="387"/>
      <c r="H269" s="387"/>
      <c r="I269" s="387"/>
      <c r="J269" s="384"/>
      <c r="K269" s="409" t="s">
        <v>27</v>
      </c>
      <c r="L269" s="409" t="s">
        <v>319</v>
      </c>
      <c r="M269" s="409" t="s">
        <v>55</v>
      </c>
      <c r="N269" s="241" t="s">
        <v>310</v>
      </c>
      <c r="O269" s="384"/>
      <c r="P269" s="384"/>
      <c r="Q269" s="384"/>
    </row>
    <row r="270" spans="1:36" s="383" customFormat="1" ht="16.5" hidden="1" customHeight="1" thickBot="1">
      <c r="A270" s="400" cm="1">
        <f t="array" ref="A270">SSATSLineNumbers(A270,0.01)</f>
        <v>2.0499999999999998</v>
      </c>
      <c r="B270" s="244" t="str">
        <f ca="1">ATE_Settings!Y62</f>
        <v>L1 Output Current @ 28uA (uA)</v>
      </c>
      <c r="C270" s="243"/>
      <c r="D270" s="393"/>
      <c r="E270" s="457" t="str">
        <f>IF(E269="","[AUTO]",(E269*T270)*-1)</f>
        <v>[AUTO]</v>
      </c>
      <c r="F270" s="394">
        <f t="shared" ref="F270" ca="1" si="4">P270</f>
        <v>25.5</v>
      </c>
      <c r="G270" s="394">
        <f t="shared" ref="G270" ca="1" si="5">Q270</f>
        <v>29.5</v>
      </c>
      <c r="H270" s="394" t="str">
        <f t="shared" ref="H270" ca="1" si="6">R270</f>
        <v>uA</v>
      </c>
      <c r="I270" s="388" t="str">
        <f>IF(E270 ="[AUTO]","TBC", IF(AND(E270&gt;=F270,E270&lt;=G270 ),"Pass","Fail"))</f>
        <v>TBC</v>
      </c>
      <c r="J270" s="384"/>
      <c r="K270" s="409" t="s">
        <v>80</v>
      </c>
      <c r="L270" s="409"/>
      <c r="M270" s="409"/>
      <c r="N270" s="409"/>
      <c r="O270" s="384"/>
      <c r="P270" s="245">
        <f ca="1">C270+(INDEX(tblProductScalesMeasures[Min],MATCH(_xlfn.CONCAT(B270),tblProductScalesMeasures[Description],0)))</f>
        <v>25.5</v>
      </c>
      <c r="Q270" s="245">
        <f ca="1">C270+(INDEX(tblProductScalesMeasures[Max],MATCH(_xlfn.CONCAT(B270),tblProductScalesMeasures[Description],0)))</f>
        <v>29.5</v>
      </c>
      <c r="R270" s="245" t="str">
        <f ca="1">(INDEX(tblProductScalesMeasures[Unit],MATCH(_xlfn.CONCAT(B270),tblProductScalesMeasures[Description],0)))</f>
        <v>uA</v>
      </c>
      <c r="S270" s="381"/>
      <c r="T270" s="245">
        <f ca="1">IF(COUNTIF(tblExempt[],R270)&gt;0,0,INDEX(tblScaling[Divider],MATCH(_xlfn.CONCAT(IF(ISNUMBER(SEARCH(" ",section_2_heading))=TRUE,SUBSTITUTE(section_2_heading," ",""),"")," ",R270),tblScaling[Description],0)))</f>
        <v>1000000</v>
      </c>
      <c r="U270" s="381"/>
      <c r="V270" s="381"/>
      <c r="W270" s="381"/>
      <c r="X270" s="381"/>
      <c r="Y270" s="381"/>
      <c r="Z270" s="381"/>
      <c r="AA270" s="381"/>
      <c r="AB270" s="381"/>
      <c r="AC270" s="381"/>
      <c r="AD270" s="381"/>
      <c r="AE270" s="381"/>
      <c r="AF270" s="381"/>
      <c r="AG270" s="381"/>
      <c r="AH270" s="381"/>
      <c r="AI270" s="381"/>
      <c r="AJ270" s="381"/>
    </row>
    <row r="271" spans="1:36" s="383" customFormat="1" ht="16.5" hidden="1" customHeight="1">
      <c r="A271" s="400" cm="1">
        <f t="array" ref="A271">SSATSLineNumbers(A271,0.01)</f>
        <v>2.06</v>
      </c>
      <c r="B271" s="244" t="s">
        <v>353</v>
      </c>
      <c r="C271" s="66"/>
      <c r="D271" s="393"/>
      <c r="E271" s="437"/>
      <c r="F271" s="113"/>
      <c r="G271" s="113"/>
      <c r="H271" s="113"/>
      <c r="I271" s="113"/>
      <c r="J271" s="384"/>
      <c r="K271" s="241" t="s">
        <v>339</v>
      </c>
      <c r="L271" s="409"/>
      <c r="M271" s="409"/>
      <c r="N271" s="409"/>
      <c r="O271" s="384"/>
      <c r="P271" s="217"/>
      <c r="Q271" s="217"/>
      <c r="R271" s="217"/>
      <c r="S271" s="381"/>
      <c r="T271" s="217"/>
      <c r="U271" s="381"/>
      <c r="V271" s="381"/>
      <c r="W271" s="381"/>
      <c r="X271" s="381"/>
      <c r="Y271" s="381"/>
      <c r="Z271" s="381"/>
      <c r="AA271" s="381"/>
      <c r="AB271" s="381"/>
      <c r="AC271" s="381"/>
      <c r="AD271" s="381"/>
      <c r="AE271" s="381"/>
      <c r="AF271" s="381"/>
      <c r="AG271" s="381"/>
      <c r="AH271" s="381"/>
      <c r="AI271" s="381"/>
      <c r="AJ271" s="381"/>
    </row>
    <row r="272" spans="1:36" s="383" customFormat="1" ht="16.5" hidden="1" customHeight="1" thickBot="1">
      <c r="A272" s="131"/>
      <c r="B272" s="244" t="s">
        <v>354</v>
      </c>
      <c r="C272" s="66"/>
      <c r="D272" s="393"/>
      <c r="E272" s="457" t="str">
        <f>IF(E271="","[AUTO]",E271*-1)</f>
        <v>[AUTO]</v>
      </c>
      <c r="F272" s="113"/>
      <c r="G272" s="113"/>
      <c r="H272" s="113"/>
      <c r="I272" s="113"/>
      <c r="J272" s="384"/>
      <c r="K272" s="115" t="s">
        <v>80</v>
      </c>
      <c r="L272" s="409"/>
      <c r="N272" s="229"/>
      <c r="P272" s="384"/>
      <c r="Q272" s="384"/>
      <c r="R272" s="384"/>
      <c r="S272" s="381"/>
      <c r="T272" s="381"/>
      <c r="U272" s="381"/>
      <c r="V272" s="381"/>
      <c r="W272" s="381"/>
      <c r="X272" s="381"/>
      <c r="Y272" s="381"/>
      <c r="Z272" s="381"/>
      <c r="AA272" s="381"/>
      <c r="AB272" s="381"/>
      <c r="AC272" s="381"/>
      <c r="AD272" s="381"/>
      <c r="AE272" s="381"/>
      <c r="AF272" s="381"/>
      <c r="AG272" s="381"/>
      <c r="AH272" s="381"/>
      <c r="AI272" s="381"/>
      <c r="AJ272" s="381"/>
    </row>
    <row r="273" spans="1:36" s="391" customFormat="1" ht="15.75" hidden="1" thickBot="1">
      <c r="A273" s="400" cm="1">
        <f t="array" ref="A273">SSATSLineNumbers(A273,0.01)</f>
        <v>2.0699999999999998</v>
      </c>
      <c r="B273" s="244" t="str">
        <f ca="1">ATE_Settings!Y54</f>
        <v>L1 Current Monitor Error (%)</v>
      </c>
      <c r="C273" s="66"/>
      <c r="D273" s="206"/>
      <c r="E273" s="454" t="str">
        <f>IF(OR(E270="[AUTO]",E272="[AUTO]"),"[AUTO]",((E270-E272)/E272)*100)</f>
        <v>[AUTO]</v>
      </c>
      <c r="F273" s="207">
        <f ca="1">P273</f>
        <v>-5</v>
      </c>
      <c r="G273" s="394">
        <f ca="1">Q273</f>
        <v>5</v>
      </c>
      <c r="H273" s="394" t="str">
        <f ca="1">R273</f>
        <v>%</v>
      </c>
      <c r="I273" s="388" t="str">
        <f>IF(E273 ="[AUTO]","TBC", IF(AND(E273&gt;=F273,E273&lt;=G273 ),"Pass","Fail"))</f>
        <v>TBC</v>
      </c>
      <c r="J273" s="384"/>
      <c r="K273" s="409" t="s">
        <v>80</v>
      </c>
      <c r="L273" s="384"/>
      <c r="M273" s="384"/>
      <c r="N273" s="384"/>
      <c r="O273" s="384"/>
      <c r="P273" s="204">
        <f ca="1">C273+(INDEX(tblProductScalesMeasures[Min],MATCH(_xlfn.CONCAT(B273),tblProductScalesMeasures[Description],0)))</f>
        <v>-5</v>
      </c>
      <c r="Q273" s="204">
        <f ca="1">C273+(INDEX(tblProductScalesMeasures[Max],MATCH(_xlfn.CONCAT(B273),tblProductScalesMeasures[Description],0)))</f>
        <v>5</v>
      </c>
      <c r="R273" s="205" t="str">
        <f ca="1">(INDEX(tblProductScalesMeasures[Unit],MATCH(_xlfn.CONCAT(B273),tblProductScalesMeasures[Description],0)))</f>
        <v>%</v>
      </c>
      <c r="S273" s="203"/>
      <c r="T273" s="205">
        <f ca="1">IF(COUNTIF(tblExempt[],R273)&gt;0,0,INDEX(tblScaling[Divider],MATCH(_xlfn.CONCAT(IF(ISNUMBER(SEARCH(" ",section_2_heading))=TRUE,SUBSTITUTE(section_2_heading," ",""),"")," ",R273),tblScaling[Description],0)))</f>
        <v>0</v>
      </c>
      <c r="U273" s="382"/>
      <c r="V273" s="382"/>
      <c r="W273" s="382"/>
      <c r="X273" s="382"/>
      <c r="Y273" s="382"/>
      <c r="Z273" s="382"/>
      <c r="AA273" s="382"/>
      <c r="AB273" s="382"/>
      <c r="AC273" s="382"/>
      <c r="AD273" s="382"/>
      <c r="AE273" s="382"/>
      <c r="AF273" s="382"/>
      <c r="AG273" s="382"/>
      <c r="AH273" s="382"/>
      <c r="AI273" s="382"/>
      <c r="AJ273" s="382"/>
    </row>
    <row r="274" spans="1:36" s="391" customFormat="1" ht="16.5" hidden="1" customHeight="1" thickBot="1">
      <c r="A274" s="401"/>
      <c r="B274" s="398" t="s">
        <v>70</v>
      </c>
      <c r="C274" s="386"/>
      <c r="D274" s="386"/>
      <c r="E274" s="392"/>
      <c r="F274" s="386"/>
      <c r="G274" s="386"/>
      <c r="H274" s="386"/>
      <c r="I274" s="386"/>
      <c r="J274" s="384"/>
      <c r="K274" s="397" t="s">
        <v>27</v>
      </c>
      <c r="L274" s="397" t="s">
        <v>42</v>
      </c>
      <c r="M274" s="397" t="s">
        <v>129</v>
      </c>
      <c r="N274" s="397" t="str">
        <f ca="1">SUBSTITUTE(CELL("address",K265),"$","")</f>
        <v>K265</v>
      </c>
      <c r="O274" s="397" t="s">
        <v>130</v>
      </c>
      <c r="P274" s="228" t="s">
        <v>75</v>
      </c>
      <c r="Q274" s="250" t="str">
        <f ca="1">INDEX(tblGoSubRoutineStartCell[StartCell],MATCH(B274,tblGoSubRoutineStartCell[GoSub Routine],0))</f>
        <v>K56</v>
      </c>
      <c r="R274" s="384"/>
      <c r="S274" s="382"/>
      <c r="T274" s="382"/>
      <c r="V274" s="382"/>
      <c r="W274" s="382"/>
      <c r="X274" s="382"/>
      <c r="Y274" s="382"/>
      <c r="Z274" s="382"/>
      <c r="AA274" s="382"/>
      <c r="AB274" s="382"/>
      <c r="AC274" s="382"/>
      <c r="AD274" s="382"/>
      <c r="AE274" s="382"/>
      <c r="AF274" s="382"/>
      <c r="AG274" s="382"/>
      <c r="AH274" s="382"/>
      <c r="AI274" s="382"/>
      <c r="AJ274" s="382"/>
    </row>
    <row r="275" spans="1:36" s="380" customFormat="1" ht="15" hidden="1">
      <c r="A275" s="399"/>
      <c r="B275" s="240" t="s">
        <v>330</v>
      </c>
      <c r="C275" s="390">
        <v>36000</v>
      </c>
      <c r="D275" s="387"/>
      <c r="E275" s="387"/>
      <c r="F275" s="387"/>
      <c r="G275" s="387"/>
      <c r="H275" s="387"/>
      <c r="I275" s="387"/>
      <c r="J275" s="384"/>
      <c r="K275" s="241" t="str">
        <f>_xlfn.CONCAT("734|GND|OUT2|FLT(",C275,")")</f>
        <v>734|GND|OUT2|FLT(36000)</v>
      </c>
      <c r="L275" s="409"/>
      <c r="M275" s="409"/>
      <c r="N275" s="409"/>
      <c r="O275" s="241"/>
      <c r="P275" s="241"/>
      <c r="Q275" s="384"/>
    </row>
    <row r="276" spans="1:36" s="380" customFormat="1" ht="15" hidden="1">
      <c r="A276" s="399"/>
      <c r="B276" s="249" t="str">
        <f>_xlfn.CONCAT("Press OK once UUT is at ",C275,"v on DMM 1")</f>
        <v>Press OK once UUT is at 36000v on DMM 1</v>
      </c>
      <c r="C276" s="390">
        <v>10000</v>
      </c>
      <c r="D276" s="387"/>
      <c r="E276" s="387"/>
      <c r="F276" s="387"/>
      <c r="G276" s="387"/>
      <c r="H276" s="387"/>
      <c r="I276" s="387"/>
      <c r="J276" s="384"/>
      <c r="K276" s="409" t="s">
        <v>27</v>
      </c>
      <c r="L276" s="409" t="s">
        <v>42</v>
      </c>
      <c r="M276" s="216" t="s">
        <v>60</v>
      </c>
      <c r="N276" s="247" t="str">
        <f>B276</f>
        <v>Press OK once UUT is at 36000v on DMM 1</v>
      </c>
      <c r="O276" s="210">
        <f>C276</f>
        <v>10000</v>
      </c>
      <c r="P276" s="384"/>
      <c r="Q276" s="384"/>
    </row>
    <row r="277" spans="1:36" s="175" customFormat="1" ht="15.75" hidden="1" thickBot="1">
      <c r="A277" s="130"/>
      <c r="B277" s="240" t="s">
        <v>336</v>
      </c>
      <c r="C277" s="78"/>
      <c r="D277" s="58"/>
      <c r="E277" s="456"/>
      <c r="F277" s="58"/>
      <c r="G277" s="58"/>
      <c r="H277" s="58"/>
      <c r="I277" s="58"/>
      <c r="J277" s="184"/>
      <c r="K277" s="234" t="s">
        <v>27</v>
      </c>
      <c r="L277" s="234" t="s">
        <v>318</v>
      </c>
      <c r="M277" s="234" t="s">
        <v>55</v>
      </c>
      <c r="N277" s="234" t="s">
        <v>33</v>
      </c>
      <c r="O277" s="241">
        <v>1</v>
      </c>
      <c r="P277" s="241"/>
      <c r="Q277" s="184"/>
    </row>
    <row r="278" spans="1:36" s="180" customFormat="1" ht="15.75" hidden="1" thickBot="1">
      <c r="A278" s="132" cm="1">
        <f t="array" ref="A278">SSATSLineNumbers(A278,0.01)</f>
        <v>2.08</v>
      </c>
      <c r="B278" s="244" t="s">
        <v>289</v>
      </c>
      <c r="C278" s="243">
        <v>-36000</v>
      </c>
      <c r="D278" s="84"/>
      <c r="E278" s="457" t="str">
        <f>IF(E277="","[AUTO]",E277*T278)</f>
        <v>[AUTO]</v>
      </c>
      <c r="F278" s="86">
        <f ca="1">P278</f>
        <v>-36100</v>
      </c>
      <c r="G278" s="86">
        <f ca="1">Q278</f>
        <v>-35900</v>
      </c>
      <c r="H278" s="86" t="str">
        <f ca="1">R278</f>
        <v>V</v>
      </c>
      <c r="I278" s="59" t="str">
        <f>IF(E278 ="[AUTO]","TBC", IF(AND(E278&gt;=F278,E278&lt;=G278 ),"Pass","Fail"))</f>
        <v>TBC</v>
      </c>
      <c r="J278" s="184"/>
      <c r="K278" s="227" t="s">
        <v>80</v>
      </c>
      <c r="L278" s="49"/>
      <c r="M278" s="184"/>
      <c r="N278" s="184"/>
      <c r="O278" s="184"/>
      <c r="P278" s="245">
        <f ca="1">C278+(INDEX(tblProductScalesMeasures[Min],MATCH(_xlfn.CONCAT(B278),tblProductScalesMeasures[Description],0)))</f>
        <v>-36100</v>
      </c>
      <c r="Q278" s="245">
        <f ca="1">C278+(INDEX(tblProductScalesMeasures[Max],MATCH(_xlfn.CONCAT(B278),tblProductScalesMeasures[Description],0)))</f>
        <v>-35900</v>
      </c>
      <c r="R278" s="245" t="str">
        <f ca="1">(INDEX(tblProductScalesMeasures[Unit],MATCH(_xlfn.CONCAT(B278),tblProductScalesMeasures[Description],0)))</f>
        <v>V</v>
      </c>
      <c r="S278" s="177"/>
      <c r="T278" s="245">
        <f ca="1">IF(COUNTIF(tblExempt[],R278)&gt;0,0,INDEX(tblScaling[Divider],MATCH(_xlfn.CONCAT(IF(ISNUMBER(SEARCH(" ",section_2_heading))=TRUE,SUBSTITUTE(section_2_heading," ",""),"")," ",R278),tblScaling[Description],0)))</f>
        <v>10000</v>
      </c>
      <c r="U278" s="178"/>
      <c r="V278" s="178"/>
      <c r="W278" s="178"/>
      <c r="X278" s="178"/>
      <c r="Y278" s="178"/>
      <c r="Z278" s="178"/>
      <c r="AA278" s="178"/>
      <c r="AB278" s="178"/>
      <c r="AC278" s="178"/>
      <c r="AD278" s="178"/>
      <c r="AE278" s="178"/>
      <c r="AF278" s="178"/>
      <c r="AG278" s="178"/>
      <c r="AH278" s="178"/>
      <c r="AI278" s="178"/>
      <c r="AJ278" s="178"/>
    </row>
    <row r="279" spans="1:36" s="180" customFormat="1" ht="16.5" hidden="1" customHeight="1" thickBot="1">
      <c r="A279" s="133"/>
      <c r="B279" s="237" t="s">
        <v>70</v>
      </c>
      <c r="C279" s="57"/>
      <c r="D279" s="57"/>
      <c r="E279" s="80"/>
      <c r="F279" s="57"/>
      <c r="G279" s="57"/>
      <c r="H279" s="57"/>
      <c r="I279" s="57"/>
      <c r="J279" s="184"/>
      <c r="K279" s="116" t="s">
        <v>27</v>
      </c>
      <c r="L279" s="116" t="s">
        <v>42</v>
      </c>
      <c r="M279" s="116" t="s">
        <v>129</v>
      </c>
      <c r="N279" s="116" t="str">
        <f ca="1">SUBSTITUTE(CELL("address",K265),"$","")</f>
        <v>K265</v>
      </c>
      <c r="O279" s="116" t="s">
        <v>130</v>
      </c>
      <c r="P279" s="228" t="s">
        <v>75</v>
      </c>
      <c r="Q279" s="250" t="str">
        <f ca="1">INDEX(tblGoSubRoutineStartCell[StartCell],MATCH(B279,tblGoSubRoutineStartCell[GoSub Routine],0))</f>
        <v>K56</v>
      </c>
      <c r="R279" s="184"/>
      <c r="S279" s="178"/>
      <c r="T279" s="178"/>
      <c r="U279" s="178"/>
      <c r="V279" s="178"/>
      <c r="W279" s="178"/>
      <c r="X279" s="178"/>
      <c r="Y279" s="178"/>
      <c r="Z279" s="178"/>
      <c r="AA279" s="178"/>
      <c r="AB279" s="178"/>
      <c r="AC279" s="178"/>
      <c r="AD279" s="178"/>
      <c r="AE279" s="178"/>
      <c r="AF279" s="178"/>
      <c r="AG279" s="178"/>
      <c r="AH279" s="178"/>
      <c r="AI279" s="178"/>
      <c r="AJ279" s="178"/>
    </row>
    <row r="280" spans="1:36" s="45" customFormat="1" ht="16.5" hidden="1" customHeight="1" thickBot="1">
      <c r="A280" s="131"/>
      <c r="B280" s="244" t="s">
        <v>292</v>
      </c>
      <c r="C280" s="66"/>
      <c r="D280" s="84"/>
      <c r="E280" s="437"/>
      <c r="F280" s="113"/>
      <c r="G280" s="113"/>
      <c r="H280" s="113"/>
      <c r="I280" s="113"/>
      <c r="J280" s="184"/>
      <c r="K280" s="241" t="s">
        <v>321</v>
      </c>
      <c r="L280" s="227"/>
      <c r="M280" s="227"/>
      <c r="R280" s="177"/>
      <c r="S280" s="177"/>
      <c r="T280" s="177"/>
      <c r="U280" s="177"/>
      <c r="V280" s="177"/>
      <c r="W280" s="177"/>
      <c r="X280" s="177"/>
      <c r="Y280" s="177"/>
      <c r="Z280" s="177"/>
      <c r="AA280" s="177"/>
      <c r="AB280" s="177"/>
      <c r="AC280" s="177"/>
      <c r="AD280" s="177"/>
      <c r="AE280" s="177"/>
      <c r="AF280" s="177"/>
      <c r="AG280" s="177"/>
      <c r="AH280" s="177"/>
      <c r="AI280" s="177"/>
      <c r="AJ280" s="177"/>
    </row>
    <row r="281" spans="1:36" s="180" customFormat="1" ht="15.75" hidden="1" thickBot="1">
      <c r="A281" s="132" cm="1">
        <f t="array" ref="A281">SSATSLineNumbers(A281,0.01)</f>
        <v>2.09</v>
      </c>
      <c r="B281" s="244" t="str">
        <f ca="1">ATE_Settings!Y55</f>
        <v>L1 Voltage Monitor Error (%)</v>
      </c>
      <c r="C281" s="66"/>
      <c r="D281" s="206"/>
      <c r="E281" s="454" t="str">
        <f>SSATSPercent_Error(E278,E280)</f>
        <v>[AUTO]</v>
      </c>
      <c r="F281" s="207">
        <f t="shared" ref="F281:H281" ca="1" si="7">P281</f>
        <v>-1</v>
      </c>
      <c r="G281" s="86">
        <f t="shared" ca="1" si="7"/>
        <v>1</v>
      </c>
      <c r="H281" s="86" t="str">
        <f t="shared" ca="1" si="7"/>
        <v>%</v>
      </c>
      <c r="I281" s="59" t="str">
        <f>IF(E281 ="[AUTO]","TBC", IF(AND(E281&gt;=F281,E281&lt;=G281 ),"Pass","Fail"))</f>
        <v>TBC</v>
      </c>
      <c r="J281" s="184"/>
      <c r="K281" s="115" t="s">
        <v>80</v>
      </c>
      <c r="L281" s="184"/>
      <c r="M281" s="184"/>
      <c r="N281" s="184"/>
      <c r="O281" s="184"/>
      <c r="P281" s="204">
        <f ca="1">C281+(INDEX(tblProductScalesMeasures[Min],MATCH(_xlfn.CONCAT(B281),tblProductScalesMeasures[Description],0)))</f>
        <v>-1</v>
      </c>
      <c r="Q281" s="204">
        <f ca="1">C281+(INDEX(tblProductScalesMeasures[Max],MATCH(_xlfn.CONCAT(B281),tblProductScalesMeasures[Description],0)))</f>
        <v>1</v>
      </c>
      <c r="R281" s="205" t="str">
        <f ca="1">(INDEX(tblProductScalesMeasures[Unit],MATCH(_xlfn.CONCAT(B281),tblProductScalesMeasures[Description],0)))</f>
        <v>%</v>
      </c>
      <c r="S281" s="203"/>
      <c r="T281" s="205">
        <f ca="1">IF(COUNTIF(tblExempt[],R281)&gt;0,0,INDEX(tblScaling[Divider],MATCH(_xlfn.CONCAT(IF(ISNUMBER(SEARCH(" ",section_2_heading))=TRUE,SUBSTITUTE(section_2_heading," ",""),"")," ",R281),tblScaling[Description],0)))</f>
        <v>0</v>
      </c>
      <c r="U281" s="178"/>
      <c r="V281" s="178"/>
      <c r="W281" s="178"/>
      <c r="X281" s="178"/>
      <c r="Y281" s="178"/>
      <c r="Z281" s="178"/>
      <c r="AA281" s="178"/>
      <c r="AB281" s="178"/>
      <c r="AC281" s="178"/>
      <c r="AD281" s="178"/>
      <c r="AE281" s="178"/>
      <c r="AF281" s="178"/>
      <c r="AG281" s="178"/>
      <c r="AH281" s="178"/>
      <c r="AI281" s="178"/>
      <c r="AJ281" s="178"/>
    </row>
    <row r="282" spans="1:36" s="180" customFormat="1" ht="16.5" hidden="1" customHeight="1" thickBot="1">
      <c r="A282" s="133"/>
      <c r="B282" s="237" t="s">
        <v>70</v>
      </c>
      <c r="C282" s="57"/>
      <c r="D282" s="57"/>
      <c r="E282" s="80"/>
      <c r="F282" s="57"/>
      <c r="G282" s="57"/>
      <c r="H282" s="57"/>
      <c r="I282" s="57"/>
      <c r="J282" s="184"/>
      <c r="K282" s="116" t="s">
        <v>27</v>
      </c>
      <c r="L282" s="116" t="s">
        <v>42</v>
      </c>
      <c r="M282" s="116" t="s">
        <v>129</v>
      </c>
      <c r="N282" s="116" t="str">
        <f ca="1">SUBSTITUTE(CELL("address",K280),"$","")</f>
        <v>K280</v>
      </c>
      <c r="O282" s="116" t="s">
        <v>130</v>
      </c>
      <c r="P282" s="228" t="s">
        <v>75</v>
      </c>
      <c r="Q282" s="250" t="str">
        <f ca="1">INDEX(tblGoSubRoutineStartCell[StartCell],MATCH(B282,tblGoSubRoutineStartCell[GoSub Routine],0))</f>
        <v>K56</v>
      </c>
      <c r="R282" s="184"/>
      <c r="S282" s="178"/>
      <c r="T282" s="178"/>
      <c r="U282" s="178"/>
      <c r="V282" s="178"/>
      <c r="W282" s="178"/>
      <c r="X282" s="178"/>
      <c r="Y282" s="178"/>
      <c r="Z282" s="178"/>
      <c r="AA282" s="178"/>
      <c r="AB282" s="178"/>
      <c r="AC282" s="178"/>
      <c r="AD282" s="178"/>
      <c r="AE282" s="178"/>
      <c r="AF282" s="178"/>
      <c r="AG282" s="178"/>
      <c r="AH282" s="178"/>
      <c r="AI282" s="178"/>
      <c r="AJ282" s="178"/>
    </row>
    <row r="283" spans="1:36" s="175" customFormat="1" ht="17.25" hidden="1" customHeight="1">
      <c r="A283" s="130"/>
      <c r="B283" s="240" t="s">
        <v>457</v>
      </c>
      <c r="C283" s="78"/>
      <c r="D283" s="58"/>
      <c r="E283" s="58"/>
      <c r="F283" s="58"/>
      <c r="G283" s="58"/>
      <c r="H283" s="58"/>
      <c r="I283" s="58"/>
      <c r="J283" s="184"/>
      <c r="K283" s="286" t="s">
        <v>27</v>
      </c>
      <c r="L283" s="286" t="s">
        <v>98</v>
      </c>
      <c r="M283" s="286" t="s">
        <v>324</v>
      </c>
      <c r="N283" s="286" t="s">
        <v>325</v>
      </c>
      <c r="O283" s="241" t="s">
        <v>326</v>
      </c>
      <c r="P283" s="241" t="str">
        <f>ATE_Settings!AK6</f>
        <v>\\shvukfs2\Eng\FIB Series\FIB35P_734 (FEI)\Test Equipment\FIB35P_734 SSATS\Final Test\Scope_Settings\82097_Lens1_HF.txt</v>
      </c>
      <c r="R283" s="184"/>
    </row>
    <row r="284" spans="1:36" s="175" customFormat="1" ht="15" hidden="1">
      <c r="A284" s="130"/>
      <c r="B284" s="246" t="s">
        <v>340</v>
      </c>
      <c r="C284" s="78">
        <v>5000</v>
      </c>
      <c r="D284" s="58"/>
      <c r="E284" s="58"/>
      <c r="F284" s="58"/>
      <c r="G284" s="58"/>
      <c r="H284" s="58"/>
      <c r="I284" s="58"/>
      <c r="J284" s="184"/>
      <c r="K284" s="371" t="s">
        <v>27</v>
      </c>
      <c r="L284" s="371" t="s">
        <v>42</v>
      </c>
      <c r="M284" s="216" t="s">
        <v>60</v>
      </c>
      <c r="N284" s="247" t="str">
        <f>B284</f>
        <v>Initialsing Scope…</v>
      </c>
      <c r="O284" s="210">
        <f>C284</f>
        <v>5000</v>
      </c>
      <c r="P284" s="184"/>
      <c r="Q284" s="184"/>
    </row>
    <row r="285" spans="1:36" s="373" customFormat="1" ht="15.75" hidden="1" thickBot="1">
      <c r="A285" s="379"/>
      <c r="B285" s="240" t="s">
        <v>702</v>
      </c>
      <c r="C285" s="376"/>
      <c r="D285" s="375"/>
      <c r="E285" s="375"/>
      <c r="F285" s="375"/>
      <c r="G285" s="375"/>
      <c r="H285" s="375"/>
      <c r="I285" s="375"/>
      <c r="J285" s="374"/>
      <c r="K285" s="395" t="s">
        <v>27</v>
      </c>
      <c r="L285" s="395" t="s">
        <v>98</v>
      </c>
      <c r="M285" s="396" t="s">
        <v>156</v>
      </c>
      <c r="N285" s="396" t="s">
        <v>141</v>
      </c>
      <c r="O285" s="384" t="s">
        <v>701</v>
      </c>
      <c r="P285" s="374"/>
      <c r="Q285" s="374"/>
    </row>
    <row r="286" spans="1:36" s="180" customFormat="1" ht="16.5" hidden="1" customHeight="1" thickBot="1">
      <c r="A286" s="132" cm="1">
        <f t="array" ref="A286">SSATSLineNumbers(A286,0.01)</f>
        <v>2.1</v>
      </c>
      <c r="B286" s="244" t="str">
        <f ca="1">ATE_Settings!Y53</f>
        <v>L1 Ripple (mV pk-pk)</v>
      </c>
      <c r="C286" s="435"/>
      <c r="D286" s="433" t="s">
        <v>296</v>
      </c>
      <c r="E286" s="460"/>
      <c r="F286" s="446">
        <f ca="1">Q286</f>
        <v>3</v>
      </c>
      <c r="G286" s="86">
        <f ca="1">R286</f>
        <v>150</v>
      </c>
      <c r="H286" s="86" t="str">
        <f ca="1">S286</f>
        <v>mV pk-pk</v>
      </c>
      <c r="I286" s="434" t="str">
        <f>IF(E286 ="","TBC", IF(AND(E286&gt;=F286,E286&lt;=G286 ),"Pass","Fail"))</f>
        <v>TBC</v>
      </c>
      <c r="J286" s="184"/>
      <c r="K286" s="377" t="s">
        <v>605</v>
      </c>
      <c r="L286" s="404" t="s">
        <v>752</v>
      </c>
      <c r="M286" s="395"/>
      <c r="N286" s="395"/>
      <c r="O286" s="395"/>
      <c r="P286" s="395"/>
      <c r="Q286" s="245">
        <f ca="1">C286+(INDEX(tblProductScalesMeasures[Min],MATCH(_xlfn.CONCAT(B286),tblProductScalesMeasures[Description],0)))</f>
        <v>3</v>
      </c>
      <c r="R286" s="245">
        <f ca="1">C286+(INDEX(tblProductScalesMeasures[Max],MATCH(_xlfn.CONCAT(B286),tblProductScalesMeasures[Description],0)))</f>
        <v>150</v>
      </c>
      <c r="S286" s="245" t="str">
        <f ca="1">(INDEX(tblProductScalesMeasures[Unit],MATCH(_xlfn.CONCAT(B286),tblProductScalesMeasures[Description],0)))</f>
        <v>mV pk-pk</v>
      </c>
      <c r="V286" s="177"/>
      <c r="W286" s="245" t="e">
        <f>IF(COUNTIF(tblExempt[],T286)&gt;0,0,INDEX(tblScaling[Divider],MATCH(_xlfn.CONCAT(IF(ISNUMBER(SEARCH(" ",section_2_heading))=TRUE,SUBSTITUTE(section_2_heading," ",""),"")," ",T286),tblScaling[Description],0)))</f>
        <v>#N/A</v>
      </c>
      <c r="X286" s="178"/>
      <c r="Y286" s="178"/>
      <c r="Z286" s="178"/>
      <c r="AA286" s="178"/>
      <c r="AB286" s="178"/>
      <c r="AC286" s="178"/>
      <c r="AD286" s="178"/>
      <c r="AE286" s="178"/>
      <c r="AF286" s="178"/>
      <c r="AG286" s="178"/>
      <c r="AH286" s="178"/>
      <c r="AI286" s="178"/>
      <c r="AJ286" s="178"/>
    </row>
    <row r="287" spans="1:36" s="180" customFormat="1" ht="16.5" hidden="1" customHeight="1" thickBot="1">
      <c r="A287" s="133"/>
      <c r="B287" s="237" t="s">
        <v>70</v>
      </c>
      <c r="C287" s="57"/>
      <c r="D287" s="57"/>
      <c r="E287" s="80"/>
      <c r="F287" s="57"/>
      <c r="G287" s="57"/>
      <c r="H287" s="57"/>
      <c r="I287" s="57"/>
      <c r="J287" s="184"/>
      <c r="K287" s="116" t="s">
        <v>27</v>
      </c>
      <c r="L287" s="116" t="s">
        <v>42</v>
      </c>
      <c r="M287" s="116" t="s">
        <v>129</v>
      </c>
      <c r="N287" s="116" t="str">
        <f ca="1">SUBSTITUTE(CELL("address",K283),"$","")</f>
        <v>K283</v>
      </c>
      <c r="O287" s="116" t="s">
        <v>130</v>
      </c>
      <c r="P287" s="228" t="s">
        <v>75</v>
      </c>
      <c r="Q287" s="250" t="str">
        <f ca="1">INDEX(tblGoSubRoutineStartCell[StartCell],MATCH(B287,tblGoSubRoutineStartCell[GoSub Routine],0))</f>
        <v>K56</v>
      </c>
      <c r="R287" s="184"/>
      <c r="S287" s="178"/>
      <c r="T287" s="178"/>
      <c r="V287" s="178"/>
      <c r="W287" s="178"/>
      <c r="X287" s="178"/>
      <c r="Y287" s="178"/>
      <c r="Z287" s="178"/>
      <c r="AA287" s="178"/>
      <c r="AB287" s="178"/>
      <c r="AC287" s="178"/>
      <c r="AD287" s="178"/>
      <c r="AE287" s="178"/>
      <c r="AF287" s="178"/>
      <c r="AG287" s="178"/>
      <c r="AH287" s="178"/>
      <c r="AI287" s="178"/>
      <c r="AJ287" s="178"/>
    </row>
    <row r="288" spans="1:36" s="175" customFormat="1" ht="17.25" hidden="1" customHeight="1">
      <c r="A288" s="130"/>
      <c r="B288" s="240" t="s">
        <v>458</v>
      </c>
      <c r="C288" s="78"/>
      <c r="D288" s="58"/>
      <c r="E288" s="58"/>
      <c r="F288" s="58"/>
      <c r="G288" s="58"/>
      <c r="H288" s="58"/>
      <c r="I288" s="58"/>
      <c r="J288" s="184"/>
      <c r="K288" s="286" t="s">
        <v>27</v>
      </c>
      <c r="L288" s="286" t="s">
        <v>98</v>
      </c>
      <c r="M288" s="286" t="s">
        <v>324</v>
      </c>
      <c r="N288" s="286" t="s">
        <v>325</v>
      </c>
      <c r="O288" s="241" t="s">
        <v>326</v>
      </c>
      <c r="P288" s="241" t="str">
        <f>ATE_Settings!AK7</f>
        <v>\\shvukfs2\Eng\FIB Series\FIB35P_734 (FEI)\Test Equipment\FIB35P_734 SSATS\Final Test\Scope_Settings\82097_Lens1_LF.txt</v>
      </c>
      <c r="Q288" s="184"/>
    </row>
    <row r="289" spans="1:36" s="175" customFormat="1" ht="15" hidden="1">
      <c r="A289" s="130"/>
      <c r="B289" s="246" t="s">
        <v>340</v>
      </c>
      <c r="C289" s="78">
        <v>7000</v>
      </c>
      <c r="D289" s="58"/>
      <c r="E289" s="58"/>
      <c r="F289" s="58"/>
      <c r="G289" s="58"/>
      <c r="H289" s="58"/>
      <c r="I289" s="58"/>
      <c r="J289" s="184"/>
      <c r="K289" s="286" t="s">
        <v>27</v>
      </c>
      <c r="L289" s="286" t="s">
        <v>42</v>
      </c>
      <c r="M289" s="216" t="s">
        <v>60</v>
      </c>
      <c r="N289" s="247" t="str">
        <f>B289</f>
        <v>Initialsing Scope…</v>
      </c>
      <c r="O289" s="210">
        <v>10000</v>
      </c>
      <c r="P289" s="184"/>
      <c r="Q289" s="184"/>
    </row>
    <row r="290" spans="1:36" s="380" customFormat="1" ht="15.75" hidden="1" thickBot="1">
      <c r="A290" s="399"/>
      <c r="B290" s="240" t="s">
        <v>702</v>
      </c>
      <c r="C290" s="390"/>
      <c r="D290" s="387"/>
      <c r="E290" s="387"/>
      <c r="F290" s="387"/>
      <c r="G290" s="387"/>
      <c r="H290" s="387"/>
      <c r="I290" s="387"/>
      <c r="J290" s="384"/>
      <c r="K290" s="395" t="s">
        <v>27</v>
      </c>
      <c r="L290" s="395" t="s">
        <v>98</v>
      </c>
      <c r="M290" s="396" t="s">
        <v>156</v>
      </c>
      <c r="N290" s="396" t="s">
        <v>141</v>
      </c>
      <c r="O290" s="384" t="s">
        <v>701</v>
      </c>
      <c r="P290" s="384"/>
      <c r="Q290" s="384"/>
    </row>
    <row r="291" spans="1:36" s="180" customFormat="1" ht="16.5" hidden="1" customHeight="1" thickBot="1">
      <c r="A291" s="132" cm="1">
        <f t="array" ref="A291">SSATSLineNumbers(A291,0.01)</f>
        <v>2.11</v>
      </c>
      <c r="B291" s="244" t="str">
        <f ca="1">B286</f>
        <v>L1 Ripple (mV pk-pk)</v>
      </c>
      <c r="C291" s="435"/>
      <c r="D291" s="433" t="s">
        <v>362</v>
      </c>
      <c r="E291" s="461"/>
      <c r="F291" s="447">
        <f ca="1">Q291</f>
        <v>3</v>
      </c>
      <c r="G291" s="394">
        <f ca="1">R291</f>
        <v>150</v>
      </c>
      <c r="H291" s="86" t="str">
        <f ca="1">S291</f>
        <v>mV pk-pk</v>
      </c>
      <c r="I291" s="434" t="str">
        <f>IF(E291 ="","TBC", IF(AND(E291&gt;=F291,E291&lt;=G291 ),"Pass","Fail"))</f>
        <v>TBC</v>
      </c>
      <c r="J291" s="184"/>
      <c r="K291" s="436" t="s">
        <v>605</v>
      </c>
      <c r="L291" s="404" t="s">
        <v>752</v>
      </c>
      <c r="M291" s="378"/>
      <c r="N291" s="378"/>
      <c r="O291" s="378"/>
      <c r="P291" s="275"/>
      <c r="Q291" s="245">
        <f ca="1">C291+(INDEX(tblProductScalesMeasures[Min],MATCH(_xlfn.CONCAT(B291),tblProductScalesMeasures[Description],0)))</f>
        <v>3</v>
      </c>
      <c r="R291" s="245">
        <f ca="1">C291+(INDEX(tblProductScalesMeasures[Max],MATCH(_xlfn.CONCAT(B291),tblProductScalesMeasures[Description],0)))</f>
        <v>150</v>
      </c>
      <c r="S291" s="245" t="str">
        <f ca="1">(INDEX(tblProductScalesMeasures[Unit],MATCH(_xlfn.CONCAT(B291),tblProductScalesMeasures[Description],0)))</f>
        <v>mV pk-pk</v>
      </c>
      <c r="V291" s="177"/>
      <c r="W291" s="245" t="e">
        <f>IF(COUNTIF(tblExempt[],T291)&gt;0,0,INDEX(tblScaling[Divider],MATCH(_xlfn.CONCAT(IF(ISNUMBER(SEARCH(" ",section_2_heading))=TRUE,SUBSTITUTE(section_2_heading," ",""),"")," ",T291),tblScaling[Description],0)))</f>
        <v>#N/A</v>
      </c>
      <c r="X291" s="178"/>
      <c r="Y291" s="178"/>
      <c r="Z291" s="178"/>
      <c r="AA291" s="178"/>
      <c r="AB291" s="178"/>
      <c r="AC291" s="178"/>
      <c r="AD291" s="178"/>
      <c r="AE291" s="178"/>
      <c r="AF291" s="178"/>
      <c r="AG291" s="178"/>
      <c r="AH291" s="178"/>
      <c r="AI291" s="178"/>
      <c r="AJ291" s="178"/>
    </row>
    <row r="292" spans="1:36" s="180" customFormat="1" ht="16.5" hidden="1" customHeight="1" thickBot="1">
      <c r="A292" s="133"/>
      <c r="B292" s="237" t="s">
        <v>70</v>
      </c>
      <c r="C292" s="57"/>
      <c r="D292" s="57"/>
      <c r="E292" s="80"/>
      <c r="F292" s="57"/>
      <c r="G292" s="57"/>
      <c r="H292" s="57"/>
      <c r="I292" s="57"/>
      <c r="J292" s="184"/>
      <c r="K292" s="116" t="s">
        <v>27</v>
      </c>
      <c r="L292" s="116" t="s">
        <v>42</v>
      </c>
      <c r="M292" s="116" t="s">
        <v>129</v>
      </c>
      <c r="N292" s="116" t="str">
        <f ca="1">SUBSTITUTE(CELL("address",K288),"$","")</f>
        <v>K288</v>
      </c>
      <c r="O292" s="116" t="s">
        <v>130</v>
      </c>
      <c r="P292" s="228" t="s">
        <v>75</v>
      </c>
      <c r="Q292" s="250" t="str">
        <f ca="1">INDEX(tblGoSubRoutineStartCell[StartCell],MATCH(B292,tblGoSubRoutineStartCell[GoSub Routine],0))</f>
        <v>K56</v>
      </c>
      <c r="R292" s="184"/>
      <c r="S292" s="178"/>
      <c r="T292" s="178"/>
      <c r="V292" s="178"/>
      <c r="W292" s="178"/>
      <c r="X292" s="178"/>
      <c r="Y292" s="178"/>
      <c r="Z292" s="178"/>
      <c r="AA292" s="178"/>
      <c r="AB292" s="178"/>
      <c r="AC292" s="178"/>
      <c r="AD292" s="178"/>
      <c r="AE292" s="178"/>
      <c r="AF292" s="178"/>
      <c r="AG292" s="178"/>
      <c r="AH292" s="178"/>
      <c r="AI292" s="178"/>
      <c r="AJ292" s="178"/>
    </row>
    <row r="293" spans="1:36" s="175" customFormat="1" ht="15" hidden="1">
      <c r="A293" s="130"/>
      <c r="B293" s="240" t="s">
        <v>331</v>
      </c>
      <c r="C293" s="78">
        <v>2</v>
      </c>
      <c r="D293" s="58"/>
      <c r="E293" s="58"/>
      <c r="F293" s="58"/>
      <c r="G293" s="58"/>
      <c r="H293" s="58"/>
      <c r="I293" s="58"/>
      <c r="J293" s="184"/>
      <c r="K293" s="241" t="str">
        <f>_xlfn.CONCAT("734|GND|REG1|DEC(",C293,")")</f>
        <v>734|GND|REG1|DEC(2)</v>
      </c>
      <c r="L293" s="234"/>
      <c r="M293" s="234"/>
      <c r="N293" s="234"/>
      <c r="O293" s="241"/>
      <c r="P293" s="241"/>
      <c r="Q293" s="184"/>
    </row>
    <row r="294" spans="1:36" s="175" customFormat="1" ht="15" hidden="1">
      <c r="A294" s="130"/>
      <c r="B294" s="240" t="s">
        <v>343</v>
      </c>
      <c r="C294" s="78"/>
      <c r="D294" s="58"/>
      <c r="E294" s="58"/>
      <c r="F294" s="58"/>
      <c r="G294" s="58"/>
      <c r="H294" s="58"/>
      <c r="I294" s="58"/>
      <c r="J294" s="184"/>
      <c r="K294" s="234" t="s">
        <v>27</v>
      </c>
      <c r="L294" s="234" t="s">
        <v>313</v>
      </c>
      <c r="M294" s="234" t="s">
        <v>91</v>
      </c>
      <c r="N294" s="234" t="s">
        <v>315</v>
      </c>
      <c r="O294" s="241" t="s">
        <v>316</v>
      </c>
      <c r="P294" s="241" t="s">
        <v>312</v>
      </c>
      <c r="Q294" s="184"/>
    </row>
    <row r="295" spans="1:36" s="180" customFormat="1" ht="15.75" hidden="1" customHeight="1" thickBot="1">
      <c r="A295" s="130"/>
      <c r="B295" s="84"/>
      <c r="C295" s="78"/>
      <c r="D295" s="58"/>
      <c r="E295" s="58"/>
      <c r="F295" s="58"/>
      <c r="G295" s="58"/>
      <c r="H295" s="58"/>
      <c r="I295" s="58"/>
      <c r="J295" s="184"/>
      <c r="K295" s="227" t="s">
        <v>80</v>
      </c>
      <c r="L295" s="227"/>
      <c r="M295" s="227"/>
      <c r="N295" s="227"/>
      <c r="O295" s="227"/>
      <c r="R295" s="178"/>
      <c r="S295" s="178"/>
      <c r="T295" s="178"/>
      <c r="U295" s="178"/>
      <c r="V295" s="178"/>
      <c r="W295" s="178"/>
      <c r="X295" s="178"/>
      <c r="Y295" s="178"/>
      <c r="Z295" s="178"/>
      <c r="AA295" s="178"/>
      <c r="AB295" s="178"/>
      <c r="AC295" s="178"/>
      <c r="AD295" s="178"/>
      <c r="AE295" s="178"/>
      <c r="AF295" s="178"/>
      <c r="AG295" s="178"/>
      <c r="AH295" s="178"/>
      <c r="AI295" s="178"/>
      <c r="AJ295" s="178"/>
    </row>
    <row r="296" spans="1:36" s="180" customFormat="1" ht="24" hidden="1" thickBot="1">
      <c r="A296" s="188"/>
      <c r="B296" s="189"/>
      <c r="C296" s="190"/>
      <c r="D296" s="308" t="s">
        <v>295</v>
      </c>
      <c r="E296" s="190"/>
      <c r="F296" s="190"/>
      <c r="G296" s="190"/>
      <c r="H296" s="190"/>
      <c r="I296" s="191"/>
      <c r="J296" s="184"/>
      <c r="K296" s="227" t="s">
        <v>80</v>
      </c>
      <c r="R296" s="178"/>
      <c r="S296" s="178"/>
      <c r="T296" s="178"/>
      <c r="U296" s="178"/>
      <c r="V296" s="178"/>
      <c r="W296" s="178"/>
      <c r="X296" s="178"/>
      <c r="Y296" s="178"/>
      <c r="Z296" s="178"/>
      <c r="AA296" s="178"/>
      <c r="AB296" s="178"/>
      <c r="AC296" s="178"/>
      <c r="AD296" s="178"/>
      <c r="AE296" s="178"/>
      <c r="AF296" s="178"/>
      <c r="AG296" s="178"/>
      <c r="AH296" s="178"/>
      <c r="AI296" s="178"/>
      <c r="AJ296" s="178"/>
    </row>
    <row r="297" spans="1:36" s="180" customFormat="1" ht="16.5" hidden="1" customHeight="1">
      <c r="A297" s="130"/>
      <c r="B297" s="84"/>
      <c r="C297" s="78"/>
      <c r="D297" s="58"/>
      <c r="E297" s="58"/>
      <c r="F297" s="58"/>
      <c r="G297" s="58"/>
      <c r="H297" s="58"/>
      <c r="I297" s="58"/>
      <c r="J297" s="184"/>
      <c r="K297" s="227" t="s">
        <v>80</v>
      </c>
      <c r="L297" s="184"/>
      <c r="M297" s="184"/>
      <c r="N297" s="184"/>
      <c r="O297" s="184"/>
      <c r="R297" s="178"/>
      <c r="S297" s="178"/>
      <c r="T297" s="178"/>
      <c r="U297" s="178"/>
      <c r="V297" s="178"/>
      <c r="W297" s="178"/>
      <c r="X297" s="178"/>
      <c r="Y297" s="178"/>
      <c r="Z297" s="178"/>
      <c r="AA297" s="178"/>
      <c r="AB297" s="178"/>
      <c r="AC297" s="178"/>
      <c r="AD297" s="178"/>
      <c r="AE297" s="178"/>
      <c r="AF297" s="178"/>
      <c r="AG297" s="178"/>
      <c r="AH297" s="178"/>
      <c r="AI297" s="178"/>
      <c r="AJ297" s="178"/>
    </row>
    <row r="298" spans="1:36" s="175" customFormat="1" ht="15" hidden="1">
      <c r="A298" s="130"/>
      <c r="B298" s="240" t="s">
        <v>343</v>
      </c>
      <c r="C298" s="78"/>
      <c r="D298" s="58"/>
      <c r="E298" s="58"/>
      <c r="F298" s="58"/>
      <c r="G298" s="58"/>
      <c r="H298" s="58"/>
      <c r="I298" s="58"/>
      <c r="J298" s="184"/>
      <c r="K298" s="340" t="s">
        <v>27</v>
      </c>
      <c r="L298" s="340" t="s">
        <v>313</v>
      </c>
      <c r="M298" s="340" t="s">
        <v>91</v>
      </c>
      <c r="N298" s="340" t="s">
        <v>315</v>
      </c>
      <c r="O298" s="241" t="s">
        <v>316</v>
      </c>
      <c r="P298" s="241" t="s">
        <v>312</v>
      </c>
      <c r="Q298" s="184"/>
    </row>
    <row r="299" spans="1:36" s="175" customFormat="1" ht="15" hidden="1">
      <c r="A299" s="130"/>
      <c r="B299" s="240" t="s">
        <v>337</v>
      </c>
      <c r="C299" s="78">
        <v>1</v>
      </c>
      <c r="D299" s="58"/>
      <c r="E299" s="58"/>
      <c r="F299" s="58"/>
      <c r="G299" s="58"/>
      <c r="H299" s="58"/>
      <c r="I299" s="58"/>
      <c r="J299" s="184"/>
      <c r="K299" s="234" t="s">
        <v>27</v>
      </c>
      <c r="L299" s="234" t="s">
        <v>313</v>
      </c>
      <c r="M299" s="234" t="s">
        <v>32</v>
      </c>
      <c r="N299" s="234" t="s">
        <v>315</v>
      </c>
      <c r="O299" s="241">
        <f>C299</f>
        <v>1</v>
      </c>
      <c r="P299" s="241"/>
      <c r="Q299" s="184"/>
    </row>
    <row r="300" spans="1:36" s="175" customFormat="1" ht="15" hidden="1">
      <c r="A300" s="130"/>
      <c r="B300" s="240" t="s">
        <v>329</v>
      </c>
      <c r="C300" s="78">
        <v>3</v>
      </c>
      <c r="D300" s="58"/>
      <c r="E300" s="58"/>
      <c r="F300" s="58"/>
      <c r="G300" s="58"/>
      <c r="H300" s="58"/>
      <c r="I300" s="58"/>
      <c r="J300" s="184"/>
      <c r="K300" s="241" t="str">
        <f>_xlfn.CONCAT("734|GND|REG1|DEC(",C300,")")</f>
        <v>734|GND|REG1|DEC(3)</v>
      </c>
      <c r="L300" s="234"/>
      <c r="M300" s="234"/>
      <c r="N300" s="234"/>
      <c r="O300" s="241"/>
      <c r="P300" s="241"/>
      <c r="Q300" s="184"/>
    </row>
    <row r="301" spans="1:36" s="175" customFormat="1" ht="15" hidden="1">
      <c r="A301" s="130"/>
      <c r="B301" s="240" t="s">
        <v>330</v>
      </c>
      <c r="C301" s="78">
        <v>36000</v>
      </c>
      <c r="D301" s="58"/>
      <c r="E301" s="58"/>
      <c r="F301" s="58"/>
      <c r="G301" s="58"/>
      <c r="H301" s="58"/>
      <c r="I301" s="58"/>
      <c r="J301" s="184"/>
      <c r="K301" s="241" t="str">
        <f>_xlfn.CONCAT("734|GND|OUT2|FLT(",C301,")")</f>
        <v>734|GND|OUT2|FLT(36000)</v>
      </c>
      <c r="L301" s="234"/>
      <c r="M301" s="234"/>
      <c r="N301" s="234"/>
      <c r="O301" s="241"/>
      <c r="P301" s="241"/>
      <c r="Q301" s="184"/>
    </row>
    <row r="302" spans="1:36" s="175" customFormat="1" ht="15" hidden="1">
      <c r="A302" s="130"/>
      <c r="B302" s="249" t="str">
        <f>_xlfn.CONCAT("Press OK once UUT is at ",C301,"v on DMM 1")</f>
        <v>Press OK once UUT is at 36000v on DMM 1</v>
      </c>
      <c r="C302" s="78">
        <v>200000</v>
      </c>
      <c r="D302" s="58"/>
      <c r="E302" s="58"/>
      <c r="F302" s="58"/>
      <c r="G302" s="58"/>
      <c r="H302" s="58"/>
      <c r="I302" s="58"/>
      <c r="J302" s="184"/>
      <c r="K302" s="234" t="s">
        <v>27</v>
      </c>
      <c r="L302" s="234" t="s">
        <v>42</v>
      </c>
      <c r="M302" s="216" t="s">
        <v>60</v>
      </c>
      <c r="N302" s="247" t="str">
        <f>B302</f>
        <v>Press OK once UUT is at 36000v on DMM 1</v>
      </c>
      <c r="O302" s="210">
        <f>C302</f>
        <v>200000</v>
      </c>
      <c r="P302" s="184"/>
      <c r="Q302" s="184"/>
    </row>
    <row r="303" spans="1:36" s="175" customFormat="1" ht="15.75" hidden="1" thickBot="1">
      <c r="A303" s="130"/>
      <c r="B303" s="244" t="s">
        <v>336</v>
      </c>
      <c r="C303" s="78"/>
      <c r="D303" s="58"/>
      <c r="E303" s="251"/>
      <c r="F303" s="58"/>
      <c r="G303" s="58"/>
      <c r="H303" s="58"/>
      <c r="I303" s="58"/>
      <c r="J303" s="184"/>
      <c r="K303" s="234" t="s">
        <v>27</v>
      </c>
      <c r="L303" s="234" t="s">
        <v>318</v>
      </c>
      <c r="M303" s="234" t="s">
        <v>55</v>
      </c>
      <c r="N303" s="234" t="s">
        <v>33</v>
      </c>
      <c r="O303" s="241">
        <v>1</v>
      </c>
      <c r="P303" s="241"/>
      <c r="Q303" s="184"/>
    </row>
    <row r="304" spans="1:36" s="180" customFormat="1" ht="15.75" hidden="1" customHeight="1" thickBot="1">
      <c r="A304" s="132" cm="1">
        <f t="array" ref="A304">SSATSLineNumbers(A304,0.01)</f>
        <v>2.12</v>
      </c>
      <c r="B304" s="248" t="s">
        <v>289</v>
      </c>
      <c r="C304" s="243">
        <v>-36000</v>
      </c>
      <c r="D304" s="84"/>
      <c r="E304" s="457" t="str">
        <f>IF(E303="","[AUTO]",E303*T304)</f>
        <v>[AUTO]</v>
      </c>
      <c r="F304" s="86">
        <f ca="1">P304</f>
        <v>-36100</v>
      </c>
      <c r="G304" s="86">
        <f ca="1">Q304</f>
        <v>-35900</v>
      </c>
      <c r="H304" s="86" t="str">
        <f ca="1">R304</f>
        <v>V</v>
      </c>
      <c r="I304" s="59" t="str">
        <f>IF(E304 ="[AUTO]","TBC",IF(AND(E304&gt;=F304,E304&lt;=G304 ),"Pass","Fail"))</f>
        <v>TBC</v>
      </c>
      <c r="J304" s="184"/>
      <c r="K304" s="227" t="s">
        <v>80</v>
      </c>
      <c r="P304" s="245">
        <f ca="1">C304+(INDEX(tblProductScalesMeasures[Min],MATCH(_xlfn.CONCAT(B304),tblProductScalesMeasures[Description],0)))</f>
        <v>-36100</v>
      </c>
      <c r="Q304" s="245">
        <f ca="1">C304+(INDEX(tblProductScalesMeasures[Max],MATCH(_xlfn.CONCAT(B304),tblProductScalesMeasures[Description],0)))</f>
        <v>-35900</v>
      </c>
      <c r="R304" s="245" t="str">
        <f ca="1">(INDEX(tblProductScalesMeasures[Unit],MATCH(_xlfn.CONCAT(B304),tblProductScalesMeasures[Description],0)))</f>
        <v>V</v>
      </c>
      <c r="S304" s="177"/>
      <c r="T304" s="245">
        <f ca="1">IF(COUNTIF(tblExempt[],R304)&gt;0,0,INDEX(tblScaling[Divider],MATCH(_xlfn.CONCAT(IF(ISNUMBER(SEARCH(" ",section_2_heading))=TRUE,SUBSTITUTE(section_2_heading," ",""),"")," ",R304),tblScaling[Description],0)))</f>
        <v>10000</v>
      </c>
      <c r="U304" s="178"/>
      <c r="V304" s="178"/>
      <c r="W304" s="178"/>
      <c r="X304" s="178"/>
      <c r="Y304" s="178"/>
      <c r="Z304" s="178"/>
      <c r="AA304" s="178"/>
      <c r="AB304" s="178"/>
      <c r="AC304" s="178"/>
      <c r="AD304" s="178"/>
      <c r="AE304" s="178"/>
      <c r="AF304" s="178"/>
      <c r="AG304" s="178"/>
      <c r="AH304" s="178"/>
      <c r="AI304" s="178"/>
      <c r="AJ304" s="178"/>
    </row>
    <row r="305" spans="1:36" s="175" customFormat="1" ht="15" hidden="1">
      <c r="A305" s="130"/>
      <c r="B305" s="240" t="s">
        <v>343</v>
      </c>
      <c r="C305" s="78"/>
      <c r="D305" s="58"/>
      <c r="E305" s="58"/>
      <c r="F305" s="58"/>
      <c r="G305" s="58"/>
      <c r="H305" s="58"/>
      <c r="I305" s="58"/>
      <c r="J305" s="184"/>
      <c r="K305" s="234" t="s">
        <v>27</v>
      </c>
      <c r="L305" s="234" t="s">
        <v>313</v>
      </c>
      <c r="M305" s="234" t="s">
        <v>91</v>
      </c>
      <c r="N305" s="234" t="s">
        <v>315</v>
      </c>
      <c r="O305" s="241" t="s">
        <v>316</v>
      </c>
      <c r="P305" s="241" t="s">
        <v>312</v>
      </c>
      <c r="Q305" s="184"/>
    </row>
    <row r="306" spans="1:36" s="175" customFormat="1" ht="15" hidden="1">
      <c r="A306" s="130"/>
      <c r="B306" s="249" t="s">
        <v>589</v>
      </c>
      <c r="C306" s="78">
        <v>5000</v>
      </c>
      <c r="D306" s="58"/>
      <c r="E306" s="58"/>
      <c r="F306" s="58"/>
      <c r="G306" s="58"/>
      <c r="H306" s="58"/>
      <c r="I306" s="58"/>
      <c r="J306" s="184"/>
      <c r="K306" s="340" t="s">
        <v>27</v>
      </c>
      <c r="L306" s="340" t="s">
        <v>42</v>
      </c>
      <c r="M306" s="216" t="s">
        <v>60</v>
      </c>
      <c r="N306" s="247" t="str">
        <f>B306</f>
        <v>Going Off Load…</v>
      </c>
      <c r="O306" s="210">
        <f>C306</f>
        <v>5000</v>
      </c>
      <c r="P306" s="184"/>
      <c r="Q306" s="184"/>
    </row>
    <row r="307" spans="1:36" s="175" customFormat="1" ht="15.75" hidden="1" thickBot="1">
      <c r="A307" s="130"/>
      <c r="B307" s="244" t="s">
        <v>336</v>
      </c>
      <c r="C307" s="78"/>
      <c r="D307" s="58"/>
      <c r="E307" s="251"/>
      <c r="F307" s="58"/>
      <c r="G307" s="58"/>
      <c r="H307" s="58"/>
      <c r="I307" s="58"/>
      <c r="J307" s="184"/>
      <c r="K307" s="234" t="s">
        <v>27</v>
      </c>
      <c r="L307" s="234" t="s">
        <v>318</v>
      </c>
      <c r="M307" s="234" t="s">
        <v>55</v>
      </c>
      <c r="N307" s="234" t="s">
        <v>33</v>
      </c>
      <c r="O307" s="241">
        <v>1</v>
      </c>
      <c r="P307" s="241"/>
      <c r="Q307" s="184"/>
    </row>
    <row r="308" spans="1:36" s="180" customFormat="1" ht="18.75" hidden="1" customHeight="1" thickBot="1">
      <c r="A308" s="132" cm="1">
        <f t="array" ref="A308">SSATSLineNumbers(A308,0.01)</f>
        <v>2.13</v>
      </c>
      <c r="B308" s="248" t="s">
        <v>289</v>
      </c>
      <c r="C308" s="243">
        <v>-36000</v>
      </c>
      <c r="D308" s="84"/>
      <c r="E308" s="457" t="str">
        <f>IF(E307="","[AUTO]",E307*T308)</f>
        <v>[AUTO]</v>
      </c>
      <c r="F308" s="86">
        <f t="shared" ref="F308:H309" ca="1" si="8">P308</f>
        <v>-36100</v>
      </c>
      <c r="G308" s="86">
        <f t="shared" ca="1" si="8"/>
        <v>-35900</v>
      </c>
      <c r="H308" s="86" t="str">
        <f t="shared" ca="1" si="8"/>
        <v>V</v>
      </c>
      <c r="I308" s="59" t="str">
        <f>IF(E308 ="[AUTO]","TBC",IF(AND(E308&gt;=F308,E308&lt;=G308 ),"Pass","Fail"))</f>
        <v>TBC</v>
      </c>
      <c r="J308" s="184"/>
      <c r="K308" s="227" t="s">
        <v>80</v>
      </c>
      <c r="P308" s="245">
        <f ca="1">C308+(INDEX(tblProductScalesMeasures[Min],MATCH(_xlfn.CONCAT(B308),tblProductScalesMeasures[Description],0)))</f>
        <v>-36100</v>
      </c>
      <c r="Q308" s="245">
        <f ca="1">C308+(INDEX(tblProductScalesMeasures[Max],MATCH(_xlfn.CONCAT(B308),tblProductScalesMeasures[Description],0)))</f>
        <v>-35900</v>
      </c>
      <c r="R308" s="245" t="str">
        <f ca="1">(INDEX(tblProductScalesMeasures[Unit],MATCH(_xlfn.CONCAT(B308),tblProductScalesMeasures[Description],0)))</f>
        <v>V</v>
      </c>
      <c r="S308" s="177"/>
      <c r="T308" s="245">
        <f ca="1">IF(COUNTIF(tblExempt[],R308)&gt;0,0,INDEX(tblScaling[Divider],MATCH(_xlfn.CONCAT(IF(ISNUMBER(SEARCH(" ",section_2_heading))=TRUE,SUBSTITUTE(section_2_heading," ",""),"")," ",R308),tblScaling[Description],0)))</f>
        <v>10000</v>
      </c>
      <c r="U308" s="178"/>
      <c r="V308" s="178"/>
      <c r="W308" s="178"/>
      <c r="X308" s="178"/>
      <c r="Y308" s="178"/>
      <c r="Z308" s="178"/>
      <c r="AA308" s="178"/>
      <c r="AB308" s="178"/>
      <c r="AC308" s="178"/>
      <c r="AD308" s="178"/>
      <c r="AE308" s="178"/>
      <c r="AF308" s="178"/>
      <c r="AG308" s="178"/>
      <c r="AH308" s="178"/>
      <c r="AI308" s="178"/>
      <c r="AJ308" s="178"/>
    </row>
    <row r="309" spans="1:36" s="180" customFormat="1" ht="15.75" hidden="1" thickBot="1">
      <c r="A309" s="132" cm="1">
        <f t="array" ref="A309">SSATSLineNumbers(A309,0.01)</f>
        <v>2.14</v>
      </c>
      <c r="B309" s="248" t="str">
        <f ca="1">ATE_Settings!Y56</f>
        <v>L1 Load Regulation (V)</v>
      </c>
      <c r="C309" s="243">
        <v>-36000</v>
      </c>
      <c r="D309" s="84"/>
      <c r="E309" s="457" t="str">
        <f>IF(E308="[AUTO]","[AUTO]",E304-E308)</f>
        <v>[AUTO]</v>
      </c>
      <c r="F309" s="86">
        <f t="shared" ca="1" si="8"/>
        <v>-3.6</v>
      </c>
      <c r="G309" s="86">
        <f t="shared" ca="1" si="8"/>
        <v>3.6</v>
      </c>
      <c r="H309" s="86" t="str">
        <f t="shared" ca="1" si="8"/>
        <v>V</v>
      </c>
      <c r="I309" s="59" t="str">
        <f>IF(E309 ="[AUTO]","TBC",IF(AND(E309&gt;=F309,E309&lt;=G309 ),"Pass","Fail"))</f>
        <v>TBC</v>
      </c>
      <c r="J309" s="184"/>
      <c r="K309" s="227" t="s">
        <v>80</v>
      </c>
      <c r="L309" s="184"/>
      <c r="M309" s="184"/>
      <c r="N309" s="184"/>
      <c r="O309" s="184"/>
      <c r="P309" s="204">
        <f ca="1">((C309*(INDEX(tblProductScalesMeasures[Max],MATCH(_xlfn.CONCAT(B309),tblProductScalesMeasures[Description],0)))))</f>
        <v>-3.6</v>
      </c>
      <c r="Q309" s="204">
        <f ca="1">(C309*(INDEX(tblProductScalesMeasures[Min],MATCH(_xlfn.CONCAT(B309),tblProductScalesMeasures[Description],0))))</f>
        <v>3.6</v>
      </c>
      <c r="R309" s="205" t="str">
        <f ca="1">(INDEX(tblProductScalesMeasures[Unit],MATCH(_xlfn.CONCAT(B309),tblProductScalesMeasures[Description],0)))</f>
        <v>V</v>
      </c>
      <c r="S309" s="203"/>
      <c r="T309" s="205">
        <f ca="1">IF(COUNTIF(tblExempt[],R309)&gt;0,0,INDEX(tblScaling[Divider],MATCH(_xlfn.CONCAT(IF(ISNUMBER(SEARCH(" ",section_2_heading))=TRUE,SUBSTITUTE(section_2_heading," ",""),"")," ",R309),tblScaling[Description],0)))</f>
        <v>10000</v>
      </c>
      <c r="U309" s="178"/>
      <c r="V309" s="178"/>
      <c r="W309" s="178"/>
      <c r="X309" s="178"/>
      <c r="Y309" s="178"/>
      <c r="Z309" s="178"/>
      <c r="AA309" s="178"/>
      <c r="AB309" s="178"/>
      <c r="AC309" s="178"/>
      <c r="AD309" s="178"/>
      <c r="AE309" s="178"/>
      <c r="AF309" s="178"/>
      <c r="AG309" s="178"/>
      <c r="AH309" s="178"/>
      <c r="AI309" s="178"/>
      <c r="AJ309" s="178"/>
    </row>
    <row r="310" spans="1:36" s="180" customFormat="1" ht="16.5" hidden="1" customHeight="1" thickBot="1">
      <c r="A310" s="133"/>
      <c r="B310" s="237" t="s">
        <v>70</v>
      </c>
      <c r="C310" s="57"/>
      <c r="D310" s="57"/>
      <c r="E310" s="80"/>
      <c r="F310" s="57"/>
      <c r="G310" s="57"/>
      <c r="H310" s="57"/>
      <c r="I310" s="57"/>
      <c r="J310" s="184"/>
      <c r="K310" s="116" t="s">
        <v>27</v>
      </c>
      <c r="L310" s="116" t="s">
        <v>42</v>
      </c>
      <c r="M310" s="116" t="s">
        <v>129</v>
      </c>
      <c r="N310" s="116" t="str">
        <f ca="1">SUBSTITUTE(CELL("address",K298),"$","")</f>
        <v>K298</v>
      </c>
      <c r="O310" s="116" t="s">
        <v>130</v>
      </c>
      <c r="P310" s="228" t="s">
        <v>75</v>
      </c>
      <c r="Q310" s="250" t="str">
        <f ca="1">INDEX(tblGoSubRoutineStartCell[StartCell],MATCH(B310,tblGoSubRoutineStartCell[GoSub Routine],0))</f>
        <v>K56</v>
      </c>
      <c r="R310" s="184"/>
      <c r="S310" s="178"/>
      <c r="T310" s="178"/>
      <c r="U310" s="178"/>
      <c r="V310" s="178"/>
      <c r="W310" s="178"/>
      <c r="X310" s="178"/>
      <c r="Y310" s="178"/>
      <c r="Z310" s="178"/>
      <c r="AA310" s="178"/>
      <c r="AB310" s="178"/>
      <c r="AC310" s="178"/>
      <c r="AD310" s="178"/>
      <c r="AE310" s="178"/>
      <c r="AF310" s="178"/>
      <c r="AG310" s="178"/>
      <c r="AH310" s="178"/>
      <c r="AI310" s="178"/>
      <c r="AJ310" s="178"/>
    </row>
    <row r="311" spans="1:36" s="175" customFormat="1" ht="15" hidden="1">
      <c r="A311" s="130"/>
      <c r="B311" s="240" t="s">
        <v>331</v>
      </c>
      <c r="C311" s="78">
        <v>2</v>
      </c>
      <c r="D311" s="58"/>
      <c r="E311" s="58">
        <v>2</v>
      </c>
      <c r="F311" s="58"/>
      <c r="G311" s="58"/>
      <c r="H311" s="58"/>
      <c r="I311" s="58"/>
      <c r="J311" s="184"/>
      <c r="K311" s="241" t="str">
        <f>_xlfn.CONCAT("734|GND|REG1|DEC(",C311,")")</f>
        <v>734|GND|REG1|DEC(2)</v>
      </c>
      <c r="L311" s="234"/>
      <c r="M311" s="234"/>
      <c r="N311" s="234"/>
      <c r="O311" s="241"/>
      <c r="P311" s="241"/>
      <c r="Q311" s="184"/>
    </row>
    <row r="312" spans="1:36" s="175" customFormat="1" ht="15" hidden="1">
      <c r="A312" s="130"/>
      <c r="B312" s="240" t="s">
        <v>343</v>
      </c>
      <c r="C312" s="78"/>
      <c r="D312" s="58"/>
      <c r="E312" s="58"/>
      <c r="F312" s="58"/>
      <c r="G312" s="58"/>
      <c r="H312" s="58"/>
      <c r="I312" s="58"/>
      <c r="J312" s="184"/>
      <c r="K312" s="234" t="s">
        <v>27</v>
      </c>
      <c r="L312" s="234" t="s">
        <v>313</v>
      </c>
      <c r="M312" s="234" t="s">
        <v>91</v>
      </c>
      <c r="N312" s="234" t="s">
        <v>315</v>
      </c>
      <c r="O312" s="241" t="s">
        <v>316</v>
      </c>
      <c r="P312" s="241" t="s">
        <v>312</v>
      </c>
      <c r="Q312" s="184"/>
    </row>
    <row r="313" spans="1:36" s="180" customFormat="1" ht="15.75" hidden="1" thickBot="1">
      <c r="A313" s="130"/>
      <c r="B313" s="84"/>
      <c r="C313" s="78"/>
      <c r="D313" s="58"/>
      <c r="E313" s="58"/>
      <c r="F313" s="58"/>
      <c r="G313" s="58"/>
      <c r="H313" s="58"/>
      <c r="I313" s="58"/>
      <c r="J313" s="184"/>
      <c r="K313" s="227" t="s">
        <v>80</v>
      </c>
      <c r="L313" s="184"/>
      <c r="M313" s="184"/>
      <c r="N313" s="184"/>
      <c r="O313" s="184"/>
      <c r="R313" s="178"/>
      <c r="S313" s="178"/>
      <c r="T313" s="178"/>
      <c r="U313" s="178"/>
      <c r="V313" s="178"/>
      <c r="W313" s="178"/>
      <c r="X313" s="178"/>
      <c r="Y313" s="178"/>
      <c r="Z313" s="178"/>
      <c r="AA313" s="178"/>
      <c r="AB313" s="178"/>
      <c r="AC313" s="178"/>
      <c r="AD313" s="178"/>
      <c r="AE313" s="178"/>
      <c r="AF313" s="178"/>
      <c r="AG313" s="178"/>
      <c r="AH313" s="178"/>
      <c r="AI313" s="178"/>
      <c r="AJ313" s="178"/>
    </row>
    <row r="314" spans="1:36" ht="18.75" hidden="1" thickBot="1">
      <c r="A314" s="134"/>
      <c r="B314" s="54" t="s">
        <v>70</v>
      </c>
      <c r="C314" s="55"/>
      <c r="D314" s="55"/>
      <c r="E314" s="55"/>
      <c r="F314" s="55"/>
      <c r="G314" s="55"/>
      <c r="H314" s="55"/>
      <c r="I314" s="56"/>
      <c r="K314" s="227" t="s">
        <v>77</v>
      </c>
      <c r="L314" s="227" t="s">
        <v>75</v>
      </c>
      <c r="M314" s="301" t="str">
        <f ca="1">INDEX(tblGoSubRoutineStartCell[StartCell],MATCH(B314,tblGoSubRoutineStartCell[GoSub Routine],0))</f>
        <v>K56</v>
      </c>
    </row>
    <row r="315" spans="1:36" ht="12.75" hidden="1" customHeight="1">
      <c r="A315" s="504" t="str">
        <f>_xlfn.CONCAT(section_2_heading," Overall Verdict")</f>
        <v>Lens 1 Overall Verdict</v>
      </c>
      <c r="B315" s="505"/>
      <c r="C315" s="505"/>
      <c r="D315" s="505"/>
      <c r="E315" s="505"/>
      <c r="F315" s="505"/>
      <c r="G315" s="506"/>
      <c r="H315" s="513" t="str" cm="1">
        <f t="array" ref="H315">_xlfn.IFS(COUNTIF(section_2_results,"TBC")&gt;0,"Incomplete",COUNT(IF(ISERROR(section_2_results),1,""))&gt;0,"VALUE ERROR",COUNTIF(section_2_results,"Fail")&gt;0,"Fail",COUNTIF(unit_type,"")&gt;0,"NO UNIT TYPE",COUNTIF(serial_number,"")&gt;0,"NO SERIAL NUMBER",COUNTIF(tester_name,"")&gt;0,"NO TESTER ID",TRUE,"Pass")</f>
        <v>Incomplete</v>
      </c>
      <c r="I315" s="514"/>
    </row>
    <row r="316" spans="1:36" ht="12.75" hidden="1" customHeight="1">
      <c r="A316" s="507"/>
      <c r="B316" s="508"/>
      <c r="C316" s="508"/>
      <c r="D316" s="508"/>
      <c r="E316" s="508"/>
      <c r="F316" s="508"/>
      <c r="G316" s="509"/>
      <c r="H316" s="515"/>
      <c r="I316" s="516"/>
    </row>
    <row r="317" spans="1:36" ht="13.5" hidden="1" customHeight="1" thickBot="1">
      <c r="A317" s="510"/>
      <c r="B317" s="511"/>
      <c r="C317" s="511"/>
      <c r="D317" s="511"/>
      <c r="E317" s="511"/>
      <c r="F317" s="511"/>
      <c r="G317" s="512"/>
      <c r="H317" s="517"/>
      <c r="I317" s="518"/>
    </row>
    <row r="318" spans="1:36" ht="24" hidden="1" thickBot="1">
      <c r="A318" s="192">
        <v>3</v>
      </c>
      <c r="B318" s="528" t="s">
        <v>287</v>
      </c>
      <c r="C318" s="529"/>
      <c r="D318" s="529"/>
      <c r="E318" s="529"/>
      <c r="F318" s="529"/>
      <c r="G318" s="529"/>
      <c r="H318" s="529"/>
      <c r="I318" s="530"/>
    </row>
    <row r="319" spans="1:36" s="45" customFormat="1" ht="12.75" hidden="1" customHeight="1">
      <c r="A319" s="468" t="s">
        <v>363</v>
      </c>
      <c r="B319" s="469"/>
      <c r="C319" s="469"/>
      <c r="D319" s="469"/>
      <c r="E319" s="469"/>
      <c r="F319" s="469"/>
      <c r="G319" s="469"/>
      <c r="H319" s="469"/>
      <c r="I319" s="470"/>
      <c r="K319" s="50"/>
      <c r="R319" s="177"/>
      <c r="S319" s="177"/>
      <c r="T319" s="177"/>
      <c r="U319" s="177"/>
      <c r="V319" s="177"/>
      <c r="W319" s="177"/>
      <c r="X319" s="177"/>
      <c r="Y319" s="177"/>
      <c r="Z319" s="177"/>
      <c r="AA319" s="177"/>
      <c r="AB319" s="177"/>
      <c r="AC319" s="177"/>
      <c r="AD319" s="177"/>
      <c r="AE319" s="177"/>
      <c r="AF319" s="177"/>
      <c r="AG319" s="177"/>
      <c r="AH319" s="177"/>
      <c r="AI319" s="177"/>
      <c r="AJ319" s="177"/>
    </row>
    <row r="320" spans="1:36" s="45" customFormat="1" ht="12.75" hidden="1" customHeight="1">
      <c r="A320" s="471"/>
      <c r="B320" s="472"/>
      <c r="C320" s="472"/>
      <c r="D320" s="472"/>
      <c r="E320" s="472"/>
      <c r="F320" s="472"/>
      <c r="G320" s="472"/>
      <c r="H320" s="472"/>
      <c r="I320" s="473"/>
      <c r="K320" s="50"/>
      <c r="R320" s="177"/>
      <c r="S320" s="177"/>
      <c r="T320" s="177"/>
      <c r="U320" s="177"/>
      <c r="V320" s="177"/>
      <c r="W320" s="177"/>
      <c r="X320" s="177"/>
      <c r="Y320" s="177"/>
      <c r="Z320" s="177"/>
      <c r="AA320" s="177"/>
      <c r="AB320" s="177"/>
      <c r="AC320" s="177"/>
      <c r="AD320" s="177"/>
      <c r="AE320" s="177"/>
      <c r="AF320" s="177"/>
      <c r="AG320" s="177"/>
      <c r="AH320" s="177"/>
      <c r="AI320" s="177"/>
      <c r="AJ320" s="177"/>
    </row>
    <row r="321" spans="1:36" s="45" customFormat="1" ht="12.75" hidden="1" customHeight="1">
      <c r="A321" s="471"/>
      <c r="B321" s="472"/>
      <c r="C321" s="472"/>
      <c r="D321" s="472"/>
      <c r="E321" s="472"/>
      <c r="F321" s="472"/>
      <c r="G321" s="472"/>
      <c r="H321" s="472"/>
      <c r="I321" s="473"/>
      <c r="K321" s="50"/>
      <c r="R321" s="177"/>
      <c r="S321" s="177"/>
      <c r="T321" s="177"/>
      <c r="U321" s="177"/>
      <c r="V321" s="177"/>
      <c r="W321" s="177"/>
      <c r="X321" s="177"/>
      <c r="Y321" s="177"/>
      <c r="Z321" s="177"/>
      <c r="AA321" s="177"/>
      <c r="AB321" s="177"/>
      <c r="AC321" s="177"/>
      <c r="AD321" s="177"/>
      <c r="AE321" s="177"/>
      <c r="AF321" s="177"/>
      <c r="AG321" s="177"/>
      <c r="AH321" s="177"/>
      <c r="AI321" s="177"/>
      <c r="AJ321" s="177"/>
    </row>
    <row r="322" spans="1:36" s="45" customFormat="1" ht="12.75" hidden="1" customHeight="1">
      <c r="A322" s="411"/>
      <c r="B322" s="412"/>
      <c r="C322" s="412"/>
      <c r="D322" s="412"/>
      <c r="E322" s="412"/>
      <c r="F322" s="412"/>
      <c r="G322" s="412"/>
      <c r="H322" s="412"/>
      <c r="I322" s="413"/>
      <c r="K322" s="50"/>
      <c r="R322" s="177"/>
      <c r="S322" s="177"/>
      <c r="T322" s="177"/>
      <c r="U322" s="177"/>
      <c r="V322" s="177"/>
      <c r="W322" s="177"/>
      <c r="X322" s="177"/>
      <c r="Y322" s="177"/>
      <c r="Z322" s="177"/>
      <c r="AA322" s="177"/>
      <c r="AB322" s="177"/>
      <c r="AC322" s="177"/>
      <c r="AD322" s="177"/>
      <c r="AE322" s="177"/>
      <c r="AF322" s="177"/>
      <c r="AG322" s="177"/>
      <c r="AH322" s="177"/>
      <c r="AI322" s="177"/>
      <c r="AJ322" s="177"/>
    </row>
    <row r="323" spans="1:36" s="45" customFormat="1" ht="12.75" hidden="1" customHeight="1">
      <c r="A323" s="411"/>
      <c r="B323" s="412"/>
      <c r="C323" s="412"/>
      <c r="D323" s="412"/>
      <c r="E323" s="412"/>
      <c r="F323" s="412"/>
      <c r="G323" s="412"/>
      <c r="H323" s="412"/>
      <c r="I323" s="413"/>
      <c r="K323" s="50"/>
      <c r="R323" s="177"/>
      <c r="S323" s="177"/>
      <c r="T323" s="177"/>
      <c r="U323" s="177"/>
      <c r="V323" s="177"/>
      <c r="W323" s="177"/>
      <c r="X323" s="177"/>
      <c r="Y323" s="177"/>
      <c r="Z323" s="177"/>
      <c r="AA323" s="177"/>
      <c r="AB323" s="177"/>
      <c r="AC323" s="177"/>
      <c r="AD323" s="177"/>
      <c r="AE323" s="177"/>
      <c r="AF323" s="177"/>
      <c r="AG323" s="177"/>
      <c r="AH323" s="177"/>
      <c r="AI323" s="177"/>
      <c r="AJ323" s="177"/>
    </row>
    <row r="324" spans="1:36" s="45" customFormat="1" ht="12.75" hidden="1" customHeight="1">
      <c r="A324" s="411"/>
      <c r="B324" s="412"/>
      <c r="C324" s="412"/>
      <c r="D324" s="412"/>
      <c r="E324" s="412"/>
      <c r="F324" s="412"/>
      <c r="G324" s="412"/>
      <c r="H324" s="412"/>
      <c r="I324" s="413"/>
      <c r="K324" s="50"/>
      <c r="R324" s="177"/>
      <c r="S324" s="177"/>
      <c r="T324" s="177"/>
      <c r="U324" s="177"/>
      <c r="V324" s="177"/>
      <c r="W324" s="177"/>
      <c r="X324" s="177"/>
      <c r="Y324" s="177"/>
      <c r="Z324" s="177"/>
      <c r="AA324" s="177"/>
      <c r="AB324" s="177"/>
      <c r="AC324" s="177"/>
      <c r="AD324" s="177"/>
      <c r="AE324" s="177"/>
      <c r="AF324" s="177"/>
      <c r="AG324" s="177"/>
      <c r="AH324" s="177"/>
      <c r="AI324" s="177"/>
      <c r="AJ324" s="177"/>
    </row>
    <row r="325" spans="1:36" s="45" customFormat="1" ht="12.75" hidden="1" customHeight="1">
      <c r="A325" s="411"/>
      <c r="B325" s="412"/>
      <c r="C325" s="412"/>
      <c r="D325" s="412"/>
      <c r="E325" s="412"/>
      <c r="F325" s="412"/>
      <c r="G325" s="412"/>
      <c r="H325" s="412"/>
      <c r="I325" s="413"/>
      <c r="K325" s="50"/>
      <c r="R325" s="177"/>
      <c r="S325" s="177"/>
      <c r="T325" s="177"/>
      <c r="U325" s="177"/>
      <c r="V325" s="177"/>
      <c r="W325" s="177"/>
      <c r="X325" s="177"/>
      <c r="Y325" s="177"/>
      <c r="Z325" s="177"/>
      <c r="AA325" s="177"/>
      <c r="AB325" s="177"/>
      <c r="AC325" s="177"/>
      <c r="AD325" s="177"/>
      <c r="AE325" s="177"/>
      <c r="AF325" s="177"/>
      <c r="AG325" s="177"/>
      <c r="AH325" s="177"/>
      <c r="AI325" s="177"/>
      <c r="AJ325" s="177"/>
    </row>
    <row r="326" spans="1:36" s="45" customFormat="1" ht="12.75" hidden="1" customHeight="1">
      <c r="A326" s="411"/>
      <c r="B326" s="412"/>
      <c r="C326" s="412"/>
      <c r="D326" s="412"/>
      <c r="E326" s="412"/>
      <c r="F326" s="412"/>
      <c r="G326" s="412"/>
      <c r="H326" s="412"/>
      <c r="I326" s="413"/>
      <c r="K326" s="50"/>
      <c r="R326" s="177"/>
      <c r="S326" s="177"/>
      <c r="T326" s="177"/>
      <c r="U326" s="177"/>
      <c r="V326" s="177"/>
      <c r="W326" s="177"/>
      <c r="X326" s="177"/>
      <c r="Y326" s="177"/>
      <c r="Z326" s="177"/>
      <c r="AA326" s="177"/>
      <c r="AB326" s="177"/>
      <c r="AC326" s="177"/>
      <c r="AD326" s="177"/>
      <c r="AE326" s="177"/>
      <c r="AF326" s="177"/>
      <c r="AG326" s="177"/>
      <c r="AH326" s="177"/>
      <c r="AI326" s="177"/>
      <c r="AJ326" s="177"/>
    </row>
    <row r="327" spans="1:36" s="45" customFormat="1" ht="12.75" hidden="1" customHeight="1">
      <c r="A327" s="411"/>
      <c r="B327" s="412"/>
      <c r="C327" s="412"/>
      <c r="D327" s="412"/>
      <c r="E327" s="412"/>
      <c r="F327" s="412"/>
      <c r="G327" s="412"/>
      <c r="H327" s="412"/>
      <c r="I327" s="413"/>
      <c r="K327" s="50"/>
      <c r="R327" s="177"/>
      <c r="S327" s="177"/>
      <c r="T327" s="177"/>
      <c r="U327" s="177"/>
      <c r="V327" s="177"/>
      <c r="W327" s="177"/>
      <c r="X327" s="177"/>
      <c r="Y327" s="177"/>
      <c r="Z327" s="177"/>
      <c r="AA327" s="177"/>
      <c r="AB327" s="177"/>
      <c r="AC327" s="177"/>
      <c r="AD327" s="177"/>
      <c r="AE327" s="177"/>
      <c r="AF327" s="177"/>
      <c r="AG327" s="177"/>
      <c r="AH327" s="177"/>
      <c r="AI327" s="177"/>
      <c r="AJ327" s="177"/>
    </row>
    <row r="328" spans="1:36" s="45" customFormat="1" ht="12.75" hidden="1" customHeight="1">
      <c r="A328" s="411"/>
      <c r="B328" s="412"/>
      <c r="C328" s="412"/>
      <c r="D328" s="412"/>
      <c r="E328" s="412"/>
      <c r="F328" s="412"/>
      <c r="G328" s="412"/>
      <c r="H328" s="412"/>
      <c r="I328" s="413"/>
      <c r="K328" s="50"/>
      <c r="R328" s="177"/>
      <c r="S328" s="177"/>
      <c r="T328" s="177"/>
      <c r="U328" s="177"/>
      <c r="V328" s="177"/>
      <c r="W328" s="177"/>
      <c r="X328" s="177"/>
      <c r="Y328" s="177"/>
      <c r="Z328" s="177"/>
      <c r="AA328" s="177"/>
      <c r="AB328" s="177"/>
      <c r="AC328" s="177"/>
      <c r="AD328" s="177"/>
      <c r="AE328" s="177"/>
      <c r="AF328" s="177"/>
      <c r="AG328" s="177"/>
      <c r="AH328" s="177"/>
      <c r="AI328" s="177"/>
      <c r="AJ328" s="177"/>
    </row>
    <row r="329" spans="1:36" s="45" customFormat="1" ht="12.75" hidden="1" customHeight="1">
      <c r="A329" s="411"/>
      <c r="B329" s="412"/>
      <c r="C329" s="412"/>
      <c r="D329" s="412"/>
      <c r="E329" s="412"/>
      <c r="F329" s="412"/>
      <c r="G329" s="412"/>
      <c r="H329" s="412"/>
      <c r="I329" s="413"/>
      <c r="K329" s="50"/>
      <c r="R329" s="177"/>
      <c r="S329" s="177"/>
      <c r="T329" s="177"/>
      <c r="U329" s="177"/>
      <c r="V329" s="177"/>
      <c r="W329" s="177"/>
      <c r="X329" s="177"/>
      <c r="Y329" s="177"/>
      <c r="Z329" s="177"/>
      <c r="AA329" s="177"/>
      <c r="AB329" s="177"/>
      <c r="AC329" s="177"/>
      <c r="AD329" s="177"/>
      <c r="AE329" s="177"/>
      <c r="AF329" s="177"/>
      <c r="AG329" s="177"/>
      <c r="AH329" s="177"/>
      <c r="AI329" s="177"/>
      <c r="AJ329" s="177"/>
    </row>
    <row r="330" spans="1:36" s="45" customFormat="1" ht="12.75" hidden="1" customHeight="1">
      <c r="A330" s="411"/>
      <c r="B330" s="412"/>
      <c r="C330" s="412"/>
      <c r="D330" s="412"/>
      <c r="E330" s="412"/>
      <c r="F330" s="412"/>
      <c r="G330" s="412"/>
      <c r="H330" s="412"/>
      <c r="I330" s="413"/>
      <c r="K330" s="50"/>
      <c r="R330" s="177"/>
      <c r="S330" s="177"/>
      <c r="T330" s="177"/>
      <c r="U330" s="177"/>
      <c r="V330" s="177"/>
      <c r="W330" s="177"/>
      <c r="X330" s="177"/>
      <c r="Y330" s="177"/>
      <c r="Z330" s="177"/>
      <c r="AA330" s="177"/>
      <c r="AB330" s="177"/>
      <c r="AC330" s="177"/>
      <c r="AD330" s="177"/>
      <c r="AE330" s="177"/>
      <c r="AF330" s="177"/>
      <c r="AG330" s="177"/>
      <c r="AH330" s="177"/>
      <c r="AI330" s="177"/>
      <c r="AJ330" s="177"/>
    </row>
    <row r="331" spans="1:36" s="45" customFormat="1" ht="12.75" hidden="1" customHeight="1">
      <c r="A331" s="411"/>
      <c r="B331" s="412"/>
      <c r="C331" s="412"/>
      <c r="D331" s="412"/>
      <c r="E331" s="412"/>
      <c r="F331" s="412"/>
      <c r="G331" s="412"/>
      <c r="H331" s="412"/>
      <c r="I331" s="413"/>
      <c r="K331" s="50"/>
      <c r="R331" s="177"/>
      <c r="S331" s="177"/>
      <c r="T331" s="177"/>
      <c r="U331" s="177"/>
      <c r="V331" s="177"/>
      <c r="W331" s="177"/>
      <c r="X331" s="177"/>
      <c r="Y331" s="177"/>
      <c r="Z331" s="177"/>
      <c r="AA331" s="177"/>
      <c r="AB331" s="177"/>
      <c r="AC331" s="177"/>
      <c r="AD331" s="177"/>
      <c r="AE331" s="177"/>
      <c r="AF331" s="177"/>
      <c r="AG331" s="177"/>
      <c r="AH331" s="177"/>
      <c r="AI331" s="177"/>
      <c r="AJ331" s="177"/>
    </row>
    <row r="332" spans="1:36" s="45" customFormat="1" ht="12.75" hidden="1" customHeight="1">
      <c r="A332" s="411"/>
      <c r="B332" s="412"/>
      <c r="C332" s="412"/>
      <c r="D332" s="412"/>
      <c r="E332" s="412"/>
      <c r="F332" s="412"/>
      <c r="G332" s="412"/>
      <c r="H332" s="412"/>
      <c r="I332" s="413"/>
      <c r="K332" s="50"/>
      <c r="R332" s="177"/>
      <c r="S332" s="177"/>
      <c r="T332" s="177"/>
      <c r="U332" s="177"/>
      <c r="V332" s="177"/>
      <c r="W332" s="177"/>
      <c r="X332" s="177"/>
      <c r="Y332" s="177"/>
      <c r="Z332" s="177"/>
      <c r="AA332" s="177"/>
      <c r="AB332" s="177"/>
      <c r="AC332" s="177"/>
      <c r="AD332" s="177"/>
      <c r="AE332" s="177"/>
      <c r="AF332" s="177"/>
      <c r="AG332" s="177"/>
      <c r="AH332" s="177"/>
      <c r="AI332" s="177"/>
      <c r="AJ332" s="177"/>
    </row>
    <row r="333" spans="1:36" s="45" customFormat="1" ht="12.75" hidden="1" customHeight="1">
      <c r="A333" s="411"/>
      <c r="B333" s="412"/>
      <c r="C333" s="412"/>
      <c r="D333" s="412"/>
      <c r="E333" s="412"/>
      <c r="F333" s="412"/>
      <c r="G333" s="412"/>
      <c r="H333" s="412"/>
      <c r="I333" s="413"/>
      <c r="K333" s="50"/>
      <c r="R333" s="177"/>
      <c r="S333" s="177"/>
      <c r="T333" s="177"/>
      <c r="U333" s="177"/>
      <c r="V333" s="177"/>
      <c r="W333" s="177"/>
      <c r="X333" s="177"/>
      <c r="Y333" s="177"/>
      <c r="Z333" s="177"/>
      <c r="AA333" s="177"/>
      <c r="AB333" s="177"/>
      <c r="AC333" s="177"/>
      <c r="AD333" s="177"/>
      <c r="AE333" s="177"/>
      <c r="AF333" s="177"/>
      <c r="AG333" s="177"/>
      <c r="AH333" s="177"/>
      <c r="AI333" s="177"/>
      <c r="AJ333" s="177"/>
    </row>
    <row r="334" spans="1:36" s="45" customFormat="1" ht="12.75" hidden="1" customHeight="1">
      <c r="A334" s="411"/>
      <c r="B334" s="412"/>
      <c r="C334" s="412"/>
      <c r="D334" s="412"/>
      <c r="E334" s="412"/>
      <c r="F334" s="412"/>
      <c r="G334" s="412"/>
      <c r="H334" s="412"/>
      <c r="I334" s="413"/>
      <c r="K334" s="50"/>
      <c r="R334" s="177"/>
      <c r="S334" s="177"/>
      <c r="T334" s="177"/>
      <c r="U334" s="177"/>
      <c r="V334" s="177"/>
      <c r="W334" s="177"/>
      <c r="X334" s="177"/>
      <c r="Y334" s="177"/>
      <c r="Z334" s="177"/>
      <c r="AA334" s="177"/>
      <c r="AB334" s="177"/>
      <c r="AC334" s="177"/>
      <c r="AD334" s="177"/>
      <c r="AE334" s="177"/>
      <c r="AF334" s="177"/>
      <c r="AG334" s="177"/>
      <c r="AH334" s="177"/>
      <c r="AI334" s="177"/>
      <c r="AJ334" s="177"/>
    </row>
    <row r="335" spans="1:36" s="45" customFormat="1" ht="12.75" hidden="1" customHeight="1">
      <c r="A335" s="411"/>
      <c r="B335" s="412"/>
      <c r="C335" s="412"/>
      <c r="D335" s="412"/>
      <c r="E335" s="412"/>
      <c r="F335" s="412"/>
      <c r="G335" s="412"/>
      <c r="H335" s="412"/>
      <c r="I335" s="413"/>
      <c r="K335" s="50"/>
      <c r="R335" s="177"/>
      <c r="S335" s="177"/>
      <c r="T335" s="177"/>
      <c r="U335" s="177"/>
      <c r="V335" s="177"/>
      <c r="W335" s="177"/>
      <c r="X335" s="177"/>
      <c r="Y335" s="177"/>
      <c r="Z335" s="177"/>
      <c r="AA335" s="177"/>
      <c r="AB335" s="177"/>
      <c r="AC335" s="177"/>
      <c r="AD335" s="177"/>
      <c r="AE335" s="177"/>
      <c r="AF335" s="177"/>
      <c r="AG335" s="177"/>
      <c r="AH335" s="177"/>
      <c r="AI335" s="177"/>
      <c r="AJ335" s="177"/>
    </row>
    <row r="336" spans="1:36" s="45" customFormat="1" ht="12.75" hidden="1" customHeight="1">
      <c r="A336" s="411"/>
      <c r="B336" s="412"/>
      <c r="C336" s="412"/>
      <c r="D336" s="412"/>
      <c r="E336" s="412"/>
      <c r="F336" s="412"/>
      <c r="G336" s="412"/>
      <c r="H336" s="412"/>
      <c r="I336" s="413"/>
      <c r="K336" s="50"/>
      <c r="R336" s="177"/>
      <c r="S336" s="177"/>
      <c r="T336" s="177"/>
      <c r="U336" s="177"/>
      <c r="V336" s="177"/>
      <c r="W336" s="177"/>
      <c r="X336" s="177"/>
      <c r="Y336" s="177"/>
      <c r="Z336" s="177"/>
      <c r="AA336" s="177"/>
      <c r="AB336" s="177"/>
      <c r="AC336" s="177"/>
      <c r="AD336" s="177"/>
      <c r="AE336" s="177"/>
      <c r="AF336" s="177"/>
      <c r="AG336" s="177"/>
      <c r="AH336" s="177"/>
      <c r="AI336" s="177"/>
      <c r="AJ336" s="177"/>
    </row>
    <row r="337" spans="1:36" s="45" customFormat="1" ht="12.75" hidden="1" customHeight="1">
      <c r="A337" s="411"/>
      <c r="B337" s="412"/>
      <c r="C337" s="412"/>
      <c r="D337" s="412"/>
      <c r="E337" s="412"/>
      <c r="F337" s="412"/>
      <c r="G337" s="412"/>
      <c r="H337" s="412"/>
      <c r="I337" s="413"/>
      <c r="K337" s="50"/>
      <c r="R337" s="177"/>
      <c r="S337" s="177"/>
      <c r="T337" s="177"/>
      <c r="U337" s="177"/>
      <c r="V337" s="177"/>
      <c r="W337" s="177"/>
      <c r="X337" s="177"/>
      <c r="Y337" s="177"/>
      <c r="Z337" s="177"/>
      <c r="AA337" s="177"/>
      <c r="AB337" s="177"/>
      <c r="AC337" s="177"/>
      <c r="AD337" s="177"/>
      <c r="AE337" s="177"/>
      <c r="AF337" s="177"/>
      <c r="AG337" s="177"/>
      <c r="AH337" s="177"/>
      <c r="AI337" s="177"/>
      <c r="AJ337" s="177"/>
    </row>
    <row r="338" spans="1:36" s="45" customFormat="1" ht="12.75" hidden="1" customHeight="1">
      <c r="A338" s="411"/>
      <c r="B338" s="412"/>
      <c r="C338" s="412"/>
      <c r="D338" s="412"/>
      <c r="E338" s="412"/>
      <c r="F338" s="412"/>
      <c r="G338" s="412"/>
      <c r="H338" s="412"/>
      <c r="I338" s="413"/>
      <c r="K338" s="50"/>
      <c r="R338" s="177"/>
      <c r="S338" s="177"/>
      <c r="T338" s="177"/>
      <c r="U338" s="177"/>
      <c r="V338" s="177"/>
      <c r="W338" s="177"/>
      <c r="X338" s="177"/>
      <c r="Y338" s="177"/>
      <c r="Z338" s="177"/>
      <c r="AA338" s="177"/>
      <c r="AB338" s="177"/>
      <c r="AC338" s="177"/>
      <c r="AD338" s="177"/>
      <c r="AE338" s="177"/>
      <c r="AF338" s="177"/>
      <c r="AG338" s="177"/>
      <c r="AH338" s="177"/>
      <c r="AI338" s="177"/>
      <c r="AJ338" s="177"/>
    </row>
    <row r="339" spans="1:36" s="45" customFormat="1" ht="14.25" hidden="1" customHeight="1">
      <c r="A339" s="411"/>
      <c r="B339" s="412"/>
      <c r="C339" s="412"/>
      <c r="D339" s="412"/>
      <c r="E339" s="412"/>
      <c r="F339" s="412"/>
      <c r="G339" s="412"/>
      <c r="H339" s="412"/>
      <c r="I339" s="413"/>
      <c r="K339" s="50"/>
      <c r="R339" s="177"/>
      <c r="S339" s="177"/>
      <c r="T339" s="177"/>
      <c r="U339" s="177"/>
      <c r="V339" s="177"/>
      <c r="W339" s="177"/>
      <c r="X339" s="177"/>
      <c r="Y339" s="177"/>
      <c r="Z339" s="177"/>
      <c r="AA339" s="177"/>
      <c r="AB339" s="177"/>
      <c r="AC339" s="177"/>
      <c r="AD339" s="177"/>
      <c r="AE339" s="177"/>
      <c r="AF339" s="177"/>
      <c r="AG339" s="177"/>
      <c r="AH339" s="177"/>
      <c r="AI339" s="177"/>
      <c r="AJ339" s="177"/>
    </row>
    <row r="340" spans="1:36" s="45" customFormat="1" ht="12.75" hidden="1" customHeight="1">
      <c r="A340" s="411"/>
      <c r="B340" s="412"/>
      <c r="C340" s="412"/>
      <c r="D340" s="412"/>
      <c r="E340" s="412"/>
      <c r="F340" s="412"/>
      <c r="G340" s="412"/>
      <c r="H340" s="412"/>
      <c r="I340" s="413"/>
      <c r="K340" s="50"/>
      <c r="R340" s="177"/>
      <c r="S340" s="177"/>
      <c r="T340" s="177"/>
      <c r="U340" s="177"/>
      <c r="V340" s="177"/>
      <c r="W340" s="177"/>
      <c r="X340" s="177"/>
      <c r="Y340" s="177"/>
      <c r="Z340" s="177"/>
      <c r="AA340" s="177"/>
      <c r="AB340" s="177"/>
      <c r="AC340" s="177"/>
      <c r="AD340" s="177"/>
      <c r="AE340" s="177"/>
      <c r="AF340" s="177"/>
      <c r="AG340" s="177"/>
      <c r="AH340" s="177"/>
      <c r="AI340" s="177"/>
      <c r="AJ340" s="177"/>
    </row>
    <row r="341" spans="1:36" s="45" customFormat="1" ht="12.75" hidden="1" customHeight="1">
      <c r="A341" s="411"/>
      <c r="B341" s="412"/>
      <c r="C341" s="412"/>
      <c r="D341" s="412"/>
      <c r="E341" s="412"/>
      <c r="F341" s="412"/>
      <c r="G341" s="412"/>
      <c r="H341" s="412"/>
      <c r="I341" s="413"/>
      <c r="K341" s="50"/>
      <c r="R341" s="177"/>
      <c r="S341" s="177"/>
      <c r="T341" s="177"/>
      <c r="U341" s="177"/>
      <c r="V341" s="177"/>
      <c r="W341" s="177"/>
      <c r="X341" s="177"/>
      <c r="Y341" s="177"/>
      <c r="Z341" s="177"/>
      <c r="AA341" s="177"/>
      <c r="AB341" s="177"/>
      <c r="AC341" s="177"/>
      <c r="AD341" s="177"/>
      <c r="AE341" s="177"/>
      <c r="AF341" s="177"/>
      <c r="AG341" s="177"/>
      <c r="AH341" s="177"/>
      <c r="AI341" s="177"/>
      <c r="AJ341" s="177"/>
    </row>
    <row r="342" spans="1:36" s="45" customFormat="1" ht="12.75" hidden="1" customHeight="1">
      <c r="A342" s="411"/>
      <c r="B342" s="412"/>
      <c r="C342" s="412"/>
      <c r="D342" s="412"/>
      <c r="E342" s="412"/>
      <c r="F342" s="412"/>
      <c r="G342" s="412"/>
      <c r="H342" s="412"/>
      <c r="I342" s="413"/>
      <c r="K342" s="50"/>
      <c r="R342" s="177"/>
      <c r="S342" s="177"/>
      <c r="T342" s="177"/>
      <c r="U342" s="177"/>
      <c r="V342" s="177"/>
      <c r="W342" s="177"/>
      <c r="X342" s="177"/>
      <c r="Y342" s="177"/>
      <c r="Z342" s="177"/>
      <c r="AA342" s="177"/>
      <c r="AB342" s="177"/>
      <c r="AC342" s="177"/>
      <c r="AD342" s="177"/>
      <c r="AE342" s="177"/>
      <c r="AF342" s="177"/>
      <c r="AG342" s="177"/>
      <c r="AH342" s="177"/>
      <c r="AI342" s="177"/>
      <c r="AJ342" s="177"/>
    </row>
    <row r="343" spans="1:36" s="45" customFormat="1" ht="12.75" hidden="1" customHeight="1">
      <c r="A343" s="411"/>
      <c r="B343" s="412"/>
      <c r="C343" s="412"/>
      <c r="D343" s="412"/>
      <c r="E343" s="412"/>
      <c r="F343" s="412"/>
      <c r="G343" s="412"/>
      <c r="H343" s="412"/>
      <c r="I343" s="413"/>
      <c r="K343" s="50"/>
      <c r="R343" s="177"/>
      <c r="S343" s="177"/>
      <c r="T343" s="177"/>
      <c r="U343" s="177"/>
      <c r="V343" s="177"/>
      <c r="W343" s="177"/>
      <c r="X343" s="177"/>
      <c r="Y343" s="177"/>
      <c r="Z343" s="177"/>
      <c r="AA343" s="177"/>
      <c r="AB343" s="177"/>
      <c r="AC343" s="177"/>
      <c r="AD343" s="177"/>
      <c r="AE343" s="177"/>
      <c r="AF343" s="177"/>
      <c r="AG343" s="177"/>
      <c r="AH343" s="177"/>
      <c r="AI343" s="177"/>
      <c r="AJ343" s="177"/>
    </row>
    <row r="344" spans="1:36" s="45" customFormat="1" ht="12.75" hidden="1" customHeight="1">
      <c r="A344" s="411"/>
      <c r="B344" s="412"/>
      <c r="C344" s="412"/>
      <c r="D344" s="412"/>
      <c r="E344" s="412"/>
      <c r="F344" s="412"/>
      <c r="G344" s="412"/>
      <c r="H344" s="412"/>
      <c r="I344" s="413"/>
      <c r="K344" s="50"/>
      <c r="R344" s="177"/>
      <c r="S344" s="177"/>
      <c r="T344" s="177"/>
      <c r="U344" s="177"/>
      <c r="V344" s="177"/>
      <c r="W344" s="177"/>
      <c r="X344" s="177"/>
      <c r="Y344" s="177"/>
      <c r="Z344" s="177"/>
      <c r="AA344" s="177"/>
      <c r="AB344" s="177"/>
      <c r="AC344" s="177"/>
      <c r="AD344" s="177"/>
      <c r="AE344" s="177"/>
      <c r="AF344" s="177"/>
      <c r="AG344" s="177"/>
      <c r="AH344" s="177"/>
      <c r="AI344" s="177"/>
      <c r="AJ344" s="177"/>
    </row>
    <row r="345" spans="1:36" s="45" customFormat="1" ht="12.75" hidden="1" customHeight="1">
      <c r="A345" s="411"/>
      <c r="B345" s="412"/>
      <c r="C345" s="412"/>
      <c r="D345" s="412"/>
      <c r="E345" s="412"/>
      <c r="F345" s="412"/>
      <c r="G345" s="412"/>
      <c r="H345" s="412"/>
      <c r="I345" s="413"/>
      <c r="K345" s="50"/>
      <c r="R345" s="177"/>
      <c r="S345" s="177"/>
      <c r="T345" s="177"/>
      <c r="U345" s="177"/>
      <c r="V345" s="177"/>
      <c r="W345" s="177"/>
      <c r="X345" s="177"/>
      <c r="Y345" s="177"/>
      <c r="Z345" s="177"/>
      <c r="AA345" s="177"/>
      <c r="AB345" s="177"/>
      <c r="AC345" s="177"/>
      <c r="AD345" s="177"/>
      <c r="AE345" s="177"/>
      <c r="AF345" s="177"/>
      <c r="AG345" s="177"/>
      <c r="AH345" s="177"/>
      <c r="AI345" s="177"/>
      <c r="AJ345" s="177"/>
    </row>
    <row r="346" spans="1:36" s="45" customFormat="1" ht="12.75" hidden="1" customHeight="1">
      <c r="A346" s="411"/>
      <c r="B346" s="412"/>
      <c r="C346" s="412"/>
      <c r="D346" s="412"/>
      <c r="E346" s="412"/>
      <c r="F346" s="412"/>
      <c r="G346" s="412"/>
      <c r="H346" s="412"/>
      <c r="I346" s="413"/>
      <c r="K346" s="50"/>
      <c r="R346" s="177"/>
      <c r="S346" s="177"/>
      <c r="T346" s="177"/>
      <c r="U346" s="177"/>
      <c r="V346" s="177"/>
      <c r="W346" s="177"/>
      <c r="X346" s="177"/>
      <c r="Y346" s="177"/>
      <c r="Z346" s="177"/>
      <c r="AA346" s="177"/>
      <c r="AB346" s="177"/>
      <c r="AC346" s="177"/>
      <c r="AD346" s="177"/>
      <c r="AE346" s="177"/>
      <c r="AF346" s="177"/>
      <c r="AG346" s="177"/>
      <c r="AH346" s="177"/>
      <c r="AI346" s="177"/>
      <c r="AJ346" s="177"/>
    </row>
    <row r="347" spans="1:36" s="45" customFormat="1" ht="12.75" hidden="1" customHeight="1">
      <c r="A347" s="411"/>
      <c r="B347" s="412"/>
      <c r="C347" s="412"/>
      <c r="D347" s="412"/>
      <c r="E347" s="412"/>
      <c r="F347" s="412"/>
      <c r="G347" s="412"/>
      <c r="H347" s="412"/>
      <c r="I347" s="413"/>
      <c r="K347" s="50"/>
      <c r="R347" s="177"/>
      <c r="S347" s="177"/>
      <c r="T347" s="177"/>
      <c r="U347" s="177"/>
      <c r="V347" s="177"/>
      <c r="W347" s="177"/>
      <c r="X347" s="177"/>
      <c r="Y347" s="177"/>
      <c r="Z347" s="177"/>
      <c r="AA347" s="177"/>
      <c r="AB347" s="177"/>
      <c r="AC347" s="177"/>
      <c r="AD347" s="177"/>
      <c r="AE347" s="177"/>
      <c r="AF347" s="177"/>
      <c r="AG347" s="177"/>
      <c r="AH347" s="177"/>
      <c r="AI347" s="177"/>
      <c r="AJ347" s="177"/>
    </row>
    <row r="348" spans="1:36" s="45" customFormat="1" ht="12.75" hidden="1" customHeight="1">
      <c r="A348" s="411"/>
      <c r="B348" s="412"/>
      <c r="C348" s="412"/>
      <c r="D348" s="412"/>
      <c r="E348" s="412"/>
      <c r="F348" s="412"/>
      <c r="G348" s="412"/>
      <c r="H348" s="412"/>
      <c r="I348" s="413"/>
      <c r="K348" s="50"/>
      <c r="R348" s="177"/>
      <c r="S348" s="177"/>
      <c r="T348" s="177"/>
      <c r="U348" s="177"/>
      <c r="V348" s="177"/>
      <c r="W348" s="177"/>
      <c r="X348" s="177"/>
      <c r="Y348" s="177"/>
      <c r="Z348" s="177"/>
      <c r="AA348" s="177"/>
      <c r="AB348" s="177"/>
      <c r="AC348" s="177"/>
      <c r="AD348" s="177"/>
      <c r="AE348" s="177"/>
      <c r="AF348" s="177"/>
      <c r="AG348" s="177"/>
      <c r="AH348" s="177"/>
      <c r="AI348" s="177"/>
      <c r="AJ348" s="177"/>
    </row>
    <row r="349" spans="1:36" s="45" customFormat="1" ht="12.75" hidden="1" customHeight="1">
      <c r="A349" s="411"/>
      <c r="B349" s="412"/>
      <c r="C349" s="412"/>
      <c r="D349" s="412"/>
      <c r="E349" s="412"/>
      <c r="F349" s="412"/>
      <c r="G349" s="412"/>
      <c r="H349" s="412"/>
      <c r="I349" s="413"/>
      <c r="K349" s="50"/>
      <c r="R349" s="177"/>
      <c r="S349" s="177"/>
      <c r="T349" s="177"/>
      <c r="U349" s="177"/>
      <c r="V349" s="177"/>
      <c r="W349" s="177"/>
      <c r="X349" s="177"/>
      <c r="Y349" s="177"/>
      <c r="Z349" s="177"/>
      <c r="AA349" s="177"/>
      <c r="AB349" s="177"/>
      <c r="AC349" s="177"/>
      <c r="AD349" s="177"/>
      <c r="AE349" s="177"/>
      <c r="AF349" s="177"/>
      <c r="AG349" s="177"/>
      <c r="AH349" s="177"/>
      <c r="AI349" s="177"/>
      <c r="AJ349" s="177"/>
    </row>
    <row r="350" spans="1:36" s="45" customFormat="1" ht="12.75" hidden="1" customHeight="1">
      <c r="A350" s="411"/>
      <c r="B350" s="412"/>
      <c r="C350" s="412"/>
      <c r="D350" s="412"/>
      <c r="E350" s="412"/>
      <c r="F350" s="412"/>
      <c r="G350" s="412"/>
      <c r="H350" s="412"/>
      <c r="I350" s="413"/>
      <c r="K350" s="50"/>
      <c r="R350" s="177"/>
      <c r="S350" s="177"/>
      <c r="T350" s="177"/>
      <c r="U350" s="177"/>
      <c r="V350" s="177"/>
      <c r="W350" s="177"/>
      <c r="X350" s="177"/>
      <c r="Y350" s="177"/>
      <c r="Z350" s="177"/>
      <c r="AA350" s="177"/>
      <c r="AB350" s="177"/>
      <c r="AC350" s="177"/>
      <c r="AD350" s="177"/>
      <c r="AE350" s="177"/>
      <c r="AF350" s="177"/>
      <c r="AG350" s="177"/>
      <c r="AH350" s="177"/>
      <c r="AI350" s="177"/>
      <c r="AJ350" s="177"/>
    </row>
    <row r="351" spans="1:36" s="45" customFormat="1" ht="12.75" hidden="1" customHeight="1">
      <c r="A351" s="411"/>
      <c r="B351" s="412"/>
      <c r="C351" s="412"/>
      <c r="D351" s="412"/>
      <c r="E351" s="412"/>
      <c r="F351" s="412"/>
      <c r="G351" s="412"/>
      <c r="H351" s="412"/>
      <c r="I351" s="413"/>
      <c r="K351" s="50"/>
      <c r="R351" s="177"/>
      <c r="S351" s="177"/>
      <c r="T351" s="177"/>
      <c r="U351" s="177"/>
      <c r="V351" s="177"/>
      <c r="W351" s="177"/>
      <c r="X351" s="177"/>
      <c r="Y351" s="177"/>
      <c r="Z351" s="177"/>
      <c r="AA351" s="177"/>
      <c r="AB351" s="177"/>
      <c r="AC351" s="177"/>
      <c r="AD351" s="177"/>
      <c r="AE351" s="177"/>
      <c r="AF351" s="177"/>
      <c r="AG351" s="177"/>
      <c r="AH351" s="177"/>
      <c r="AI351" s="177"/>
      <c r="AJ351" s="177"/>
    </row>
    <row r="352" spans="1:36" s="45" customFormat="1" ht="12.75" hidden="1" customHeight="1">
      <c r="A352" s="411"/>
      <c r="B352" s="412"/>
      <c r="C352" s="412"/>
      <c r="D352" s="412"/>
      <c r="E352" s="412"/>
      <c r="F352" s="412"/>
      <c r="G352" s="412"/>
      <c r="H352" s="412"/>
      <c r="I352" s="413"/>
      <c r="K352" s="50"/>
      <c r="R352" s="177"/>
      <c r="S352" s="177"/>
      <c r="T352" s="177"/>
      <c r="U352" s="177"/>
      <c r="V352" s="177"/>
      <c r="W352" s="177"/>
      <c r="X352" s="177"/>
      <c r="Y352" s="177"/>
      <c r="Z352" s="177"/>
      <c r="AA352" s="177"/>
      <c r="AB352" s="177"/>
      <c r="AC352" s="177"/>
      <c r="AD352" s="177"/>
      <c r="AE352" s="177"/>
      <c r="AF352" s="177"/>
      <c r="AG352" s="177"/>
      <c r="AH352" s="177"/>
      <c r="AI352" s="177"/>
      <c r="AJ352" s="177"/>
    </row>
    <row r="353" spans="1:36" s="45" customFormat="1" ht="13.5" hidden="1" customHeight="1" thickBot="1">
      <c r="A353" s="414"/>
      <c r="B353" s="415"/>
      <c r="C353" s="415"/>
      <c r="D353" s="415"/>
      <c r="E353" s="415"/>
      <c r="F353" s="415"/>
      <c r="G353" s="415"/>
      <c r="H353" s="415"/>
      <c r="I353" s="416"/>
      <c r="K353" s="50"/>
      <c r="R353" s="177"/>
      <c r="S353" s="177"/>
      <c r="T353" s="177"/>
      <c r="U353" s="177"/>
      <c r="V353" s="177"/>
      <c r="W353" s="177"/>
      <c r="X353" s="177"/>
      <c r="Y353" s="177"/>
      <c r="Z353" s="177"/>
      <c r="AA353" s="177"/>
      <c r="AB353" s="177"/>
      <c r="AC353" s="177"/>
      <c r="AD353" s="177"/>
      <c r="AE353" s="177"/>
      <c r="AF353" s="177"/>
      <c r="AG353" s="177"/>
      <c r="AH353" s="177"/>
      <c r="AI353" s="177"/>
      <c r="AJ353" s="177"/>
    </row>
    <row r="354" spans="1:36" s="45" customFormat="1" ht="15.75" hidden="1" customHeight="1">
      <c r="A354" s="543" t="s">
        <v>685</v>
      </c>
      <c r="B354" s="544"/>
      <c r="C354" s="544"/>
      <c r="D354" s="544"/>
      <c r="E354" s="544"/>
      <c r="F354" s="544"/>
      <c r="G354" s="544"/>
      <c r="H354" s="544"/>
      <c r="I354" s="545"/>
      <c r="K354" s="50"/>
      <c r="R354" s="177"/>
      <c r="S354" s="177"/>
      <c r="T354" s="177"/>
      <c r="U354" s="177"/>
      <c r="V354" s="177"/>
      <c r="W354" s="177"/>
      <c r="X354" s="177"/>
      <c r="Y354" s="177"/>
      <c r="Z354" s="177"/>
      <c r="AA354" s="177"/>
      <c r="AB354" s="177"/>
      <c r="AC354" s="177"/>
      <c r="AD354" s="177"/>
      <c r="AE354" s="177"/>
      <c r="AF354" s="177"/>
      <c r="AG354" s="177"/>
      <c r="AH354" s="177"/>
      <c r="AI354" s="177"/>
      <c r="AJ354" s="177"/>
    </row>
    <row r="355" spans="1:36" s="45" customFormat="1" ht="15.75" hidden="1" customHeight="1">
      <c r="A355" s="546"/>
      <c r="B355" s="547"/>
      <c r="C355" s="547"/>
      <c r="D355" s="547"/>
      <c r="E355" s="547"/>
      <c r="F355" s="547"/>
      <c r="G355" s="547"/>
      <c r="H355" s="547"/>
      <c r="I355" s="548"/>
      <c r="K355" s="50"/>
      <c r="R355" s="177"/>
      <c r="S355" s="177"/>
      <c r="T355" s="177"/>
      <c r="U355" s="177"/>
      <c r="V355" s="177"/>
      <c r="W355" s="177"/>
      <c r="X355" s="177"/>
      <c r="Y355" s="177"/>
      <c r="Z355" s="177"/>
      <c r="AA355" s="177"/>
      <c r="AB355" s="177"/>
      <c r="AC355" s="177"/>
      <c r="AD355" s="177"/>
      <c r="AE355" s="177"/>
      <c r="AF355" s="177"/>
      <c r="AG355" s="177"/>
      <c r="AH355" s="177"/>
      <c r="AI355" s="177"/>
      <c r="AJ355" s="177"/>
    </row>
    <row r="356" spans="1:36" s="45" customFormat="1" ht="15" hidden="1" customHeight="1">
      <c r="A356" s="546"/>
      <c r="B356" s="547"/>
      <c r="C356" s="547"/>
      <c r="D356" s="547"/>
      <c r="E356" s="547"/>
      <c r="F356" s="547"/>
      <c r="G356" s="547"/>
      <c r="H356" s="547"/>
      <c r="I356" s="548"/>
      <c r="K356" s="50"/>
      <c r="R356" s="177"/>
      <c r="S356" s="177"/>
      <c r="T356" s="177"/>
      <c r="U356" s="177"/>
      <c r="V356" s="177"/>
      <c r="W356" s="177"/>
      <c r="X356" s="177"/>
      <c r="Y356" s="177"/>
      <c r="Z356" s="177"/>
      <c r="AA356" s="177"/>
      <c r="AB356" s="177"/>
      <c r="AC356" s="177"/>
      <c r="AD356" s="177"/>
      <c r="AE356" s="177"/>
      <c r="AF356" s="177"/>
      <c r="AG356" s="177"/>
      <c r="AH356" s="177"/>
      <c r="AI356" s="177"/>
      <c r="AJ356" s="177"/>
    </row>
    <row r="357" spans="1:36" s="45" customFormat="1" ht="15" hidden="1" customHeight="1">
      <c r="A357" s="546"/>
      <c r="B357" s="547"/>
      <c r="C357" s="547"/>
      <c r="D357" s="547"/>
      <c r="E357" s="547"/>
      <c r="F357" s="547"/>
      <c r="G357" s="547"/>
      <c r="H357" s="547"/>
      <c r="I357" s="548"/>
      <c r="K357" s="50"/>
      <c r="R357" s="177"/>
      <c r="S357" s="177"/>
      <c r="T357" s="177"/>
      <c r="U357" s="177"/>
      <c r="V357" s="177"/>
      <c r="W357" s="177"/>
      <c r="X357" s="177"/>
      <c r="Y357" s="177"/>
      <c r="Z357" s="177"/>
      <c r="AA357" s="177"/>
      <c r="AB357" s="177"/>
      <c r="AC357" s="177"/>
      <c r="AD357" s="177"/>
      <c r="AE357" s="177"/>
      <c r="AF357" s="177"/>
      <c r="AG357" s="177"/>
      <c r="AH357" s="177"/>
      <c r="AI357" s="177"/>
      <c r="AJ357" s="177"/>
    </row>
    <row r="358" spans="1:36" s="45" customFormat="1" ht="15" hidden="1" customHeight="1">
      <c r="A358" s="546"/>
      <c r="B358" s="547"/>
      <c r="C358" s="547"/>
      <c r="D358" s="547"/>
      <c r="E358" s="547"/>
      <c r="F358" s="547"/>
      <c r="G358" s="547"/>
      <c r="H358" s="547"/>
      <c r="I358" s="548"/>
      <c r="K358" s="50"/>
      <c r="R358" s="177"/>
      <c r="S358" s="177"/>
      <c r="T358" s="177"/>
      <c r="U358" s="177"/>
      <c r="V358" s="177"/>
      <c r="W358" s="177"/>
      <c r="X358" s="177"/>
      <c r="Y358" s="177"/>
      <c r="Z358" s="177"/>
      <c r="AA358" s="177"/>
      <c r="AB358" s="177"/>
      <c r="AC358" s="177"/>
      <c r="AD358" s="177"/>
      <c r="AE358" s="177"/>
      <c r="AF358" s="177"/>
      <c r="AG358" s="177"/>
      <c r="AH358" s="177"/>
      <c r="AI358" s="177"/>
      <c r="AJ358" s="177"/>
    </row>
    <row r="359" spans="1:36" s="45" customFormat="1" ht="15" hidden="1" customHeight="1">
      <c r="A359" s="546"/>
      <c r="B359" s="547"/>
      <c r="C359" s="547"/>
      <c r="D359" s="547"/>
      <c r="E359" s="547"/>
      <c r="F359" s="547"/>
      <c r="G359" s="547"/>
      <c r="H359" s="547"/>
      <c r="I359" s="548"/>
      <c r="K359" s="50"/>
      <c r="R359" s="177"/>
      <c r="S359" s="177"/>
      <c r="T359" s="177"/>
      <c r="U359" s="177"/>
      <c r="V359" s="177"/>
      <c r="W359" s="177"/>
      <c r="X359" s="177"/>
      <c r="Y359" s="177"/>
      <c r="Z359" s="177"/>
      <c r="AA359" s="177"/>
      <c r="AB359" s="177"/>
      <c r="AC359" s="177"/>
      <c r="AD359" s="177"/>
      <c r="AE359" s="177"/>
      <c r="AF359" s="177"/>
      <c r="AG359" s="177"/>
      <c r="AH359" s="177"/>
      <c r="AI359" s="177"/>
      <c r="AJ359" s="177"/>
    </row>
    <row r="360" spans="1:36" s="45" customFormat="1" ht="15" hidden="1" customHeight="1">
      <c r="A360" s="546"/>
      <c r="B360" s="547"/>
      <c r="C360" s="547"/>
      <c r="D360" s="547"/>
      <c r="E360" s="547"/>
      <c r="F360" s="547"/>
      <c r="G360" s="547"/>
      <c r="H360" s="547"/>
      <c r="I360" s="548"/>
      <c r="K360" s="50"/>
      <c r="R360" s="177"/>
      <c r="S360" s="177"/>
      <c r="T360" s="177"/>
      <c r="U360" s="177"/>
      <c r="V360" s="177"/>
      <c r="W360" s="177"/>
      <c r="X360" s="177"/>
      <c r="Y360" s="177"/>
      <c r="Z360" s="177"/>
      <c r="AA360" s="177"/>
      <c r="AB360" s="177"/>
      <c r="AC360" s="177"/>
      <c r="AD360" s="177"/>
      <c r="AE360" s="177"/>
      <c r="AF360" s="177"/>
      <c r="AG360" s="177"/>
      <c r="AH360" s="177"/>
      <c r="AI360" s="177"/>
      <c r="AJ360" s="177"/>
    </row>
    <row r="361" spans="1:36" s="45" customFormat="1" ht="15" hidden="1" customHeight="1">
      <c r="A361" s="546"/>
      <c r="B361" s="547"/>
      <c r="C361" s="547"/>
      <c r="D361" s="547"/>
      <c r="E361" s="547"/>
      <c r="F361" s="547"/>
      <c r="G361" s="547"/>
      <c r="H361" s="547"/>
      <c r="I361" s="548"/>
      <c r="K361" s="50"/>
      <c r="R361" s="177"/>
      <c r="S361" s="177"/>
      <c r="T361" s="177"/>
      <c r="U361" s="177"/>
      <c r="V361" s="177"/>
      <c r="W361" s="177"/>
      <c r="X361" s="177"/>
      <c r="Y361" s="177"/>
      <c r="Z361" s="177"/>
      <c r="AA361" s="177"/>
      <c r="AB361" s="177"/>
      <c r="AC361" s="177"/>
      <c r="AD361" s="177"/>
      <c r="AE361" s="177"/>
      <c r="AF361" s="177"/>
      <c r="AG361" s="177"/>
      <c r="AH361" s="177"/>
      <c r="AI361" s="177"/>
      <c r="AJ361" s="177"/>
    </row>
    <row r="362" spans="1:36" s="45" customFormat="1" ht="15" hidden="1" customHeight="1">
      <c r="A362" s="546"/>
      <c r="B362" s="547"/>
      <c r="C362" s="547"/>
      <c r="D362" s="547"/>
      <c r="E362" s="547"/>
      <c r="F362" s="547"/>
      <c r="G362" s="547"/>
      <c r="H362" s="547"/>
      <c r="I362" s="548"/>
      <c r="K362" s="50"/>
      <c r="R362" s="177"/>
      <c r="S362" s="177"/>
      <c r="T362" s="177"/>
      <c r="U362" s="177"/>
      <c r="V362" s="177"/>
      <c r="W362" s="177"/>
      <c r="X362" s="177"/>
      <c r="Y362" s="177"/>
      <c r="Z362" s="177"/>
      <c r="AA362" s="177"/>
      <c r="AB362" s="177"/>
      <c r="AC362" s="177"/>
      <c r="AD362" s="177"/>
      <c r="AE362" s="177"/>
      <c r="AF362" s="177"/>
      <c r="AG362" s="177"/>
      <c r="AH362" s="177"/>
      <c r="AI362" s="177"/>
      <c r="AJ362" s="177"/>
    </row>
    <row r="363" spans="1:36" s="45" customFormat="1" ht="15" hidden="1" customHeight="1">
      <c r="A363" s="546"/>
      <c r="B363" s="547"/>
      <c r="C363" s="547"/>
      <c r="D363" s="547"/>
      <c r="E363" s="547"/>
      <c r="F363" s="547"/>
      <c r="G363" s="547"/>
      <c r="H363" s="547"/>
      <c r="I363" s="548"/>
      <c r="K363" s="50"/>
      <c r="R363" s="177"/>
      <c r="S363" s="177"/>
      <c r="T363" s="177"/>
      <c r="U363" s="177"/>
      <c r="V363" s="177"/>
      <c r="W363" s="177"/>
      <c r="X363" s="177"/>
      <c r="Y363" s="177"/>
      <c r="Z363" s="177"/>
      <c r="AA363" s="177"/>
      <c r="AB363" s="177"/>
      <c r="AC363" s="177"/>
      <c r="AD363" s="177"/>
      <c r="AE363" s="177"/>
      <c r="AF363" s="177"/>
      <c r="AG363" s="177"/>
      <c r="AH363" s="177"/>
      <c r="AI363" s="177"/>
      <c r="AJ363" s="177"/>
    </row>
    <row r="364" spans="1:36" s="45" customFormat="1" ht="15" hidden="1" customHeight="1">
      <c r="A364" s="546"/>
      <c r="B364" s="547"/>
      <c r="C364" s="547"/>
      <c r="D364" s="547"/>
      <c r="E364" s="547"/>
      <c r="F364" s="547"/>
      <c r="G364" s="547"/>
      <c r="H364" s="547"/>
      <c r="I364" s="548"/>
      <c r="K364" s="50"/>
      <c r="R364" s="177"/>
      <c r="S364" s="177"/>
      <c r="T364" s="177"/>
      <c r="U364" s="177"/>
      <c r="V364" s="177"/>
      <c r="W364" s="177"/>
      <c r="X364" s="177"/>
      <c r="Y364" s="177"/>
      <c r="Z364" s="177"/>
      <c r="AA364" s="177"/>
      <c r="AB364" s="177"/>
      <c r="AC364" s="177"/>
      <c r="AD364" s="177"/>
      <c r="AE364" s="177"/>
      <c r="AF364" s="177"/>
      <c r="AG364" s="177"/>
      <c r="AH364" s="177"/>
      <c r="AI364" s="177"/>
      <c r="AJ364" s="177"/>
    </row>
    <row r="365" spans="1:36" s="45" customFormat="1" ht="45.75" hidden="1" customHeight="1" thickBot="1">
      <c r="A365" s="549"/>
      <c r="B365" s="550"/>
      <c r="C365" s="550"/>
      <c r="D365" s="550"/>
      <c r="E365" s="550"/>
      <c r="F365" s="550"/>
      <c r="G365" s="550"/>
      <c r="H365" s="550"/>
      <c r="I365" s="551"/>
      <c r="K365" s="50"/>
      <c r="R365" s="177"/>
      <c r="S365" s="177"/>
      <c r="T365" s="177"/>
      <c r="U365" s="177"/>
      <c r="V365" s="177"/>
      <c r="W365" s="177"/>
      <c r="X365" s="177"/>
      <c r="Y365" s="177"/>
      <c r="Z365" s="177"/>
      <c r="AA365" s="177"/>
      <c r="AB365" s="177"/>
      <c r="AC365" s="177"/>
      <c r="AD365" s="177"/>
      <c r="AE365" s="177"/>
      <c r="AF365" s="177"/>
      <c r="AG365" s="177"/>
      <c r="AH365" s="177"/>
      <c r="AI365" s="177"/>
      <c r="AJ365" s="177"/>
    </row>
    <row r="366" spans="1:36" s="180" customFormat="1" ht="45.75" hidden="1" customHeight="1" thickBot="1">
      <c r="A366" s="95"/>
      <c r="B366" s="94" t="s">
        <v>11</v>
      </c>
      <c r="C366" s="94" t="s">
        <v>30</v>
      </c>
      <c r="D366" s="94" t="s">
        <v>31</v>
      </c>
      <c r="E366" s="94" t="s">
        <v>136</v>
      </c>
      <c r="F366" s="94" t="s">
        <v>12</v>
      </c>
      <c r="G366" s="94" t="s">
        <v>13</v>
      </c>
      <c r="H366" s="94" t="s">
        <v>14</v>
      </c>
      <c r="I366" s="94" t="s">
        <v>157</v>
      </c>
      <c r="J366" s="123"/>
      <c r="K366" s="344" t="str">
        <f>IF(I102&lt;&gt;"Pass","","DO_ALL")</f>
        <v/>
      </c>
      <c r="L366" s="184"/>
      <c r="M366" s="184"/>
      <c r="N366" s="184"/>
      <c r="O366" s="184"/>
      <c r="R366" s="178"/>
      <c r="S366" s="178"/>
      <c r="T366" s="178"/>
      <c r="U366" s="178"/>
      <c r="V366" s="178"/>
      <c r="W366" s="178"/>
      <c r="X366" s="178"/>
      <c r="Y366" s="178"/>
      <c r="Z366" s="178"/>
      <c r="AA366" s="178"/>
      <c r="AB366" s="178"/>
      <c r="AC366" s="178"/>
      <c r="AD366" s="178"/>
      <c r="AE366" s="178"/>
      <c r="AF366" s="178"/>
      <c r="AG366" s="178"/>
      <c r="AH366" s="178"/>
      <c r="AI366" s="178"/>
      <c r="AJ366" s="178"/>
    </row>
    <row r="367" spans="1:36" ht="13.5" hidden="1" thickBot="1">
      <c r="A367" s="129"/>
      <c r="B367" s="84"/>
      <c r="C367" s="84"/>
      <c r="D367" s="84"/>
      <c r="E367" s="84"/>
      <c r="F367" s="84"/>
      <c r="G367" s="84"/>
      <c r="H367" s="84"/>
      <c r="I367" s="84"/>
      <c r="K367" s="50" t="s">
        <v>80</v>
      </c>
    </row>
    <row r="368" spans="1:36" s="175" customFormat="1" ht="15.75" hidden="1" thickBot="1">
      <c r="A368" s="130"/>
      <c r="B368" s="261" t="s">
        <v>186</v>
      </c>
      <c r="C368" s="58"/>
      <c r="D368" s="58"/>
      <c r="E368" s="58"/>
      <c r="F368" s="58"/>
      <c r="G368" s="58"/>
      <c r="H368" s="58"/>
      <c r="I368" s="58"/>
      <c r="J368" s="262"/>
      <c r="K368" s="262" t="s">
        <v>77</v>
      </c>
      <c r="L368" s="262" t="s">
        <v>75</v>
      </c>
      <c r="M368" s="238" t="str">
        <f ca="1">INDEX(tblGoSubRoutineStartCell[StartCell],MATCH(B368,tblGoSubRoutineStartCell[GoSub Routine],0))</f>
        <v>K104</v>
      </c>
      <c r="N368" s="184"/>
      <c r="O368" s="184"/>
      <c r="P368" s="184"/>
      <c r="Q368" s="184"/>
    </row>
    <row r="369" spans="1:36" s="175" customFormat="1" ht="15.75" hidden="1" thickBot="1">
      <c r="A369" s="130"/>
      <c r="B369" s="261" t="s">
        <v>188</v>
      </c>
      <c r="C369" s="58"/>
      <c r="D369" s="58"/>
      <c r="E369" s="58"/>
      <c r="F369" s="58"/>
      <c r="G369" s="58"/>
      <c r="H369" s="58"/>
      <c r="I369" s="58"/>
      <c r="J369" s="262"/>
      <c r="K369" s="262" t="s">
        <v>77</v>
      </c>
      <c r="L369" s="262" t="s">
        <v>75</v>
      </c>
      <c r="M369" s="238" t="str">
        <f ca="1">INDEX(tblGoSubRoutineStartCell[StartCell],MATCH(B369,tblGoSubRoutineStartCell[GoSub Routine],0))</f>
        <v>K121</v>
      </c>
      <c r="N369" s="184"/>
      <c r="O369" s="184"/>
      <c r="P369" s="184"/>
      <c r="Q369" s="184"/>
    </row>
    <row r="370" spans="1:36" s="175" customFormat="1" ht="40.5" hidden="1" customHeight="1">
      <c r="A370" s="131"/>
      <c r="B370" s="249" t="s">
        <v>711</v>
      </c>
      <c r="C370" s="113"/>
      <c r="D370" s="113"/>
      <c r="E370" s="113"/>
      <c r="F370" s="113"/>
      <c r="G370" s="113"/>
      <c r="H370" s="113"/>
      <c r="I370" s="113"/>
      <c r="J370" s="184"/>
      <c r="K370" s="262" t="s">
        <v>82</v>
      </c>
      <c r="L370" s="89" t="str">
        <f>B370</f>
        <v>Make sure Load IMon Rotary Switch is Set to LENS 2
ENSURE A BUNG HAS BEEN FITTED TO THE EXTRACTOR OUTPUT TO PREVENT ARCING.</v>
      </c>
      <c r="M370" s="184"/>
      <c r="N370" s="184"/>
      <c r="O370" s="184"/>
      <c r="P370" s="184"/>
      <c r="Q370" s="184"/>
    </row>
    <row r="371" spans="1:36" s="175" customFormat="1" ht="40.5" hidden="1" customHeight="1" thickBot="1">
      <c r="A371" s="131"/>
      <c r="B371" s="441" t="s">
        <v>453</v>
      </c>
      <c r="C371" s="113"/>
      <c r="D371" s="113"/>
      <c r="E371" s="113"/>
      <c r="F371" s="113"/>
      <c r="G371" s="113"/>
      <c r="H371" s="113"/>
      <c r="I371" s="113"/>
      <c r="J371" s="184"/>
      <c r="K371" s="270" t="s">
        <v>82</v>
      </c>
      <c r="L371" s="89" t="str">
        <f>B371</f>
        <v>PLEASE ENSURE UUT IS SWITCH ON VIA FRONT PANEL!</v>
      </c>
      <c r="M371" s="184"/>
      <c r="N371" s="184"/>
      <c r="O371" s="184"/>
      <c r="P371" s="184"/>
      <c r="Q371" s="184"/>
    </row>
    <row r="372" spans="1:36" s="175" customFormat="1" ht="20.25" hidden="1" customHeight="1" thickBot="1">
      <c r="A372" s="192"/>
      <c r="B372" s="266"/>
      <c r="C372" s="267"/>
      <c r="D372" s="269" t="s">
        <v>288</v>
      </c>
      <c r="E372" s="267"/>
      <c r="F372" s="267"/>
      <c r="G372" s="267"/>
      <c r="H372" s="267"/>
      <c r="I372" s="268"/>
      <c r="J372" s="184"/>
      <c r="K372" s="89" t="s">
        <v>80</v>
      </c>
      <c r="L372" s="184"/>
      <c r="M372" s="184"/>
      <c r="N372" s="184"/>
      <c r="O372" s="184"/>
      <c r="P372" s="184"/>
      <c r="Q372" s="184"/>
    </row>
    <row r="373" spans="1:36" ht="15" hidden="1">
      <c r="A373" s="131"/>
      <c r="B373" s="113"/>
      <c r="C373" s="113"/>
      <c r="D373" s="113"/>
      <c r="E373" s="113"/>
      <c r="F373" s="113"/>
      <c r="G373" s="113"/>
      <c r="H373" s="113"/>
      <c r="I373" s="113"/>
      <c r="K373" s="50" t="s">
        <v>80</v>
      </c>
    </row>
    <row r="374" spans="1:36" s="45" customFormat="1" ht="15" hidden="1">
      <c r="A374" s="271"/>
      <c r="B374" s="240" t="s">
        <v>454</v>
      </c>
      <c r="C374" s="272"/>
      <c r="D374" s="272"/>
      <c r="E374" s="272"/>
      <c r="F374" s="272"/>
      <c r="G374" s="272"/>
      <c r="H374" s="272"/>
      <c r="I374" s="272"/>
      <c r="K374" s="270" t="s">
        <v>27</v>
      </c>
      <c r="L374" s="270" t="s">
        <v>318</v>
      </c>
      <c r="M374" s="270" t="s">
        <v>455</v>
      </c>
      <c r="N374" s="270" t="s">
        <v>33</v>
      </c>
      <c r="O374" s="241">
        <v>2</v>
      </c>
      <c r="R374" s="177"/>
      <c r="S374" s="177"/>
      <c r="T374" s="177"/>
      <c r="U374" s="177"/>
      <c r="V374" s="177"/>
      <c r="W374" s="177"/>
      <c r="X374" s="177"/>
      <c r="Y374" s="177"/>
      <c r="Z374" s="177"/>
      <c r="AA374" s="177"/>
      <c r="AB374" s="177"/>
      <c r="AC374" s="177"/>
      <c r="AD374" s="177"/>
      <c r="AE374" s="177"/>
      <c r="AF374" s="177"/>
      <c r="AG374" s="177"/>
      <c r="AH374" s="177"/>
      <c r="AI374" s="177"/>
      <c r="AJ374" s="177"/>
    </row>
    <row r="375" spans="1:36" s="175" customFormat="1" ht="15" hidden="1">
      <c r="A375" s="130"/>
      <c r="B375" s="240" t="s">
        <v>343</v>
      </c>
      <c r="C375" s="78"/>
      <c r="D375" s="58"/>
      <c r="E375" s="58"/>
      <c r="F375" s="58"/>
      <c r="G375" s="58"/>
      <c r="H375" s="58"/>
      <c r="I375" s="58"/>
      <c r="J375" s="184"/>
      <c r="K375" s="262" t="s">
        <v>27</v>
      </c>
      <c r="L375" s="262" t="s">
        <v>313</v>
      </c>
      <c r="M375" s="262" t="s">
        <v>91</v>
      </c>
      <c r="N375" s="262" t="s">
        <v>315</v>
      </c>
      <c r="O375" s="241" t="s">
        <v>316</v>
      </c>
      <c r="P375" s="241" t="s">
        <v>312</v>
      </c>
      <c r="Q375" s="184"/>
    </row>
    <row r="376" spans="1:36" s="175" customFormat="1" ht="15" hidden="1">
      <c r="A376" s="130"/>
      <c r="B376" s="240" t="s">
        <v>425</v>
      </c>
      <c r="C376" s="78">
        <v>7</v>
      </c>
      <c r="D376" s="58"/>
      <c r="E376" s="58"/>
      <c r="F376" s="58"/>
      <c r="G376" s="58"/>
      <c r="H376" s="58"/>
      <c r="I376" s="58"/>
      <c r="J376" s="184"/>
      <c r="K376" s="241" t="str">
        <f>_xlfn.CONCAT("734|GND|REG1|DEC(",C376,")")</f>
        <v>734|GND|REG1|DEC(7)</v>
      </c>
      <c r="L376" s="263"/>
      <c r="M376" s="263"/>
      <c r="N376" s="263"/>
      <c r="O376" s="241"/>
      <c r="P376" s="241"/>
      <c r="Q376" s="184"/>
    </row>
    <row r="377" spans="1:36" s="175" customFormat="1" ht="15" hidden="1">
      <c r="A377" s="130"/>
      <c r="B377" s="240" t="s">
        <v>426</v>
      </c>
      <c r="C377" s="78">
        <v>-500</v>
      </c>
      <c r="D377" s="58"/>
      <c r="E377" s="58"/>
      <c r="F377" s="58"/>
      <c r="G377" s="58"/>
      <c r="H377" s="58"/>
      <c r="I377" s="58"/>
      <c r="J377" s="184"/>
      <c r="K377" s="241" t="str">
        <f>_xlfn.CONCAT("734|GND|OUT4|FLT(",C377,")")</f>
        <v>734|GND|OUT4|FLT(-500)</v>
      </c>
      <c r="L377" s="263"/>
      <c r="M377" s="263"/>
      <c r="N377" s="263"/>
      <c r="O377" s="241"/>
      <c r="P377" s="241"/>
      <c r="Q377" s="184"/>
    </row>
    <row r="378" spans="1:36" s="175" customFormat="1" ht="15" hidden="1">
      <c r="A378" s="130"/>
      <c r="B378" s="246" t="s">
        <v>433</v>
      </c>
      <c r="C378" s="78">
        <v>7000</v>
      </c>
      <c r="D378" s="58"/>
      <c r="E378" s="58"/>
      <c r="F378" s="58"/>
      <c r="G378" s="58"/>
      <c r="H378" s="58"/>
      <c r="I378" s="58"/>
      <c r="J378" s="184"/>
      <c r="K378" s="263" t="s">
        <v>27</v>
      </c>
      <c r="L378" s="263" t="s">
        <v>42</v>
      </c>
      <c r="M378" s="216" t="s">
        <v>60</v>
      </c>
      <c r="N378" s="247" t="str">
        <f>B378</f>
        <v>Lens 2 Initialising… (-ve min voltage off load)</v>
      </c>
      <c r="O378" s="210">
        <f>C378</f>
        <v>7000</v>
      </c>
      <c r="P378" s="184"/>
      <c r="Q378" s="184"/>
    </row>
    <row r="379" spans="1:36" s="175" customFormat="1" ht="15.75" hidden="1" thickBot="1">
      <c r="A379" s="130"/>
      <c r="B379" s="244" t="s">
        <v>427</v>
      </c>
      <c r="C379" s="78">
        <v>2</v>
      </c>
      <c r="D379" s="58"/>
      <c r="E379" s="455"/>
      <c r="F379" s="58"/>
      <c r="G379" s="58"/>
      <c r="H379" s="58"/>
      <c r="I379" s="58"/>
      <c r="J379" s="184"/>
      <c r="K379" s="263" t="s">
        <v>27</v>
      </c>
      <c r="L379" s="263" t="s">
        <v>318</v>
      </c>
      <c r="M379" s="263" t="s">
        <v>55</v>
      </c>
      <c r="N379" s="263" t="s">
        <v>33</v>
      </c>
      <c r="O379" s="241">
        <f>C379</f>
        <v>2</v>
      </c>
      <c r="P379" s="241"/>
      <c r="Q379" s="184"/>
    </row>
    <row r="380" spans="1:36" s="175" customFormat="1" ht="15" hidden="1" customHeight="1" thickBot="1">
      <c r="A380" s="132" cm="1">
        <f t="array" ref="A380">SSATSLineNumbers(A380,0.01)</f>
        <v>3.01</v>
      </c>
      <c r="B380" s="244" t="s">
        <v>429</v>
      </c>
      <c r="C380" s="66">
        <v>-500</v>
      </c>
      <c r="D380" s="84"/>
      <c r="E380" s="457" t="str">
        <f>IF(E379="","[AUTO]",E379*T380)</f>
        <v>[AUTO]</v>
      </c>
      <c r="F380" s="86">
        <f ca="1">P380</f>
        <v>-550</v>
      </c>
      <c r="G380" s="86">
        <f ca="1">Q380</f>
        <v>-450</v>
      </c>
      <c r="H380" s="86" t="str">
        <f ca="1">R380</f>
        <v>V</v>
      </c>
      <c r="I380" s="59" t="str">
        <f>IF(E380 ="[AUTO]","TBC", IF(AND(E380&gt;=F380,E380&lt;=G380 ),"Pass","Fail"))</f>
        <v>TBC</v>
      </c>
      <c r="J380" s="184"/>
      <c r="K380" s="263" t="s">
        <v>80</v>
      </c>
      <c r="L380" s="184"/>
      <c r="M380" s="184"/>
      <c r="N380" s="184"/>
      <c r="O380" s="184"/>
      <c r="P380" s="245">
        <f ca="1">C380+(INDEX(tblProductScalesMeasures[Min],MATCH(_xlfn.CONCAT(B380),tblProductScalesMeasures[Description],0)))</f>
        <v>-550</v>
      </c>
      <c r="Q380" s="245">
        <f ca="1">C380+(INDEX(tblProductScalesMeasures[Max],MATCH(_xlfn.CONCAT(B380),tblProductScalesMeasures[Description],0)))</f>
        <v>-450</v>
      </c>
      <c r="R380" s="245" t="str">
        <f ca="1">(INDEX(tblProductScalesMeasures[Unit],MATCH(_xlfn.CONCAT(B380),tblProductScalesMeasures[Description],0)))</f>
        <v>V</v>
      </c>
      <c r="S380" s="177"/>
      <c r="T380" s="245">
        <f ca="1">IF(COUNTIF(tblExempt[],R380)&gt;0,0,INDEX(tblScaling[Divider],MATCH(_xlfn.CONCAT(IF(ISNUMBER(SEARCH(" ",section_3_heading))=TRUE,SUBSTITUTE(section_3_heading," ",""),"")," ",R380),tblScaling[Description],0)))</f>
        <v>10000</v>
      </c>
    </row>
    <row r="381" spans="1:36" s="180" customFormat="1" ht="16.5" hidden="1" customHeight="1" thickBot="1">
      <c r="A381" s="133"/>
      <c r="B381" s="237" t="s">
        <v>70</v>
      </c>
      <c r="C381" s="57"/>
      <c r="D381" s="57"/>
      <c r="E381" s="80"/>
      <c r="F381" s="57"/>
      <c r="G381" s="57"/>
      <c r="H381" s="57"/>
      <c r="I381" s="57"/>
      <c r="J381" s="184"/>
      <c r="K381" s="116" t="s">
        <v>27</v>
      </c>
      <c r="L381" s="116" t="s">
        <v>42</v>
      </c>
      <c r="M381" s="116" t="s">
        <v>129</v>
      </c>
      <c r="N381" s="116" t="str">
        <f ca="1">SUBSTITUTE(CELL("address",K368),"$","")</f>
        <v>K368</v>
      </c>
      <c r="O381" s="116" t="s">
        <v>130</v>
      </c>
      <c r="P381" s="228" t="s">
        <v>75</v>
      </c>
      <c r="Q381" s="250" t="str">
        <f ca="1">INDEX(tblGoSubRoutineStartCell[StartCell],MATCH(B381,tblGoSubRoutineStartCell[GoSub Routine],0))</f>
        <v>K56</v>
      </c>
      <c r="R381" s="184"/>
      <c r="S381" s="178"/>
      <c r="T381" s="178"/>
      <c r="U381" s="178"/>
      <c r="V381" s="178"/>
      <c r="W381" s="178"/>
      <c r="X381" s="178"/>
      <c r="Y381" s="178"/>
      <c r="Z381" s="178"/>
      <c r="AA381" s="178"/>
      <c r="AB381" s="178"/>
      <c r="AC381" s="178"/>
      <c r="AD381" s="178"/>
      <c r="AE381" s="178"/>
      <c r="AF381" s="178"/>
      <c r="AG381" s="178"/>
      <c r="AH381" s="178"/>
      <c r="AI381" s="178"/>
      <c r="AJ381" s="178"/>
    </row>
    <row r="382" spans="1:36" s="175" customFormat="1" ht="15" hidden="1">
      <c r="A382" s="130"/>
      <c r="B382" s="240" t="s">
        <v>426</v>
      </c>
      <c r="C382" s="78">
        <v>-15000</v>
      </c>
      <c r="D382" s="58"/>
      <c r="E382" s="58"/>
      <c r="F382" s="58"/>
      <c r="G382" s="58"/>
      <c r="H382" s="58"/>
      <c r="I382" s="58"/>
      <c r="J382" s="184"/>
      <c r="K382" s="241" t="str">
        <f>_xlfn.CONCAT("734|GND|OUT4|FLT(",C382,")")</f>
        <v>734|GND|OUT4|FLT(-15000)</v>
      </c>
      <c r="L382" s="263"/>
      <c r="M382" s="263"/>
      <c r="N382" s="263"/>
      <c r="O382" s="241"/>
      <c r="P382" s="241"/>
      <c r="Q382" s="184"/>
    </row>
    <row r="383" spans="1:36" s="175" customFormat="1" ht="15" hidden="1">
      <c r="A383" s="130"/>
      <c r="B383" s="246" t="s">
        <v>435</v>
      </c>
      <c r="C383" s="78">
        <v>20000</v>
      </c>
      <c r="D383" s="58"/>
      <c r="E383" s="58"/>
      <c r="F383" s="58"/>
      <c r="G383" s="58"/>
      <c r="H383" s="58"/>
      <c r="I383" s="58"/>
      <c r="J383" s="184"/>
      <c r="K383" s="263" t="s">
        <v>27</v>
      </c>
      <c r="L383" s="263" t="s">
        <v>42</v>
      </c>
      <c r="M383" s="216" t="s">
        <v>60</v>
      </c>
      <c r="N383" s="247" t="str">
        <f>B383</f>
        <v>Lens 2 Initialising… (-ve max voltage off load)</v>
      </c>
      <c r="O383" s="210">
        <f>C383</f>
        <v>20000</v>
      </c>
      <c r="P383" s="184"/>
      <c r="Q383" s="184"/>
    </row>
    <row r="384" spans="1:36" s="175" customFormat="1" ht="15.75" hidden="1" thickBot="1">
      <c r="A384" s="130"/>
      <c r="B384" s="244" t="s">
        <v>427</v>
      </c>
      <c r="C384" s="78">
        <v>2</v>
      </c>
      <c r="D384" s="58"/>
      <c r="E384" s="455"/>
      <c r="F384" s="58"/>
      <c r="G384" s="58"/>
      <c r="H384" s="58"/>
      <c r="I384" s="58"/>
      <c r="J384" s="184"/>
      <c r="K384" s="263" t="s">
        <v>27</v>
      </c>
      <c r="L384" s="263" t="s">
        <v>318</v>
      </c>
      <c r="M384" s="263" t="s">
        <v>55</v>
      </c>
      <c r="N384" s="263" t="s">
        <v>33</v>
      </c>
      <c r="O384" s="241">
        <f>C384</f>
        <v>2</v>
      </c>
      <c r="P384" s="241"/>
      <c r="Q384" s="184"/>
    </row>
    <row r="385" spans="1:36" s="175" customFormat="1" ht="15" hidden="1" customHeight="1" thickBot="1">
      <c r="A385" s="132" cm="1">
        <f t="array" ref="A385">SSATSLineNumbers(A385,0.01)</f>
        <v>3.02</v>
      </c>
      <c r="B385" s="244" t="s">
        <v>428</v>
      </c>
      <c r="C385" s="66">
        <v>-15000</v>
      </c>
      <c r="D385" s="84"/>
      <c r="E385" s="457" t="str">
        <f>IF(E384="","[AUTO]",E384*T385)</f>
        <v>[AUTO]</v>
      </c>
      <c r="F385" s="86">
        <f ca="1">P385</f>
        <v>-15100</v>
      </c>
      <c r="G385" s="86">
        <f ca="1">Q385</f>
        <v>-14900</v>
      </c>
      <c r="H385" s="86" t="str">
        <f ca="1">R385</f>
        <v>V</v>
      </c>
      <c r="I385" s="59" t="str">
        <f>IF(E385 ="[AUTO]","TBC", IF(AND(E385&gt;=F385,E385&lt;=G385 ),"Pass","Fail"))</f>
        <v>TBC</v>
      </c>
      <c r="J385" s="184"/>
      <c r="K385" s="263" t="s">
        <v>80</v>
      </c>
      <c r="L385" s="184"/>
      <c r="M385" s="184"/>
      <c r="N385" s="184"/>
      <c r="O385" s="184"/>
      <c r="P385" s="245">
        <f ca="1">C385+(INDEX(tblProductScalesMeasures[Min],MATCH(_xlfn.CONCAT(B385),tblProductScalesMeasures[Description],0)))</f>
        <v>-15100</v>
      </c>
      <c r="Q385" s="245">
        <f ca="1">C385+(INDEX(tblProductScalesMeasures[Max],MATCH(_xlfn.CONCAT(B385),tblProductScalesMeasures[Description],0)))</f>
        <v>-14900</v>
      </c>
      <c r="R385" s="245" t="str">
        <f ca="1">(INDEX(tblProductScalesMeasures[Unit],MATCH(_xlfn.CONCAT(B385),tblProductScalesMeasures[Description],0)))</f>
        <v>V</v>
      </c>
      <c r="S385" s="177"/>
      <c r="T385" s="245">
        <f ca="1">IF(COUNTIF(tblExempt[],R385)&gt;0,0,INDEX(tblScaling[Divider],MATCH(_xlfn.CONCAT(IF(ISNUMBER(SEARCH(" ",section_3_heading))=TRUE,SUBSTITUTE(section_3_heading," ",""),"")," ",R385),tblScaling[Description],0)))</f>
        <v>10000</v>
      </c>
    </row>
    <row r="386" spans="1:36" s="180" customFormat="1" ht="16.5" hidden="1" customHeight="1" thickBot="1">
      <c r="A386" s="133"/>
      <c r="B386" s="237" t="s">
        <v>70</v>
      </c>
      <c r="C386" s="57">
        <v>1</v>
      </c>
      <c r="D386" s="57"/>
      <c r="E386" s="80"/>
      <c r="F386" s="57"/>
      <c r="G386" s="57"/>
      <c r="H386" s="57"/>
      <c r="I386" s="57"/>
      <c r="J386" s="184"/>
      <c r="K386" s="116" t="s">
        <v>27</v>
      </c>
      <c r="L386" s="116" t="s">
        <v>42</v>
      </c>
      <c r="M386" s="116" t="s">
        <v>129</v>
      </c>
      <c r="N386" s="116" t="e">
        <f ca="1">#REF!=SUBSTITUTE(CELL("address",K382),"$","")</f>
        <v>#REF!</v>
      </c>
      <c r="O386" s="116" t="s">
        <v>130</v>
      </c>
      <c r="P386" s="228" t="s">
        <v>75</v>
      </c>
      <c r="Q386" s="250" t="str">
        <f ca="1">INDEX(tblGoSubRoutineStartCell[StartCell],MATCH(B386,tblGoSubRoutineStartCell[GoSub Routine],0))</f>
        <v>K56</v>
      </c>
      <c r="R386" s="184"/>
      <c r="S386" s="178"/>
      <c r="T386" s="178"/>
      <c r="U386" s="178"/>
      <c r="V386" s="178"/>
      <c r="W386" s="178"/>
      <c r="X386" s="178"/>
      <c r="Y386" s="178"/>
      <c r="Z386" s="178"/>
      <c r="AA386" s="178"/>
      <c r="AB386" s="178"/>
      <c r="AC386" s="178"/>
      <c r="AD386" s="178"/>
      <c r="AE386" s="178"/>
      <c r="AF386" s="178"/>
      <c r="AG386" s="178"/>
      <c r="AH386" s="178"/>
      <c r="AI386" s="178"/>
      <c r="AJ386" s="178"/>
    </row>
    <row r="387" spans="1:36" s="175" customFormat="1" ht="15.75" hidden="1" customHeight="1" thickBot="1">
      <c r="A387" s="130"/>
      <c r="B387" s="244" t="s">
        <v>335</v>
      </c>
      <c r="C387" s="78"/>
      <c r="D387" s="58"/>
      <c r="E387" s="459"/>
      <c r="F387" s="58"/>
      <c r="G387" s="58"/>
      <c r="H387" s="58"/>
      <c r="I387" s="58"/>
      <c r="J387" s="184"/>
      <c r="K387" s="263" t="s">
        <v>27</v>
      </c>
      <c r="L387" s="263" t="s">
        <v>319</v>
      </c>
      <c r="M387" s="263" t="s">
        <v>55</v>
      </c>
      <c r="N387" s="241" t="s">
        <v>310</v>
      </c>
      <c r="O387" s="184"/>
      <c r="P387" s="184"/>
      <c r="Q387" s="184"/>
    </row>
    <row r="388" spans="1:36" s="175" customFormat="1" ht="15" hidden="1" customHeight="1" thickBot="1">
      <c r="A388" s="132" cm="1">
        <f t="array" ref="A388">SSATSLineNumbers(A388,0.01)</f>
        <v>3.03</v>
      </c>
      <c r="B388" s="244" t="s">
        <v>431</v>
      </c>
      <c r="C388" s="66">
        <v>5</v>
      </c>
      <c r="D388" s="84"/>
      <c r="E388" s="457" t="str">
        <f>IF(E387="","[AUTO]",(E387*T388)*-1)</f>
        <v>[AUTO]</v>
      </c>
      <c r="F388" s="86">
        <f ca="1">P388</f>
        <v>4</v>
      </c>
      <c r="G388" s="86">
        <f ca="1">Q388</f>
        <v>6</v>
      </c>
      <c r="H388" s="86" t="str">
        <f ca="1">R388</f>
        <v>uA</v>
      </c>
      <c r="I388" s="59" t="str">
        <f>IF(E388 ="[AUTO]","TBC", IF(AND(E388&gt;=F388,E388&lt;=G388 ),"Pass","Fail"))</f>
        <v>TBC</v>
      </c>
      <c r="J388" s="184"/>
      <c r="K388" s="263" t="s">
        <v>80</v>
      </c>
      <c r="L388" s="184"/>
      <c r="M388" s="184"/>
      <c r="N388" s="184"/>
      <c r="O388" s="184"/>
      <c r="P388" s="245">
        <f ca="1">C388+(INDEX(tblProductScalesMeasures[Min],MATCH(_xlfn.CONCAT(B388),tblProductScalesMeasures[Description],0)))</f>
        <v>4</v>
      </c>
      <c r="Q388" s="245">
        <f ca="1">C388+(INDEX(tblProductScalesMeasures[Max],MATCH(_xlfn.CONCAT(B388),tblProductScalesMeasures[Description],0)))</f>
        <v>6</v>
      </c>
      <c r="R388" s="245" t="str">
        <f ca="1">(INDEX(tblProductScalesMeasures[Unit],MATCH(_xlfn.CONCAT(B388),tblProductScalesMeasures[Description],0)))</f>
        <v>uA</v>
      </c>
      <c r="S388" s="177"/>
      <c r="T388" s="245">
        <f ca="1">IF(COUNTIF(tblExempt[],R388)&gt;0,0,INDEX(tblScaling[Divider],MATCH(_xlfn.CONCAT(IF(ISNUMBER(SEARCH(" ",section_3_heading))=TRUE,SUBSTITUTE(section_3_heading," ",""),"")," ",R388),tblScaling[Description],0)))</f>
        <v>1000000</v>
      </c>
    </row>
    <row r="389" spans="1:36" s="180" customFormat="1" ht="16.5" hidden="1" customHeight="1" thickBot="1">
      <c r="A389" s="133"/>
      <c r="B389" s="237" t="s">
        <v>70</v>
      </c>
      <c r="C389" s="57"/>
      <c r="D389" s="57"/>
      <c r="E389" s="80"/>
      <c r="F389" s="57"/>
      <c r="G389" s="57"/>
      <c r="H389" s="57"/>
      <c r="I389" s="57"/>
      <c r="J389" s="184"/>
      <c r="K389" s="116" t="s">
        <v>27</v>
      </c>
      <c r="L389" s="116" t="s">
        <v>42</v>
      </c>
      <c r="M389" s="116" t="s">
        <v>129</v>
      </c>
      <c r="N389" s="116" t="str">
        <f ca="1">SUBSTITUTE(CELL("address",K387),"$","")</f>
        <v>K387</v>
      </c>
      <c r="O389" s="116" t="s">
        <v>130</v>
      </c>
      <c r="P389" s="228" t="s">
        <v>75</v>
      </c>
      <c r="Q389" s="250" t="str">
        <f ca="1">INDEX(tblGoSubRoutineStartCell[StartCell],MATCH(B389,tblGoSubRoutineStartCell[GoSub Routine],0))</f>
        <v>K56</v>
      </c>
      <c r="R389" s="184"/>
      <c r="S389" s="178"/>
      <c r="T389" s="178"/>
      <c r="U389" s="178"/>
      <c r="V389" s="178"/>
      <c r="W389" s="178"/>
      <c r="X389" s="178"/>
      <c r="Y389" s="178"/>
      <c r="Z389" s="178"/>
      <c r="AA389" s="178"/>
      <c r="AB389" s="178"/>
      <c r="AC389" s="178"/>
      <c r="AD389" s="178"/>
      <c r="AE389" s="178"/>
      <c r="AF389" s="178"/>
      <c r="AG389" s="178"/>
      <c r="AH389" s="178"/>
      <c r="AI389" s="178"/>
      <c r="AJ389" s="178"/>
    </row>
    <row r="390" spans="1:36" s="175" customFormat="1" ht="15" hidden="1">
      <c r="A390" s="130"/>
      <c r="B390" s="240" t="s">
        <v>426</v>
      </c>
      <c r="C390" s="78">
        <v>500</v>
      </c>
      <c r="D390" s="58"/>
      <c r="E390" s="58"/>
      <c r="F390" s="58"/>
      <c r="G390" s="58"/>
      <c r="H390" s="58"/>
      <c r="I390" s="58"/>
      <c r="J390" s="184"/>
      <c r="K390" s="241" t="str">
        <f>_xlfn.CONCAT("734|GND|OUT4|FLT(",C390,")")</f>
        <v>734|GND|OUT4|FLT(500)</v>
      </c>
      <c r="L390" s="263"/>
      <c r="M390" s="263"/>
      <c r="N390" s="263"/>
      <c r="O390" s="241"/>
      <c r="P390" s="241"/>
      <c r="Q390" s="184"/>
    </row>
    <row r="391" spans="1:36" s="175" customFormat="1" ht="15" hidden="1">
      <c r="A391" s="130"/>
      <c r="B391" s="246" t="s">
        <v>434</v>
      </c>
      <c r="C391" s="78">
        <v>25000</v>
      </c>
      <c r="D391" s="58"/>
      <c r="E391" s="58"/>
      <c r="F391" s="58"/>
      <c r="G391" s="58"/>
      <c r="H391" s="58"/>
      <c r="I391" s="58"/>
      <c r="J391" s="184"/>
      <c r="K391" s="263" t="s">
        <v>27</v>
      </c>
      <c r="L391" s="263" t="s">
        <v>42</v>
      </c>
      <c r="M391" s="216" t="s">
        <v>60</v>
      </c>
      <c r="N391" s="247" t="str">
        <f>B391</f>
        <v>Lens 2 Initialising… (+ve min voltage off load)</v>
      </c>
      <c r="O391" s="210">
        <f>C391</f>
        <v>25000</v>
      </c>
      <c r="P391" s="184"/>
      <c r="Q391" s="184"/>
    </row>
    <row r="392" spans="1:36" s="175" customFormat="1" ht="15.75" hidden="1" thickBot="1">
      <c r="A392" s="130"/>
      <c r="B392" s="244" t="s">
        <v>427</v>
      </c>
      <c r="C392" s="78">
        <v>2</v>
      </c>
      <c r="D392" s="58"/>
      <c r="E392" s="455"/>
      <c r="F392" s="58"/>
      <c r="G392" s="58"/>
      <c r="H392" s="58"/>
      <c r="I392" s="58"/>
      <c r="J392" s="184"/>
      <c r="K392" s="263" t="s">
        <v>27</v>
      </c>
      <c r="L392" s="263" t="s">
        <v>318</v>
      </c>
      <c r="M392" s="263" t="s">
        <v>55</v>
      </c>
      <c r="N392" s="263" t="s">
        <v>33</v>
      </c>
      <c r="O392" s="241">
        <f>C392</f>
        <v>2</v>
      </c>
      <c r="P392" s="241"/>
      <c r="Q392" s="184"/>
    </row>
    <row r="393" spans="1:36" s="175" customFormat="1" ht="15" hidden="1" customHeight="1" thickBot="1">
      <c r="A393" s="132" cm="1">
        <f t="array" ref="A393">SSATSLineNumbers(A393,0.01)</f>
        <v>3.04</v>
      </c>
      <c r="B393" s="244" t="s">
        <v>429</v>
      </c>
      <c r="C393" s="66">
        <v>500</v>
      </c>
      <c r="D393" s="84"/>
      <c r="E393" s="457" t="str">
        <f>IF(E392="","[AUTO]",E392*T393)</f>
        <v>[AUTO]</v>
      </c>
      <c r="F393" s="86">
        <f ca="1">P393</f>
        <v>450</v>
      </c>
      <c r="G393" s="86">
        <f ca="1">Q393</f>
        <v>550</v>
      </c>
      <c r="H393" s="86" t="str">
        <f ca="1">R393</f>
        <v>V</v>
      </c>
      <c r="I393" s="59" t="str">
        <f>IF(E393 ="[AUTO]","TBC", IF(AND(E393&gt;=F393,E393&lt;=G393 ),"Pass","Fail"))</f>
        <v>TBC</v>
      </c>
      <c r="J393" s="184"/>
      <c r="K393" s="263" t="s">
        <v>80</v>
      </c>
      <c r="L393" s="184"/>
      <c r="M393" s="184"/>
      <c r="N393" s="184"/>
      <c r="O393" s="184"/>
      <c r="P393" s="245">
        <f ca="1">C393+(INDEX(tblProductScalesMeasures[Min],MATCH(_xlfn.CONCAT(B393),tblProductScalesMeasures[Description],0)))</f>
        <v>450</v>
      </c>
      <c r="Q393" s="245">
        <f ca="1">C393+(INDEX(tblProductScalesMeasures[Max],MATCH(_xlfn.CONCAT(B393),tblProductScalesMeasures[Description],0)))</f>
        <v>550</v>
      </c>
      <c r="R393" s="245" t="str">
        <f ca="1">(INDEX(tblProductScalesMeasures[Unit],MATCH(_xlfn.CONCAT(B393),tblProductScalesMeasures[Description],0)))</f>
        <v>V</v>
      </c>
      <c r="S393" s="177"/>
      <c r="T393" s="245">
        <f ca="1">IF(COUNTIF(tblExempt[],R393)&gt;0,0,INDEX(tblScaling[Divider],MATCH(_xlfn.CONCAT(IF(ISNUMBER(SEARCH(" ",section_3_heading))=TRUE,SUBSTITUTE(section_3_heading," ",""),"")," ",R393),tblScaling[Description],0)))</f>
        <v>10000</v>
      </c>
    </row>
    <row r="394" spans="1:36" s="180" customFormat="1" ht="16.5" hidden="1" customHeight="1" thickBot="1">
      <c r="A394" s="133"/>
      <c r="B394" s="237" t="s">
        <v>70</v>
      </c>
      <c r="C394" s="57"/>
      <c r="D394" s="57"/>
      <c r="E394" s="80"/>
      <c r="F394" s="57"/>
      <c r="G394" s="57"/>
      <c r="H394" s="57"/>
      <c r="I394" s="57"/>
      <c r="J394" s="184"/>
      <c r="K394" s="116" t="s">
        <v>27</v>
      </c>
      <c r="L394" s="116" t="s">
        <v>42</v>
      </c>
      <c r="M394" s="116" t="s">
        <v>129</v>
      </c>
      <c r="N394" s="116" t="str">
        <f ca="1">SUBSTITUTE(CELL("address",K390),"$","")</f>
        <v>K390</v>
      </c>
      <c r="O394" s="116" t="s">
        <v>130</v>
      </c>
      <c r="P394" s="228" t="s">
        <v>75</v>
      </c>
      <c r="Q394" s="250" t="str">
        <f ca="1">INDEX(tblGoSubRoutineStartCell[StartCell],MATCH(B394,tblGoSubRoutineStartCell[GoSub Routine],0))</f>
        <v>K56</v>
      </c>
      <c r="R394" s="184"/>
      <c r="S394" s="178"/>
      <c r="T394" s="178"/>
      <c r="U394" s="178"/>
      <c r="V394" s="178"/>
      <c r="W394" s="178"/>
      <c r="X394" s="178"/>
      <c r="Y394" s="178"/>
      <c r="Z394" s="178"/>
      <c r="AA394" s="178"/>
      <c r="AB394" s="178"/>
      <c r="AC394" s="178"/>
      <c r="AD394" s="178"/>
      <c r="AE394" s="178"/>
      <c r="AF394" s="178"/>
      <c r="AG394" s="178"/>
      <c r="AH394" s="178"/>
      <c r="AI394" s="178"/>
      <c r="AJ394" s="178"/>
    </row>
    <row r="395" spans="1:36" s="175" customFormat="1" ht="15" hidden="1">
      <c r="A395" s="130"/>
      <c r="B395" s="240" t="s">
        <v>426</v>
      </c>
      <c r="C395" s="78">
        <v>25000</v>
      </c>
      <c r="D395" s="58"/>
      <c r="E395" s="58"/>
      <c r="F395" s="58"/>
      <c r="G395" s="58"/>
      <c r="H395" s="58"/>
      <c r="I395" s="58"/>
      <c r="J395" s="184"/>
      <c r="K395" s="241" t="str">
        <f>_xlfn.CONCAT("734|GND|OUT4|FLT(",C395,")")</f>
        <v>734|GND|OUT4|FLT(25000)</v>
      </c>
      <c r="L395" s="263"/>
      <c r="M395" s="263"/>
      <c r="N395" s="263"/>
      <c r="O395" s="241"/>
      <c r="P395" s="241"/>
      <c r="Q395" s="184"/>
    </row>
    <row r="396" spans="1:36" s="175" customFormat="1" ht="15" hidden="1">
      <c r="A396" s="130"/>
      <c r="B396" s="246" t="s">
        <v>456</v>
      </c>
      <c r="C396" s="78">
        <v>27000</v>
      </c>
      <c r="D396" s="58"/>
      <c r="E396" s="58"/>
      <c r="F396" s="58"/>
      <c r="G396" s="58"/>
      <c r="H396" s="58"/>
      <c r="I396" s="58"/>
      <c r="J396" s="184"/>
      <c r="K396" s="263" t="s">
        <v>27</v>
      </c>
      <c r="L396" s="263" t="s">
        <v>42</v>
      </c>
      <c r="M396" s="216" t="s">
        <v>60</v>
      </c>
      <c r="N396" s="247" t="str">
        <f>B396</f>
        <v>Lens 2 Initialising… (+ve max voltage off load)</v>
      </c>
      <c r="O396" s="210">
        <f>C396</f>
        <v>27000</v>
      </c>
      <c r="P396" s="184"/>
      <c r="Q396" s="184"/>
    </row>
    <row r="397" spans="1:36" s="175" customFormat="1" ht="15.75" hidden="1" thickBot="1">
      <c r="A397" s="130"/>
      <c r="B397" s="244" t="s">
        <v>427</v>
      </c>
      <c r="C397" s="78">
        <v>2</v>
      </c>
      <c r="D397" s="58"/>
      <c r="E397" s="455"/>
      <c r="F397" s="58"/>
      <c r="G397" s="58"/>
      <c r="H397" s="58"/>
      <c r="I397" s="58"/>
      <c r="J397" s="184"/>
      <c r="K397" s="263" t="s">
        <v>27</v>
      </c>
      <c r="L397" s="263" t="s">
        <v>318</v>
      </c>
      <c r="M397" s="263" t="s">
        <v>55</v>
      </c>
      <c r="N397" s="263" t="s">
        <v>33</v>
      </c>
      <c r="O397" s="241">
        <f>C397</f>
        <v>2</v>
      </c>
      <c r="P397" s="241"/>
      <c r="Q397" s="184"/>
    </row>
    <row r="398" spans="1:36" s="175" customFormat="1" ht="15" hidden="1" customHeight="1" thickBot="1">
      <c r="A398" s="132" cm="1">
        <f t="array" ref="A398">SSATSLineNumbers(A398,0.01)</f>
        <v>3.05</v>
      </c>
      <c r="B398" s="244" t="s">
        <v>428</v>
      </c>
      <c r="C398" s="66">
        <v>25000</v>
      </c>
      <c r="D398" s="84"/>
      <c r="E398" s="457" t="str">
        <f>IF(E397="","[AUTO]",E397*T398)</f>
        <v>[AUTO]</v>
      </c>
      <c r="F398" s="86">
        <f ca="1">P398</f>
        <v>24900</v>
      </c>
      <c r="G398" s="86">
        <f ca="1">Q398</f>
        <v>25100</v>
      </c>
      <c r="H398" s="86" t="str">
        <f ca="1">R398</f>
        <v>V</v>
      </c>
      <c r="I398" s="59" t="str">
        <f>IF(E398 ="[AUTO]","TBC", IF(AND(E398&gt;=F398,E398&lt;=G398 ),"Pass","Fail"))</f>
        <v>TBC</v>
      </c>
      <c r="J398" s="184"/>
      <c r="K398" s="263" t="s">
        <v>80</v>
      </c>
      <c r="L398" s="184"/>
      <c r="M398" s="184"/>
      <c r="N398" s="184"/>
      <c r="O398" s="184"/>
      <c r="P398" s="245">
        <f ca="1">C398+(INDEX(tblProductScalesMeasures[Min],MATCH(_xlfn.CONCAT(B398),tblProductScalesMeasures[Description],0)))</f>
        <v>24900</v>
      </c>
      <c r="Q398" s="245">
        <f ca="1">C398+(INDEX(tblProductScalesMeasures[Max],MATCH(_xlfn.CONCAT(B398),tblProductScalesMeasures[Description],0)))</f>
        <v>25100</v>
      </c>
      <c r="R398" s="245" t="str">
        <f ca="1">(INDEX(tblProductScalesMeasures[Unit],MATCH(_xlfn.CONCAT(B398),tblProductScalesMeasures[Description],0)))</f>
        <v>V</v>
      </c>
      <c r="S398" s="177"/>
      <c r="T398" s="245">
        <f ca="1">IF(COUNTIF(tblExempt[],R398)&gt;0,0,INDEX(tblScaling[Divider],MATCH(_xlfn.CONCAT(IF(ISNUMBER(SEARCH(" ",section_3_heading))=TRUE,SUBSTITUTE(section_3_heading," ",""),"")," ",R398),tblScaling[Description],0)))</f>
        <v>10000</v>
      </c>
    </row>
    <row r="399" spans="1:36" s="180" customFormat="1" ht="16.5" hidden="1" customHeight="1" thickBot="1">
      <c r="A399" s="133"/>
      <c r="B399" s="237" t="s">
        <v>70</v>
      </c>
      <c r="C399" s="57"/>
      <c r="D399" s="57"/>
      <c r="E399" s="80"/>
      <c r="F399" s="57"/>
      <c r="G399" s="57"/>
      <c r="H399" s="57"/>
      <c r="I399" s="57"/>
      <c r="J399" s="184"/>
      <c r="K399" s="116" t="s">
        <v>27</v>
      </c>
      <c r="L399" s="116" t="s">
        <v>42</v>
      </c>
      <c r="M399" s="116" t="s">
        <v>129</v>
      </c>
      <c r="N399" s="116" t="str">
        <f ca="1">SUBSTITUTE(CELL("address",K395),"$","")</f>
        <v>K395</v>
      </c>
      <c r="O399" s="116" t="s">
        <v>130</v>
      </c>
      <c r="P399" s="228" t="s">
        <v>75</v>
      </c>
      <c r="Q399" s="250" t="str">
        <f ca="1">INDEX(tblGoSubRoutineStartCell[StartCell],MATCH(B399,tblGoSubRoutineStartCell[GoSub Routine],0))</f>
        <v>K56</v>
      </c>
      <c r="R399" s="184"/>
      <c r="S399" s="178"/>
      <c r="T399" s="178"/>
      <c r="U399" s="178"/>
      <c r="V399" s="178"/>
      <c r="W399" s="178"/>
      <c r="X399" s="178"/>
      <c r="Y399" s="178"/>
      <c r="Z399" s="178"/>
      <c r="AA399" s="178"/>
      <c r="AB399" s="178"/>
      <c r="AC399" s="178"/>
      <c r="AD399" s="178"/>
      <c r="AE399" s="178"/>
      <c r="AF399" s="178"/>
      <c r="AG399" s="178"/>
      <c r="AH399" s="178"/>
      <c r="AI399" s="178"/>
      <c r="AJ399" s="178"/>
    </row>
    <row r="400" spans="1:36" s="175" customFormat="1" ht="15.75" hidden="1" customHeight="1" thickBot="1">
      <c r="A400" s="130"/>
      <c r="B400" s="244" t="s">
        <v>335</v>
      </c>
      <c r="C400" s="78"/>
      <c r="D400" s="58"/>
      <c r="E400" s="459"/>
      <c r="F400" s="58"/>
      <c r="G400" s="58"/>
      <c r="H400" s="58"/>
      <c r="I400" s="58"/>
      <c r="J400" s="184"/>
      <c r="K400" s="263" t="s">
        <v>27</v>
      </c>
      <c r="L400" s="263" t="s">
        <v>319</v>
      </c>
      <c r="M400" s="263" t="s">
        <v>55</v>
      </c>
      <c r="N400" s="241" t="s">
        <v>310</v>
      </c>
      <c r="O400" s="184"/>
      <c r="P400" s="184"/>
      <c r="Q400" s="184"/>
    </row>
    <row r="401" spans="1:36" s="175" customFormat="1" ht="15" hidden="1" customHeight="1" thickBot="1">
      <c r="A401" s="132" cm="1">
        <f t="array" ref="A401">SSATSLineNumbers(A401,0.01)</f>
        <v>3.06</v>
      </c>
      <c r="B401" s="244" t="s">
        <v>431</v>
      </c>
      <c r="C401" s="66">
        <v>8.33</v>
      </c>
      <c r="D401" s="84"/>
      <c r="E401" s="457" t="str">
        <f>IF(E400="","[AUTO]",(E400*T401))</f>
        <v>[AUTO]</v>
      </c>
      <c r="F401" s="86">
        <f ca="1">P401</f>
        <v>7.33</v>
      </c>
      <c r="G401" s="86">
        <f ca="1">Q401</f>
        <v>9.33</v>
      </c>
      <c r="H401" s="86" t="str">
        <f ca="1">R401</f>
        <v>uA</v>
      </c>
      <c r="I401" s="59" t="str">
        <f>IF(E401 ="[AUTO]","TBC", IF(AND(E401&gt;=F401,E401&lt;=G401 ),"Pass","Fail"))</f>
        <v>TBC</v>
      </c>
      <c r="J401" s="184"/>
      <c r="K401" s="263" t="s">
        <v>80</v>
      </c>
      <c r="L401" s="184"/>
      <c r="M401" s="184"/>
      <c r="N401" s="184"/>
      <c r="O401" s="184"/>
      <c r="P401" s="245">
        <f ca="1">C401+(INDEX(tblProductScalesMeasures[Min],MATCH(_xlfn.CONCAT(B401),tblProductScalesMeasures[Description],0)))</f>
        <v>7.33</v>
      </c>
      <c r="Q401" s="245">
        <f ca="1">C401+(INDEX(tblProductScalesMeasures[Max],MATCH(_xlfn.CONCAT(B401),tblProductScalesMeasures[Description],0)))</f>
        <v>9.33</v>
      </c>
      <c r="R401" s="245" t="str">
        <f ca="1">(INDEX(tblProductScalesMeasures[Unit],MATCH(_xlfn.CONCAT(B401),tblProductScalesMeasures[Description],0)))</f>
        <v>uA</v>
      </c>
      <c r="S401" s="177"/>
      <c r="T401" s="245">
        <f ca="1">IF(COUNTIF(tblExempt[],R401)&gt;0,0,INDEX(tblScaling[Divider],MATCH(_xlfn.CONCAT(IF(ISNUMBER(SEARCH(" ",section_3_heading))=TRUE,SUBSTITUTE(section_3_heading," ",""),"")," ",R401),tblScaling[Description],0)))</f>
        <v>1000000</v>
      </c>
    </row>
    <row r="402" spans="1:36" s="180" customFormat="1" ht="16.5" hidden="1" customHeight="1" thickBot="1">
      <c r="A402" s="133"/>
      <c r="B402" s="237" t="s">
        <v>70</v>
      </c>
      <c r="C402" s="57"/>
      <c r="D402" s="57"/>
      <c r="E402" s="80"/>
      <c r="F402" s="57"/>
      <c r="G402" s="57"/>
      <c r="H402" s="57"/>
      <c r="I402" s="57"/>
      <c r="J402" s="184"/>
      <c r="K402" s="116" t="s">
        <v>27</v>
      </c>
      <c r="L402" s="116" t="s">
        <v>42</v>
      </c>
      <c r="M402" s="116" t="s">
        <v>129</v>
      </c>
      <c r="N402" s="116" t="str">
        <f ca="1">SUBSTITUTE(CELL("address",K400),"$","")</f>
        <v>K400</v>
      </c>
      <c r="O402" s="116" t="s">
        <v>130</v>
      </c>
      <c r="P402" s="228" t="s">
        <v>75</v>
      </c>
      <c r="Q402" s="250" t="str">
        <f ca="1">INDEX(tblGoSubRoutineStartCell[StartCell],MATCH(B402,tblGoSubRoutineStartCell[GoSub Routine],0))</f>
        <v>K56</v>
      </c>
      <c r="R402" s="184"/>
      <c r="S402" s="178"/>
      <c r="T402" s="178"/>
      <c r="U402" s="178"/>
      <c r="V402" s="178"/>
      <c r="W402" s="178"/>
      <c r="X402" s="178"/>
      <c r="Y402" s="178"/>
      <c r="Z402" s="178"/>
      <c r="AA402" s="178"/>
      <c r="AB402" s="178"/>
      <c r="AC402" s="178"/>
      <c r="AD402" s="178"/>
      <c r="AE402" s="178"/>
      <c r="AF402" s="178"/>
      <c r="AG402" s="178"/>
      <c r="AH402" s="178"/>
      <c r="AI402" s="178"/>
      <c r="AJ402" s="178"/>
    </row>
    <row r="403" spans="1:36" s="175" customFormat="1" ht="15" hidden="1">
      <c r="A403" s="130"/>
      <c r="B403" s="240" t="s">
        <v>426</v>
      </c>
      <c r="C403" s="78">
        <v>0</v>
      </c>
      <c r="D403" s="58"/>
      <c r="E403" s="58"/>
      <c r="F403" s="58"/>
      <c r="G403" s="58"/>
      <c r="H403" s="58"/>
      <c r="I403" s="58"/>
      <c r="J403" s="184"/>
      <c r="K403" s="241" t="str">
        <f>_xlfn.CONCAT("734|GND|OUT4|FLT(",C403,")")</f>
        <v>734|GND|OUT4|FLT(0)</v>
      </c>
      <c r="L403" s="334"/>
      <c r="M403" s="334"/>
      <c r="N403" s="334"/>
      <c r="O403" s="241"/>
      <c r="P403" s="241"/>
      <c r="Q403" s="184"/>
    </row>
    <row r="404" spans="1:36" s="175" customFormat="1" ht="15" hidden="1">
      <c r="A404" s="130"/>
      <c r="B404" s="246" t="s">
        <v>551</v>
      </c>
      <c r="C404" s="78">
        <v>27000</v>
      </c>
      <c r="D404" s="58"/>
      <c r="E404" s="58"/>
      <c r="F404" s="58"/>
      <c r="G404" s="58"/>
      <c r="H404" s="58"/>
      <c r="I404" s="58"/>
      <c r="J404" s="184"/>
      <c r="K404" s="334" t="s">
        <v>27</v>
      </c>
      <c r="L404" s="334" t="s">
        <v>42</v>
      </c>
      <c r="M404" s="216" t="s">
        <v>60</v>
      </c>
      <c r="N404" s="247" t="str">
        <f>B404</f>
        <v>Lens 2 Ramping down... DO NOT SKIP</v>
      </c>
      <c r="O404" s="210">
        <f>C404</f>
        <v>27000</v>
      </c>
      <c r="P404" s="184"/>
      <c r="Q404" s="184"/>
    </row>
    <row r="405" spans="1:36" s="175" customFormat="1" ht="15" hidden="1">
      <c r="A405" s="130"/>
      <c r="B405" s="240" t="s">
        <v>449</v>
      </c>
      <c r="C405" s="78">
        <v>6</v>
      </c>
      <c r="D405" s="58"/>
      <c r="E405" s="58"/>
      <c r="F405" s="58"/>
      <c r="G405" s="58"/>
      <c r="H405" s="58"/>
      <c r="I405" s="58"/>
      <c r="J405" s="184"/>
      <c r="K405" s="241" t="str">
        <f>_xlfn.CONCAT("734|GND|REG1|DEC(",C405,")")</f>
        <v>734|GND|REG1|DEC(6)</v>
      </c>
      <c r="L405" s="334"/>
      <c r="M405" s="334"/>
      <c r="N405" s="334"/>
      <c r="O405" s="241"/>
      <c r="P405" s="241"/>
      <c r="Q405" s="184"/>
    </row>
    <row r="406" spans="1:36" s="175" customFormat="1" ht="15" hidden="1">
      <c r="A406" s="130"/>
      <c r="B406" s="240" t="s">
        <v>343</v>
      </c>
      <c r="C406" s="78"/>
      <c r="D406" s="58"/>
      <c r="E406" s="58"/>
      <c r="F406" s="58"/>
      <c r="G406" s="58"/>
      <c r="H406" s="58"/>
      <c r="I406" s="58"/>
      <c r="J406" s="184"/>
      <c r="K406" s="334" t="s">
        <v>27</v>
      </c>
      <c r="L406" s="334" t="s">
        <v>313</v>
      </c>
      <c r="M406" s="334" t="s">
        <v>91</v>
      </c>
      <c r="N406" s="334" t="s">
        <v>315</v>
      </c>
      <c r="O406" s="241" t="s">
        <v>316</v>
      </c>
      <c r="P406" s="241" t="s">
        <v>312</v>
      </c>
      <c r="Q406" s="184"/>
    </row>
    <row r="407" spans="1:36" s="45" customFormat="1" ht="13.5" hidden="1" thickBot="1">
      <c r="A407" s="130"/>
      <c r="B407" s="84"/>
      <c r="C407" s="78"/>
      <c r="D407" s="58"/>
      <c r="E407" s="58"/>
      <c r="F407" s="58"/>
      <c r="G407" s="58"/>
      <c r="H407" s="58"/>
      <c r="I407" s="58"/>
      <c r="K407" s="50" t="s">
        <v>80</v>
      </c>
      <c r="R407" s="177"/>
      <c r="S407" s="177"/>
      <c r="T407" s="177"/>
      <c r="U407" s="177"/>
      <c r="V407" s="177"/>
      <c r="W407" s="177"/>
      <c r="X407" s="177"/>
      <c r="Y407" s="177"/>
      <c r="Z407" s="177"/>
      <c r="AA407" s="177"/>
      <c r="AB407" s="177"/>
      <c r="AC407" s="177"/>
      <c r="AD407" s="177"/>
      <c r="AE407" s="177"/>
      <c r="AF407" s="177"/>
      <c r="AG407" s="177"/>
      <c r="AH407" s="177"/>
      <c r="AI407" s="177"/>
      <c r="AJ407" s="177"/>
    </row>
    <row r="408" spans="1:36" s="175" customFormat="1" ht="20.25" hidden="1" customHeight="1" thickBot="1">
      <c r="A408" s="192"/>
      <c r="B408" s="266"/>
      <c r="C408" s="267"/>
      <c r="D408" s="269" t="s">
        <v>436</v>
      </c>
      <c r="E408" s="267"/>
      <c r="F408" s="267"/>
      <c r="G408" s="267"/>
      <c r="H408" s="267"/>
      <c r="I408" s="268"/>
      <c r="J408" s="184"/>
      <c r="K408" s="89" t="s">
        <v>80</v>
      </c>
      <c r="L408" s="184"/>
      <c r="M408" s="184"/>
      <c r="N408" s="184"/>
      <c r="O408" s="184"/>
      <c r="P408" s="184"/>
      <c r="Q408" s="184"/>
    </row>
    <row r="409" spans="1:36" s="45" customFormat="1" ht="13.5" hidden="1" thickBot="1">
      <c r="A409" s="130"/>
      <c r="B409" s="84"/>
      <c r="C409" s="78"/>
      <c r="D409" s="58"/>
      <c r="E409" s="58"/>
      <c r="F409" s="58"/>
      <c r="G409" s="58"/>
      <c r="H409" s="58"/>
      <c r="I409" s="58"/>
      <c r="K409" s="50" t="s">
        <v>80</v>
      </c>
      <c r="R409" s="177"/>
      <c r="S409" s="177"/>
      <c r="T409" s="177"/>
      <c r="U409" s="177"/>
      <c r="V409" s="177"/>
      <c r="W409" s="177"/>
      <c r="X409" s="177"/>
      <c r="Y409" s="177"/>
      <c r="Z409" s="177"/>
      <c r="AA409" s="177"/>
      <c r="AB409" s="177"/>
      <c r="AC409" s="177"/>
      <c r="AD409" s="177"/>
      <c r="AE409" s="177"/>
      <c r="AF409" s="177"/>
      <c r="AG409" s="177"/>
      <c r="AH409" s="177"/>
      <c r="AI409" s="177"/>
      <c r="AJ409" s="177"/>
    </row>
    <row r="410" spans="1:36" s="175" customFormat="1" ht="15.75" hidden="1" thickBot="1">
      <c r="A410" s="130"/>
      <c r="B410" s="264" t="s">
        <v>188</v>
      </c>
      <c r="C410" s="58"/>
      <c r="D410" s="58"/>
      <c r="E410" s="58"/>
      <c r="F410" s="58"/>
      <c r="G410" s="58"/>
      <c r="H410" s="58"/>
      <c r="I410" s="58"/>
      <c r="J410" s="263"/>
      <c r="K410" s="263" t="s">
        <v>77</v>
      </c>
      <c r="L410" s="263" t="s">
        <v>75</v>
      </c>
      <c r="M410" s="238" t="s">
        <v>437</v>
      </c>
      <c r="N410" s="184"/>
      <c r="O410" s="184"/>
      <c r="P410" s="184"/>
      <c r="Q410" s="184"/>
    </row>
    <row r="411" spans="1:36" s="175" customFormat="1" ht="15" hidden="1">
      <c r="A411" s="130"/>
      <c r="B411" s="240" t="s">
        <v>343</v>
      </c>
      <c r="C411" s="78"/>
      <c r="D411" s="58"/>
      <c r="E411" s="58"/>
      <c r="F411" s="58"/>
      <c r="G411" s="58"/>
      <c r="H411" s="58"/>
      <c r="I411" s="58"/>
      <c r="J411" s="184"/>
      <c r="K411" s="263" t="s">
        <v>27</v>
      </c>
      <c r="L411" s="263" t="s">
        <v>313</v>
      </c>
      <c r="M411" s="263" t="s">
        <v>91</v>
      </c>
      <c r="N411" s="263" t="s">
        <v>315</v>
      </c>
      <c r="O411" s="241" t="s">
        <v>316</v>
      </c>
      <c r="P411" s="241" t="s">
        <v>312</v>
      </c>
      <c r="Q411" s="184"/>
    </row>
    <row r="412" spans="1:36" s="175" customFormat="1" ht="15" hidden="1">
      <c r="A412" s="130"/>
      <c r="B412" s="240" t="s">
        <v>425</v>
      </c>
      <c r="C412" s="78">
        <v>7</v>
      </c>
      <c r="D412" s="58"/>
      <c r="E412" s="58"/>
      <c r="F412" s="58"/>
      <c r="G412" s="58"/>
      <c r="H412" s="58"/>
      <c r="I412" s="58"/>
      <c r="J412" s="184"/>
      <c r="K412" s="241" t="str">
        <f>_xlfn.CONCAT("734|GND|REG1|DEC(",C412,")")</f>
        <v>734|GND|REG1|DEC(7)</v>
      </c>
      <c r="L412" s="263"/>
      <c r="M412" s="263"/>
      <c r="N412" s="263"/>
      <c r="O412" s="241"/>
      <c r="P412" s="241"/>
      <c r="Q412" s="184"/>
    </row>
    <row r="413" spans="1:36" s="175" customFormat="1" ht="15" hidden="1">
      <c r="A413" s="130"/>
      <c r="B413" s="240" t="s">
        <v>438</v>
      </c>
      <c r="C413" s="78">
        <v>5</v>
      </c>
      <c r="D413" s="58"/>
      <c r="E413" s="58"/>
      <c r="F413" s="58"/>
      <c r="G413" s="58"/>
      <c r="H413" s="58"/>
      <c r="I413" s="58"/>
      <c r="J413" s="184"/>
      <c r="K413" s="263" t="s">
        <v>27</v>
      </c>
      <c r="L413" s="263" t="s">
        <v>313</v>
      </c>
      <c r="M413" s="263" t="s">
        <v>32</v>
      </c>
      <c r="N413" s="263" t="s">
        <v>315</v>
      </c>
      <c r="O413" s="241">
        <f>C413</f>
        <v>5</v>
      </c>
      <c r="P413" s="241"/>
      <c r="Q413" s="184"/>
    </row>
    <row r="414" spans="1:36" s="175" customFormat="1" ht="15" hidden="1">
      <c r="A414" s="130"/>
      <c r="B414" s="240" t="s">
        <v>426</v>
      </c>
      <c r="C414" s="78">
        <v>1100</v>
      </c>
      <c r="D414" s="58"/>
      <c r="E414" s="58"/>
      <c r="F414" s="58"/>
      <c r="G414" s="58"/>
      <c r="H414" s="58"/>
      <c r="I414" s="58"/>
      <c r="J414" s="184"/>
      <c r="K414" s="241" t="str">
        <f>_xlfn.CONCAT("734|GND|OUT4|FLT(",C414,")")</f>
        <v>734|GND|OUT4|FLT(1100)</v>
      </c>
      <c r="L414" s="263"/>
      <c r="M414" s="263"/>
      <c r="N414" s="263"/>
      <c r="O414" s="241"/>
      <c r="P414" s="241"/>
      <c r="Q414" s="184"/>
    </row>
    <row r="415" spans="1:36" s="175" customFormat="1" ht="58.5" hidden="1" customHeight="1" thickBot="1">
      <c r="A415" s="131"/>
      <c r="B415" s="249" t="str">
        <f>_xlfn.CONCAT("Please check the product GUI, if the current limit flag for ", section_3_heading," has not turned red, please wait until this happens. Please press yes to confirm")</f>
        <v>Please check the product GUI, if the current limit flag for Lens 2 has not turned red, please wait until this happens. Please press yes to confirm</v>
      </c>
      <c r="C415" s="113"/>
      <c r="D415" s="113"/>
      <c r="E415" s="437"/>
      <c r="F415" s="58"/>
      <c r="G415" s="58"/>
      <c r="H415" s="58"/>
      <c r="I415" s="59" t="str">
        <f>IF(E415 ="","TBC", IF(E415="Y","Pass","Fail"))</f>
        <v>TBC</v>
      </c>
      <c r="J415" s="184"/>
      <c r="K415" s="301" t="s">
        <v>27</v>
      </c>
      <c r="L415" s="89" t="s">
        <v>42</v>
      </c>
      <c r="M415" s="301" t="s">
        <v>332</v>
      </c>
      <c r="N415" s="184" t="s">
        <v>333</v>
      </c>
      <c r="O415" s="184" t="s">
        <v>421</v>
      </c>
      <c r="P415" s="184" t="s">
        <v>334</v>
      </c>
      <c r="Q415" s="184" t="str">
        <f>B415</f>
        <v>Please check the product GUI, if the current limit flag for Lens 2 has not turned red, please wait until this happens. Please press yes to confirm</v>
      </c>
    </row>
    <row r="416" spans="1:36" s="175" customFormat="1" ht="15.75" hidden="1" thickBot="1">
      <c r="A416" s="130"/>
      <c r="B416" s="255" t="s">
        <v>70</v>
      </c>
      <c r="C416" s="78"/>
      <c r="D416" s="58"/>
      <c r="E416" s="58"/>
      <c r="F416" s="58"/>
      <c r="G416" s="58"/>
      <c r="H416" s="58"/>
      <c r="I416" s="58"/>
      <c r="J416" s="184"/>
      <c r="K416" s="116" t="s">
        <v>27</v>
      </c>
      <c r="L416" s="116" t="s">
        <v>42</v>
      </c>
      <c r="M416" s="116" t="s">
        <v>129</v>
      </c>
      <c r="N416" s="116" t="str">
        <f ca="1">SUBSTITUTE(CELL("address",K410),"$","")</f>
        <v>K410</v>
      </c>
      <c r="O416" s="116" t="s">
        <v>130</v>
      </c>
      <c r="P416" s="228" t="s">
        <v>75</v>
      </c>
      <c r="Q416" s="185" t="str">
        <f ca="1">INDEX(tblGoSubRoutineStartCell[StartCell],MATCH(B416,tblGoSubRoutineStartCell[GoSub Routine],0))</f>
        <v>K56</v>
      </c>
    </row>
    <row r="417" spans="1:36" s="175" customFormat="1" ht="15.75" hidden="1" thickBot="1">
      <c r="A417" s="130"/>
      <c r="B417" s="240" t="s">
        <v>335</v>
      </c>
      <c r="C417" s="78"/>
      <c r="D417" s="58"/>
      <c r="E417" s="456"/>
      <c r="F417" s="58"/>
      <c r="G417" s="58"/>
      <c r="H417" s="58"/>
      <c r="I417" s="58"/>
      <c r="J417" s="184"/>
      <c r="K417" s="263" t="s">
        <v>27</v>
      </c>
      <c r="L417" s="263" t="s">
        <v>319</v>
      </c>
      <c r="M417" s="263" t="s">
        <v>55</v>
      </c>
      <c r="N417" s="241" t="s">
        <v>310</v>
      </c>
      <c r="P417" s="241"/>
      <c r="Q417" s="184"/>
    </row>
    <row r="418" spans="1:36" s="175" customFormat="1" ht="16.5" hidden="1" customHeight="1" thickBot="1">
      <c r="A418" s="132" cm="1">
        <f t="array" ref="A418">SSATSLineNumbers(A418,0.01)</f>
        <v>3.07</v>
      </c>
      <c r="B418" s="244" t="s">
        <v>439</v>
      </c>
      <c r="C418" s="84">
        <v>30</v>
      </c>
      <c r="D418" s="211"/>
      <c r="E418" s="458" t="str">
        <f>IF(E417="","[AUTO]",(E417*T418))</f>
        <v>[AUTO]</v>
      </c>
      <c r="F418" s="212">
        <f ca="1">P418</f>
        <v>30</v>
      </c>
      <c r="G418" s="86">
        <f ca="1">Q418</f>
        <v>33</v>
      </c>
      <c r="H418" s="86" t="str">
        <f ca="1">R418</f>
        <v>uA</v>
      </c>
      <c r="I418" s="59" t="str">
        <f>IF(E418 ="[AUTO]","TBC", IF(AND(E418&gt;=F418,E418&lt;=G418 ),"Pass","Fail"))</f>
        <v>TBC</v>
      </c>
      <c r="J418" s="184"/>
      <c r="K418" s="263" t="s">
        <v>80</v>
      </c>
      <c r="L418" s="184"/>
      <c r="M418" s="184"/>
      <c r="N418" s="184"/>
      <c r="O418" s="184"/>
      <c r="P418" s="245">
        <f ca="1">C418+(INDEX(tblProductScalesMeasures[Min],MATCH(_xlfn.CONCAT(B418),tblProductScalesMeasures[Description],0)))</f>
        <v>30</v>
      </c>
      <c r="Q418" s="245">
        <f ca="1">C418+(INDEX(tblProductScalesMeasures[Max],MATCH(_xlfn.CONCAT(B418),tblProductScalesMeasures[Description],0)))</f>
        <v>33</v>
      </c>
      <c r="R418" s="245" t="str">
        <f ca="1">(INDEX(tblProductScalesMeasures[Unit],MATCH(_xlfn.CONCAT(B418),tblProductScalesMeasures[Description],0)))</f>
        <v>uA</v>
      </c>
      <c r="S418" s="177"/>
      <c r="T418" s="245">
        <f ca="1">IF(COUNTIF(tblExempt[],R418)&gt;0,0,INDEX(tblScaling[Divider],MATCH(_xlfn.CONCAT(IF(ISNUMBER(SEARCH(" ",section_3_heading))=TRUE,SUBSTITUTE(section_3_heading," ",""),"")," ",R418),tblScaling[Description],0)))</f>
        <v>1000000</v>
      </c>
      <c r="U418" s="184"/>
    </row>
    <row r="419" spans="1:36" s="175" customFormat="1" ht="15.75" hidden="1" thickBot="1">
      <c r="A419" s="130"/>
      <c r="B419" s="240" t="s">
        <v>426</v>
      </c>
      <c r="C419" s="78">
        <v>15000</v>
      </c>
      <c r="D419" s="58"/>
      <c r="E419" s="58"/>
      <c r="F419" s="58"/>
      <c r="G419" s="58"/>
      <c r="H419" s="58"/>
      <c r="I419" s="58"/>
      <c r="J419" s="184"/>
      <c r="K419" s="241" t="str">
        <f>_xlfn.CONCAT("734|GND|OUT4|FLT(",C419,")")</f>
        <v>734|GND|OUT4|FLT(15000)</v>
      </c>
      <c r="L419" s="301"/>
      <c r="M419" s="301"/>
      <c r="N419" s="301"/>
      <c r="O419" s="241"/>
      <c r="P419" s="241"/>
      <c r="Q419" s="184"/>
    </row>
    <row r="420" spans="1:36" s="175" customFormat="1" ht="15.75" hidden="1" thickBot="1">
      <c r="A420" s="130"/>
      <c r="B420" s="255" t="s">
        <v>70</v>
      </c>
      <c r="C420" s="78"/>
      <c r="D420" s="58"/>
      <c r="E420" s="58"/>
      <c r="F420" s="58"/>
      <c r="G420" s="58"/>
      <c r="H420" s="58"/>
      <c r="I420" s="58"/>
      <c r="J420" s="184"/>
      <c r="K420" s="116" t="s">
        <v>27</v>
      </c>
      <c r="L420" s="116" t="s">
        <v>42</v>
      </c>
      <c r="M420" s="116" t="s">
        <v>129</v>
      </c>
      <c r="N420" s="116" t="str">
        <f ca="1">SUBSTITUTE(CELL("address",K410),"$","")</f>
        <v>K410</v>
      </c>
      <c r="O420" s="116" t="s">
        <v>130</v>
      </c>
      <c r="P420" s="228" t="s">
        <v>75</v>
      </c>
      <c r="Q420" s="185" t="str">
        <f ca="1">INDEX(tblGoSubRoutineStartCell[StartCell],MATCH(B420,tblGoSubRoutineStartCell[GoSub Routine],0))</f>
        <v>K56</v>
      </c>
    </row>
    <row r="421" spans="1:36" s="175" customFormat="1" ht="15" hidden="1">
      <c r="A421" s="130"/>
      <c r="B421" s="253" t="s">
        <v>523</v>
      </c>
      <c r="C421" s="78">
        <v>10000</v>
      </c>
      <c r="D421" s="58"/>
      <c r="E421" s="58"/>
      <c r="F421" s="58"/>
      <c r="G421" s="58"/>
      <c r="H421" s="58"/>
      <c r="I421" s="58"/>
      <c r="J421" s="184"/>
      <c r="K421" s="301" t="s">
        <v>27</v>
      </c>
      <c r="L421" s="301" t="s">
        <v>42</v>
      </c>
      <c r="M421" s="216" t="s">
        <v>60</v>
      </c>
      <c r="N421" s="247" t="str">
        <f>B421</f>
        <v>Settling…</v>
      </c>
      <c r="O421" s="210">
        <f>C421</f>
        <v>10000</v>
      </c>
      <c r="P421" s="184"/>
      <c r="Q421" s="184"/>
    </row>
    <row r="422" spans="1:36" s="175" customFormat="1" ht="41.25" hidden="1" customHeight="1" thickBot="1">
      <c r="A422" s="131"/>
      <c r="B422" s="249" t="str">
        <f>_xlfn.CONCAT("Please check product GUI to see if a fault OR arc detect has occurred on ",section_3_heading, " This mean the UUT has tripped.")</f>
        <v>Please check product GUI to see if a fault OR arc detect has occurred on Lens 2 This mean the UUT has tripped.</v>
      </c>
      <c r="C422" s="113"/>
      <c r="D422" s="113"/>
      <c r="E422" s="437"/>
      <c r="F422" s="58"/>
      <c r="G422" s="58"/>
      <c r="H422" s="58"/>
      <c r="I422" s="59" t="str">
        <f>IF(E422 ="","TBC", IF(E422="Y","Pass","Fail"))</f>
        <v>TBC</v>
      </c>
      <c r="J422" s="184"/>
      <c r="K422" s="263" t="s">
        <v>27</v>
      </c>
      <c r="L422" s="89" t="s">
        <v>42</v>
      </c>
      <c r="M422" s="263" t="s">
        <v>332</v>
      </c>
      <c r="N422" s="184" t="s">
        <v>333</v>
      </c>
      <c r="O422" s="184" t="s">
        <v>421</v>
      </c>
      <c r="P422" s="184" t="s">
        <v>334</v>
      </c>
      <c r="Q422" s="184" t="str">
        <f>B422</f>
        <v>Please check product GUI to see if a fault OR arc detect has occurred on Lens 2 This mean the UUT has tripped.</v>
      </c>
    </row>
    <row r="423" spans="1:36" s="175" customFormat="1" ht="15.75" hidden="1" thickBot="1">
      <c r="A423" s="130"/>
      <c r="B423" s="255" t="s">
        <v>70</v>
      </c>
      <c r="C423" s="78"/>
      <c r="D423" s="58"/>
      <c r="E423" s="58"/>
      <c r="F423" s="58"/>
      <c r="G423" s="58"/>
      <c r="H423" s="58"/>
      <c r="I423" s="58"/>
      <c r="J423" s="184"/>
      <c r="K423" s="116" t="s">
        <v>27</v>
      </c>
      <c r="L423" s="116" t="s">
        <v>42</v>
      </c>
      <c r="M423" s="116" t="s">
        <v>129</v>
      </c>
      <c r="N423" s="116" t="str">
        <f ca="1">SUBSTITUTE(CELL("address",K410),"$","")</f>
        <v>K410</v>
      </c>
      <c r="O423" s="116" t="s">
        <v>130</v>
      </c>
      <c r="P423" s="228" t="s">
        <v>75</v>
      </c>
      <c r="Q423" s="185" t="str">
        <f ca="1">INDEX(tblGoSubRoutineStartCell[StartCell],MATCH(B423,tblGoSubRoutineStartCell[GoSub Routine],0))</f>
        <v>K56</v>
      </c>
    </row>
    <row r="424" spans="1:36" s="175" customFormat="1" ht="40.5" hidden="1" customHeight="1" thickBot="1">
      <c r="A424" s="131"/>
      <c r="B424" s="249" t="s">
        <v>440</v>
      </c>
      <c r="C424" s="113"/>
      <c r="D424" s="113"/>
      <c r="E424" s="437"/>
      <c r="F424" s="58"/>
      <c r="G424" s="58"/>
      <c r="H424" s="58"/>
      <c r="I424" s="59" t="str">
        <f>IF(E424 ="","TBC", IF(E424="Y","Pass","Fail"))</f>
        <v>TBC</v>
      </c>
      <c r="J424" s="184"/>
      <c r="K424" s="263" t="s">
        <v>27</v>
      </c>
      <c r="L424" s="89" t="s">
        <v>42</v>
      </c>
      <c r="M424" s="263" t="s">
        <v>332</v>
      </c>
      <c r="N424" s="184" t="s">
        <v>333</v>
      </c>
      <c r="O424" s="184" t="s">
        <v>421</v>
      </c>
      <c r="P424" s="184" t="s">
        <v>334</v>
      </c>
      <c r="Q424" s="184" t="str">
        <f>B424</f>
        <v>Please check the front of the UUT to see if LENS 2 fault LED is illuminated. Is it illuminated?</v>
      </c>
    </row>
    <row r="425" spans="1:36" s="175" customFormat="1" ht="15.75" hidden="1" thickBot="1">
      <c r="A425" s="130"/>
      <c r="B425" s="255" t="s">
        <v>70</v>
      </c>
      <c r="C425" s="78"/>
      <c r="D425" s="58"/>
      <c r="E425" s="58"/>
      <c r="F425" s="58"/>
      <c r="G425" s="58"/>
      <c r="H425" s="58"/>
      <c r="I425" s="58"/>
      <c r="J425" s="184"/>
      <c r="K425" s="116" t="s">
        <v>27</v>
      </c>
      <c r="L425" s="116" t="s">
        <v>42</v>
      </c>
      <c r="M425" s="116" t="s">
        <v>129</v>
      </c>
      <c r="N425" s="116" t="str">
        <f ca="1">SUBSTITUTE(CELL("address",K410),"$","")</f>
        <v>K410</v>
      </c>
      <c r="O425" s="116" t="s">
        <v>130</v>
      </c>
      <c r="P425" s="228" t="s">
        <v>75</v>
      </c>
      <c r="Q425" s="185" t="str">
        <f ca="1">INDEX(tblGoSubRoutineStartCell[StartCell],MATCH(B425,tblGoSubRoutineStartCell[GoSub Routine],0))</f>
        <v>K56</v>
      </c>
    </row>
    <row r="426" spans="1:36" s="175" customFormat="1" ht="40.5" hidden="1" customHeight="1" thickBot="1">
      <c r="A426" s="131"/>
      <c r="B426" s="253" t="s">
        <v>524</v>
      </c>
      <c r="C426" s="113"/>
      <c r="D426" s="113"/>
      <c r="E426" s="437"/>
      <c r="F426" s="58"/>
      <c r="G426" s="58"/>
      <c r="H426" s="58"/>
      <c r="I426" s="59" t="str">
        <f>IF(E426 ="","TBC", IF(E426="Y","Pass","Fail"))</f>
        <v>TBC</v>
      </c>
      <c r="J426" s="184"/>
      <c r="K426" s="301" t="s">
        <v>27</v>
      </c>
      <c r="L426" s="89" t="s">
        <v>42</v>
      </c>
      <c r="M426" s="301" t="s">
        <v>332</v>
      </c>
      <c r="N426" s="184" t="s">
        <v>333</v>
      </c>
      <c r="O426" s="184" t="s">
        <v>421</v>
      </c>
      <c r="P426" s="184" t="s">
        <v>334</v>
      </c>
      <c r="Q426" s="184" t="str">
        <f>B426</f>
        <v>Please press "Reset" on the product GUI, and wait for Polling to restart. Press yes if the UUT continues communicating.</v>
      </c>
    </row>
    <row r="427" spans="1:36" s="175" customFormat="1" ht="15.75" hidden="1" thickBot="1">
      <c r="A427" s="130"/>
      <c r="B427" s="255" t="s">
        <v>70</v>
      </c>
      <c r="C427" s="78"/>
      <c r="D427" s="58"/>
      <c r="E427" s="58"/>
      <c r="F427" s="58"/>
      <c r="G427" s="58"/>
      <c r="H427" s="58"/>
      <c r="I427" s="58"/>
      <c r="J427" s="184"/>
      <c r="K427" s="116" t="s">
        <v>27</v>
      </c>
      <c r="L427" s="116" t="s">
        <v>42</v>
      </c>
      <c r="M427" s="116" t="s">
        <v>129</v>
      </c>
      <c r="N427" s="116" t="str">
        <f ca="1">SUBSTITUTE(CELL("address",K410),"$","")</f>
        <v>K410</v>
      </c>
      <c r="O427" s="116" t="s">
        <v>130</v>
      </c>
      <c r="P427" s="228" t="s">
        <v>75</v>
      </c>
      <c r="Q427" s="185" t="str">
        <f ca="1">INDEX(tblGoSubRoutineStartCell[StartCell],MATCH(B427,tblGoSubRoutineStartCell[GoSub Routine],0))</f>
        <v>K56</v>
      </c>
    </row>
    <row r="428" spans="1:36" s="175" customFormat="1" ht="67.5" hidden="1" customHeight="1" thickBot="1">
      <c r="A428" s="131"/>
      <c r="B428" s="249" t="s">
        <v>441</v>
      </c>
      <c r="C428" s="113"/>
      <c r="D428" s="113"/>
      <c r="E428" s="437"/>
      <c r="F428" s="58"/>
      <c r="G428" s="58"/>
      <c r="H428" s="58"/>
      <c r="I428" s="59" t="str">
        <f>IF(E428 ="","TBC", IF(E428="Y","Pass","Fail"))</f>
        <v>TBC</v>
      </c>
      <c r="J428" s="184"/>
      <c r="K428" s="263" t="s">
        <v>27</v>
      </c>
      <c r="L428" s="89" t="s">
        <v>42</v>
      </c>
      <c r="M428" s="263" t="s">
        <v>332</v>
      </c>
      <c r="N428" s="184" t="s">
        <v>333</v>
      </c>
      <c r="O428" s="184" t="s">
        <v>421</v>
      </c>
      <c r="P428" s="184" t="s">
        <v>334</v>
      </c>
      <c r="Q428" s="184" t="str">
        <f>B428</f>
        <v>Now the GUI has been refreshed, please check the GUI to monitor if the error has cleared, and that the fault LED for LENS 2 on the UUT has gone out. Are these both true?</v>
      </c>
    </row>
    <row r="429" spans="1:36" s="180" customFormat="1" ht="16.5" hidden="1" customHeight="1" thickBot="1">
      <c r="A429" s="133"/>
      <c r="B429" s="255" t="s">
        <v>70</v>
      </c>
      <c r="C429" s="57"/>
      <c r="D429" s="57"/>
      <c r="E429" s="80"/>
      <c r="F429" s="57"/>
      <c r="G429" s="57"/>
      <c r="H429" s="57"/>
      <c r="I429" s="57"/>
      <c r="J429" s="184"/>
      <c r="K429" s="116" t="s">
        <v>27</v>
      </c>
      <c r="L429" s="116" t="s">
        <v>42</v>
      </c>
      <c r="M429" s="116" t="s">
        <v>129</v>
      </c>
      <c r="N429" s="116" t="str">
        <f ca="1">SUBSTITUTE(CELL("address",K410),"$","")</f>
        <v>K410</v>
      </c>
      <c r="O429" s="116" t="s">
        <v>130</v>
      </c>
      <c r="P429" s="228" t="s">
        <v>75</v>
      </c>
      <c r="Q429" s="250" t="str">
        <f ca="1">INDEX(tblGoSubRoutineStartCell[StartCell],MATCH(B429,tblGoSubRoutineStartCell[GoSub Routine],0))</f>
        <v>K56</v>
      </c>
      <c r="R429" s="184"/>
      <c r="S429" s="178"/>
      <c r="T429" s="178"/>
      <c r="U429" s="178"/>
      <c r="V429" s="178"/>
      <c r="W429" s="178"/>
      <c r="X429" s="178"/>
      <c r="Y429" s="178"/>
      <c r="Z429" s="178"/>
      <c r="AA429" s="178"/>
      <c r="AB429" s="178"/>
      <c r="AC429" s="178"/>
      <c r="AD429" s="178"/>
      <c r="AE429" s="178"/>
      <c r="AF429" s="178"/>
      <c r="AG429" s="178"/>
      <c r="AH429" s="178"/>
      <c r="AI429" s="178"/>
      <c r="AJ429" s="178"/>
    </row>
    <row r="430" spans="1:36" s="175" customFormat="1" ht="15" hidden="1">
      <c r="A430" s="130"/>
      <c r="B430" s="240" t="s">
        <v>343</v>
      </c>
      <c r="C430" s="78"/>
      <c r="D430" s="58"/>
      <c r="E430" s="58"/>
      <c r="F430" s="58"/>
      <c r="G430" s="58"/>
      <c r="H430" s="58"/>
      <c r="I430" s="58"/>
      <c r="J430" s="184"/>
      <c r="K430" s="263" t="s">
        <v>27</v>
      </c>
      <c r="L430" s="263" t="s">
        <v>313</v>
      </c>
      <c r="M430" s="263" t="s">
        <v>91</v>
      </c>
      <c r="N430" s="263" t="s">
        <v>315</v>
      </c>
      <c r="O430" s="241" t="s">
        <v>316</v>
      </c>
      <c r="P430" s="241" t="s">
        <v>312</v>
      </c>
      <c r="Q430" s="184"/>
    </row>
    <row r="431" spans="1:36" s="175" customFormat="1" ht="15" hidden="1">
      <c r="A431" s="130"/>
      <c r="B431" s="240" t="s">
        <v>425</v>
      </c>
      <c r="C431" s="78">
        <v>7</v>
      </c>
      <c r="D431" s="58"/>
      <c r="E431" s="58"/>
      <c r="F431" s="58"/>
      <c r="G431" s="58"/>
      <c r="H431" s="58"/>
      <c r="I431" s="58"/>
      <c r="J431" s="184"/>
      <c r="K431" s="241" t="str">
        <f>_xlfn.CONCAT("734|GND|REG1|DEC(",C431,")")</f>
        <v>734|GND|REG1|DEC(7)</v>
      </c>
      <c r="L431" s="263"/>
      <c r="M431" s="263"/>
      <c r="N431" s="263"/>
      <c r="O431" s="241"/>
      <c r="P431" s="241"/>
      <c r="Q431" s="184"/>
    </row>
    <row r="432" spans="1:36" s="175" customFormat="1" ht="15" hidden="1">
      <c r="A432" s="130"/>
      <c r="B432" s="240" t="s">
        <v>442</v>
      </c>
      <c r="C432" s="78">
        <v>3</v>
      </c>
      <c r="D432" s="58"/>
      <c r="E432" s="58"/>
      <c r="F432" s="58"/>
      <c r="G432" s="58"/>
      <c r="H432" s="58"/>
      <c r="I432" s="58"/>
      <c r="J432" s="184"/>
      <c r="K432" s="263" t="s">
        <v>27</v>
      </c>
      <c r="L432" s="263" t="s">
        <v>313</v>
      </c>
      <c r="M432" s="263" t="s">
        <v>32</v>
      </c>
      <c r="N432" s="263" t="s">
        <v>315</v>
      </c>
      <c r="O432" s="241">
        <f>C432</f>
        <v>3</v>
      </c>
      <c r="P432" s="241"/>
      <c r="Q432" s="184"/>
    </row>
    <row r="433" spans="1:36" s="175" customFormat="1" ht="15" hidden="1">
      <c r="A433" s="130"/>
      <c r="B433" s="240" t="s">
        <v>426</v>
      </c>
      <c r="C433" s="78">
        <v>22650</v>
      </c>
      <c r="D433" s="58"/>
      <c r="E433" s="58"/>
      <c r="F433" s="58"/>
      <c r="G433" s="58"/>
      <c r="H433" s="58"/>
      <c r="I433" s="58"/>
      <c r="J433" s="184"/>
      <c r="K433" s="241" t="str">
        <f>_xlfn.CONCAT("734|GND|OUT4|FLT(",C433,")")</f>
        <v>734|GND|OUT4|FLT(22650)</v>
      </c>
      <c r="L433" s="263"/>
      <c r="M433" s="263"/>
      <c r="N433" s="263"/>
      <c r="O433" s="241"/>
      <c r="P433" s="241"/>
      <c r="Q433" s="184"/>
    </row>
    <row r="434" spans="1:36" s="175" customFormat="1" ht="15" hidden="1">
      <c r="A434" s="130"/>
      <c r="B434" s="249" t="s">
        <v>432</v>
      </c>
      <c r="C434" s="78">
        <v>28000</v>
      </c>
      <c r="D434" s="58"/>
      <c r="E434" s="58"/>
      <c r="F434" s="58"/>
      <c r="G434" s="58"/>
      <c r="H434" s="58"/>
      <c r="I434" s="58"/>
      <c r="J434" s="184"/>
      <c r="K434" s="263" t="s">
        <v>27</v>
      </c>
      <c r="L434" s="263" t="s">
        <v>42</v>
      </c>
      <c r="M434" s="216" t="s">
        <v>60</v>
      </c>
      <c r="N434" s="247" t="str">
        <f>B434</f>
        <v>Lens 2 Initialising…</v>
      </c>
      <c r="O434" s="210">
        <f>C434</f>
        <v>28000</v>
      </c>
      <c r="P434" s="184"/>
      <c r="Q434" s="184"/>
    </row>
    <row r="435" spans="1:36" s="175" customFormat="1" ht="15.75" hidden="1" customHeight="1" thickBot="1">
      <c r="A435" s="130"/>
      <c r="B435" s="240" t="s">
        <v>335</v>
      </c>
      <c r="C435" s="78"/>
      <c r="D435" s="58"/>
      <c r="E435" s="459"/>
      <c r="F435" s="58"/>
      <c r="G435" s="58"/>
      <c r="H435" s="58"/>
      <c r="I435" s="58"/>
      <c r="J435" s="184"/>
      <c r="K435" s="263" t="s">
        <v>27</v>
      </c>
      <c r="L435" s="263" t="s">
        <v>319</v>
      </c>
      <c r="M435" s="263" t="s">
        <v>55</v>
      </c>
      <c r="N435" s="241" t="s">
        <v>310</v>
      </c>
      <c r="O435" s="184"/>
      <c r="P435" s="184"/>
      <c r="Q435" s="184"/>
    </row>
    <row r="436" spans="1:36" s="45" customFormat="1" ht="16.5" hidden="1" customHeight="1" thickBot="1">
      <c r="A436" s="132" cm="1">
        <f t="array" ref="A436">SSATSLineNumbers(A436,0.01)</f>
        <v>3.08</v>
      </c>
      <c r="B436" s="244" t="str">
        <f ca="1">ATE_Settings!Y67</f>
        <v>L2 Output Current @ 28uA (uA)</v>
      </c>
      <c r="C436" s="243"/>
      <c r="D436" s="84"/>
      <c r="E436" s="457" t="str">
        <f>IF(E435="","[AUTO]",(E435*T436))</f>
        <v>[AUTO]</v>
      </c>
      <c r="F436" s="86">
        <f ca="1">P436</f>
        <v>25.5</v>
      </c>
      <c r="G436" s="86">
        <f ca="1">Q436</f>
        <v>29.5</v>
      </c>
      <c r="H436" s="86" t="str">
        <f ca="1">R436</f>
        <v>uA</v>
      </c>
      <c r="I436" s="59" t="str">
        <f>IF(E436 ="[AUTO]","TBC", IF(AND(E436&gt;=F436,E436&lt;=G436 ),"Pass","Fail"))</f>
        <v>TBC</v>
      </c>
      <c r="J436" s="184"/>
      <c r="K436" s="263" t="s">
        <v>80</v>
      </c>
      <c r="L436" s="263"/>
      <c r="M436" s="263"/>
      <c r="N436" s="263"/>
      <c r="O436" s="184"/>
      <c r="P436" s="245">
        <f ca="1">C436+(INDEX(tblProductScalesMeasures[Min],MATCH(_xlfn.CONCAT(B436),tblProductScalesMeasures[Description],0)))</f>
        <v>25.5</v>
      </c>
      <c r="Q436" s="245">
        <f ca="1">C436+(INDEX(tblProductScalesMeasures[Max],MATCH(_xlfn.CONCAT(B436),tblProductScalesMeasures[Description],0)))</f>
        <v>29.5</v>
      </c>
      <c r="R436" s="245" t="str">
        <f ca="1">(INDEX(tblProductScalesMeasures[Unit],MATCH(_xlfn.CONCAT(B436),tblProductScalesMeasures[Description],0)))</f>
        <v>uA</v>
      </c>
      <c r="S436" s="177"/>
      <c r="T436" s="245">
        <f ca="1">IF(COUNTIF(tblExempt[],R436)&gt;0,0,INDEX(tblScaling[Divider],MATCH(_xlfn.CONCAT(IF(ISNUMBER(SEARCH(" ",section_3_heading))=TRUE,SUBSTITUTE(section_3_heading," ",""),"")," ",R436),tblScaling[Description],0)))</f>
        <v>1000000</v>
      </c>
      <c r="U436" s="177"/>
      <c r="V436" s="177"/>
      <c r="W436" s="177"/>
      <c r="X436" s="177"/>
      <c r="Y436" s="177"/>
      <c r="Z436" s="177"/>
      <c r="AA436" s="177"/>
      <c r="AB436" s="177"/>
      <c r="AC436" s="177"/>
      <c r="AD436" s="177"/>
      <c r="AE436" s="177"/>
      <c r="AF436" s="177"/>
      <c r="AG436" s="177"/>
      <c r="AH436" s="177"/>
      <c r="AI436" s="177"/>
      <c r="AJ436" s="177"/>
    </row>
    <row r="437" spans="1:36" s="180" customFormat="1" ht="16.5" hidden="1" customHeight="1" thickBot="1">
      <c r="A437" s="133"/>
      <c r="B437" s="237" t="s">
        <v>70</v>
      </c>
      <c r="C437" s="57"/>
      <c r="D437" s="57"/>
      <c r="E437" s="80"/>
      <c r="F437" s="57"/>
      <c r="G437" s="57"/>
      <c r="H437" s="57"/>
      <c r="I437" s="57"/>
      <c r="J437" s="184"/>
      <c r="K437" s="116" t="s">
        <v>27</v>
      </c>
      <c r="L437" s="116" t="s">
        <v>42</v>
      </c>
      <c r="M437" s="116" t="s">
        <v>129</v>
      </c>
      <c r="N437" s="116" t="str">
        <f ca="1">SUBSTITUTE(CELL("address",K435),"$","")</f>
        <v>K435</v>
      </c>
      <c r="O437" s="116" t="s">
        <v>130</v>
      </c>
      <c r="P437" s="228" t="s">
        <v>75</v>
      </c>
      <c r="Q437" s="250" t="str">
        <f ca="1">INDEX(tblGoSubRoutineStartCell[StartCell],MATCH(B437,tblGoSubRoutineStartCell[GoSub Routine],0))</f>
        <v>K56</v>
      </c>
      <c r="R437" s="184"/>
      <c r="S437" s="178"/>
      <c r="T437" s="178"/>
      <c r="U437" s="178"/>
      <c r="V437" s="178"/>
      <c r="W437" s="178"/>
      <c r="X437" s="178"/>
      <c r="Y437" s="178"/>
      <c r="Z437" s="178"/>
      <c r="AA437" s="178"/>
      <c r="AB437" s="178"/>
      <c r="AC437" s="178"/>
      <c r="AD437" s="178"/>
      <c r="AE437" s="178"/>
      <c r="AF437" s="178"/>
      <c r="AG437" s="178"/>
      <c r="AH437" s="178"/>
      <c r="AI437" s="178"/>
      <c r="AJ437" s="178"/>
    </row>
    <row r="438" spans="1:36" s="45" customFormat="1" ht="16.5" hidden="1" customHeight="1" thickBot="1">
      <c r="A438" s="132" cm="1">
        <f t="array" ref="A438">SSATSLineNumbers(A438,0.01)</f>
        <v>3.09</v>
      </c>
      <c r="B438" s="244" t="s">
        <v>353</v>
      </c>
      <c r="C438" s="66"/>
      <c r="D438" s="84"/>
      <c r="E438" s="437"/>
      <c r="F438" s="113"/>
      <c r="G438" s="113"/>
      <c r="H438" s="113"/>
      <c r="I438" s="113"/>
      <c r="J438" s="184"/>
      <c r="K438" s="241" t="s">
        <v>550</v>
      </c>
      <c r="L438" s="263"/>
      <c r="M438" s="263"/>
      <c r="N438" s="263"/>
      <c r="O438" s="184"/>
      <c r="P438" s="217"/>
      <c r="Q438" s="217"/>
      <c r="R438" s="217"/>
      <c r="S438" s="177"/>
      <c r="T438" s="217"/>
      <c r="U438" s="177"/>
      <c r="V438" s="177"/>
      <c r="W438" s="177"/>
      <c r="X438" s="177"/>
      <c r="Y438" s="177"/>
      <c r="Z438" s="177"/>
      <c r="AA438" s="177"/>
      <c r="AB438" s="177"/>
      <c r="AC438" s="177"/>
      <c r="AD438" s="177"/>
      <c r="AE438" s="177"/>
      <c r="AF438" s="177"/>
      <c r="AG438" s="177"/>
      <c r="AH438" s="177"/>
      <c r="AI438" s="177"/>
      <c r="AJ438" s="177"/>
    </row>
    <row r="439" spans="1:36" s="180" customFormat="1" ht="15.75" hidden="1" thickBot="1">
      <c r="A439" s="132" cm="1">
        <f t="array" ref="A439">SSATSLineNumbers(A439,0.01)</f>
        <v>3.1</v>
      </c>
      <c r="B439" s="244" t="str">
        <f ca="1">ATE_Settings!Y68</f>
        <v>L2 Current Monitor Error (%)</v>
      </c>
      <c r="C439" s="66"/>
      <c r="D439" s="206"/>
      <c r="E439" s="454" t="str">
        <f>IF(OR(E436="[AUTO]",E438=""),"[AUTO]",((E436-E438)/E438)*100)</f>
        <v>[AUTO]</v>
      </c>
      <c r="F439" s="207">
        <f ca="1">Q439</f>
        <v>-3</v>
      </c>
      <c r="G439" s="86">
        <f ca="1">R439</f>
        <v>3</v>
      </c>
      <c r="H439" s="86" t="str">
        <f ca="1">S439</f>
        <v>%</v>
      </c>
      <c r="I439" s="59" t="str">
        <f>IF(E439 ="[AUTO]","TBC", IF(AND(E439&gt;=F439,E439&lt;=G439 ),"Pass","Fail"))</f>
        <v>TBC</v>
      </c>
      <c r="J439" s="184"/>
      <c r="K439" s="263" t="s">
        <v>80</v>
      </c>
      <c r="M439" s="184"/>
      <c r="N439" s="184"/>
      <c r="O439" s="184"/>
      <c r="P439" s="184"/>
      <c r="Q439" s="204">
        <f ca="1">C439+(INDEX(tblProductScalesMeasures[Min],MATCH(_xlfn.CONCAT(B439),tblProductScalesMeasures[Description],0)))</f>
        <v>-3</v>
      </c>
      <c r="R439" s="204">
        <f ca="1">C439+(INDEX(tblProductScalesMeasures[Max],MATCH(_xlfn.CONCAT(B439),tblProductScalesMeasures[Description],0)))</f>
        <v>3</v>
      </c>
      <c r="S439" s="205" t="str">
        <f ca="1">(INDEX(tblProductScalesMeasures[Unit],MATCH(_xlfn.CONCAT(B439),tblProductScalesMeasures[Description],0)))</f>
        <v>%</v>
      </c>
      <c r="T439" s="203"/>
      <c r="U439" s="205">
        <f ca="1">IF(COUNTIF(tblExempt[],S439)&gt;0,0,INDEX(tblScaling[Divider],MATCH(_xlfn.CONCAT(IF(ISNUMBER(SEARCH(" ",section_3_heading))=TRUE,SUBSTITUTE(section_3_heading," ",""),"")," ",S439),tblScaling[Description],0)))</f>
        <v>0</v>
      </c>
      <c r="V439" s="178"/>
      <c r="W439" s="178"/>
      <c r="X439" s="178"/>
      <c r="Y439" s="178"/>
      <c r="Z439" s="178"/>
      <c r="AA439" s="178"/>
      <c r="AB439" s="178"/>
      <c r="AC439" s="178"/>
      <c r="AD439" s="178"/>
      <c r="AE439" s="178"/>
      <c r="AF439" s="178"/>
      <c r="AG439" s="178"/>
      <c r="AH439" s="178"/>
      <c r="AI439" s="178"/>
      <c r="AJ439" s="178"/>
    </row>
    <row r="440" spans="1:36" s="180" customFormat="1" ht="16.5" hidden="1" customHeight="1" thickBot="1">
      <c r="A440" s="133"/>
      <c r="B440" s="237" t="s">
        <v>70</v>
      </c>
      <c r="C440" s="57"/>
      <c r="D440" s="57"/>
      <c r="E440" s="80"/>
      <c r="F440" s="57"/>
      <c r="G440" s="57"/>
      <c r="H440" s="57"/>
      <c r="I440" s="57"/>
      <c r="J440" s="184"/>
      <c r="K440" s="116" t="s">
        <v>27</v>
      </c>
      <c r="L440" s="116" t="s">
        <v>42</v>
      </c>
      <c r="M440" s="116" t="s">
        <v>129</v>
      </c>
      <c r="N440" s="116" t="str">
        <f ca="1">SUBSTITUTE(CELL("address",K435),"$","")</f>
        <v>K435</v>
      </c>
      <c r="O440" s="116" t="s">
        <v>130</v>
      </c>
      <c r="P440" s="228" t="s">
        <v>75</v>
      </c>
      <c r="Q440" s="250" t="str">
        <f ca="1">INDEX(tblGoSubRoutineStartCell[StartCell],MATCH(B440,tblGoSubRoutineStartCell[GoSub Routine],0))</f>
        <v>K56</v>
      </c>
      <c r="S440" s="184"/>
      <c r="T440" s="178"/>
      <c r="U440" s="178"/>
      <c r="V440" s="178"/>
      <c r="W440" s="178"/>
      <c r="X440" s="178"/>
      <c r="Y440" s="178"/>
      <c r="Z440" s="178"/>
      <c r="AA440" s="178"/>
      <c r="AB440" s="178"/>
      <c r="AC440" s="178"/>
      <c r="AD440" s="178"/>
      <c r="AE440" s="178"/>
      <c r="AF440" s="178"/>
      <c r="AG440" s="178"/>
      <c r="AH440" s="178"/>
      <c r="AI440" s="178"/>
      <c r="AJ440" s="178"/>
    </row>
    <row r="441" spans="1:36" s="380" customFormat="1" ht="15" hidden="1">
      <c r="A441" s="399"/>
      <c r="B441" s="240" t="s">
        <v>426</v>
      </c>
      <c r="C441" s="390">
        <v>24650</v>
      </c>
      <c r="D441" s="387"/>
      <c r="E441" s="387"/>
      <c r="F441" s="387"/>
      <c r="G441" s="387"/>
      <c r="H441" s="387"/>
      <c r="I441" s="387"/>
      <c r="J441" s="384"/>
      <c r="K441" s="241" t="str">
        <f>_xlfn.CONCAT("734|GND|OUT4|FLT(",C441,")")</f>
        <v>734|GND|OUT4|FLT(24650)</v>
      </c>
      <c r="L441" s="409"/>
      <c r="M441" s="409"/>
      <c r="N441" s="409"/>
      <c r="O441" s="241"/>
      <c r="P441" s="241"/>
      <c r="Q441" s="384"/>
    </row>
    <row r="442" spans="1:36" s="380" customFormat="1" ht="15" hidden="1">
      <c r="A442" s="399"/>
      <c r="B442" s="249" t="s">
        <v>432</v>
      </c>
      <c r="C442" s="390">
        <v>5000</v>
      </c>
      <c r="D442" s="387"/>
      <c r="E442" s="387"/>
      <c r="F442" s="387"/>
      <c r="G442" s="387"/>
      <c r="H442" s="387"/>
      <c r="I442" s="387"/>
      <c r="J442" s="384"/>
      <c r="K442" s="409" t="s">
        <v>27</v>
      </c>
      <c r="L442" s="409" t="s">
        <v>42</v>
      </c>
      <c r="M442" s="216" t="s">
        <v>60</v>
      </c>
      <c r="N442" s="247" t="str">
        <f>B442</f>
        <v>Lens 2 Initialising…</v>
      </c>
      <c r="O442" s="210">
        <f>C442</f>
        <v>5000</v>
      </c>
      <c r="P442" s="384"/>
      <c r="Q442" s="384"/>
    </row>
    <row r="443" spans="1:36" s="175" customFormat="1" ht="15.75" hidden="1" thickBot="1">
      <c r="A443" s="130"/>
      <c r="B443" s="240" t="s">
        <v>427</v>
      </c>
      <c r="C443" s="78">
        <v>2</v>
      </c>
      <c r="D443" s="58"/>
      <c r="E443" s="455"/>
      <c r="F443" s="58"/>
      <c r="G443" s="58"/>
      <c r="H443" s="58"/>
      <c r="I443" s="58"/>
      <c r="J443" s="184"/>
      <c r="K443" s="263" t="s">
        <v>27</v>
      </c>
      <c r="L443" s="263" t="s">
        <v>318</v>
      </c>
      <c r="M443" s="263" t="s">
        <v>55</v>
      </c>
      <c r="N443" s="263" t="s">
        <v>33</v>
      </c>
      <c r="O443" s="241">
        <f>C443</f>
        <v>2</v>
      </c>
      <c r="P443" s="241"/>
      <c r="Q443" s="184"/>
    </row>
    <row r="444" spans="1:36" s="175" customFormat="1" ht="15" hidden="1" customHeight="1" thickBot="1">
      <c r="A444" s="132" cm="1">
        <f t="array" ref="A444">SSATSLineNumbers(A444,0.01)</f>
        <v>3.11</v>
      </c>
      <c r="B444" s="244" t="s">
        <v>428</v>
      </c>
      <c r="C444" s="66">
        <v>24650</v>
      </c>
      <c r="D444" s="84"/>
      <c r="E444" s="457" t="str">
        <f>IF(E443="","[AUTO]",E443*T444)</f>
        <v>[AUTO]</v>
      </c>
      <c r="F444" s="86">
        <f ca="1">P444</f>
        <v>24550</v>
      </c>
      <c r="G444" s="86">
        <f ca="1">Q444</f>
        <v>24750</v>
      </c>
      <c r="H444" s="86" t="str">
        <f ca="1">R444</f>
        <v>V</v>
      </c>
      <c r="I444" s="59" t="str">
        <f>IF(E444 ="[AUTO]","TBC", IF(AND(E444&gt;=F444,E444&lt;=G444 ),"Pass","Fail"))</f>
        <v>TBC</v>
      </c>
      <c r="J444" s="184"/>
      <c r="K444" s="263" t="s">
        <v>80</v>
      </c>
      <c r="L444" s="184"/>
      <c r="M444" s="184"/>
      <c r="N444" s="184"/>
      <c r="O444" s="184"/>
      <c r="P444" s="245">
        <f ca="1">C444+(INDEX(tblProductScalesMeasures[Min],MATCH(_xlfn.CONCAT(B444),tblProductScalesMeasures[Description],0)))</f>
        <v>24550</v>
      </c>
      <c r="Q444" s="245">
        <f ca="1">C444+(INDEX(tblProductScalesMeasures[Max],MATCH(_xlfn.CONCAT(B444),tblProductScalesMeasures[Description],0)))</f>
        <v>24750</v>
      </c>
      <c r="R444" s="245" t="str">
        <f ca="1">(INDEX(tblProductScalesMeasures[Unit],MATCH(_xlfn.CONCAT(B444),tblProductScalesMeasures[Description],0)))</f>
        <v>V</v>
      </c>
      <c r="S444" s="177"/>
      <c r="T444" s="245">
        <f ca="1">IF(COUNTIF(tblExempt[],R444)&gt;0,0,INDEX(tblScaling[Divider],MATCH(_xlfn.CONCAT(IF(ISNUMBER(SEARCH(" ",section_3_heading))=TRUE,SUBSTITUTE(section_3_heading," ",""),"")," ",R444),tblScaling[Description],0)))</f>
        <v>10000</v>
      </c>
    </row>
    <row r="445" spans="1:36" s="180" customFormat="1" ht="16.5" hidden="1" customHeight="1" thickBot="1">
      <c r="A445" s="133"/>
      <c r="B445" s="237" t="s">
        <v>70</v>
      </c>
      <c r="C445" s="57"/>
      <c r="D445" s="57"/>
      <c r="E445" s="80"/>
      <c r="F445" s="57"/>
      <c r="G445" s="57"/>
      <c r="H445" s="57"/>
      <c r="I445" s="57"/>
      <c r="J445" s="184"/>
      <c r="K445" s="116" t="s">
        <v>27</v>
      </c>
      <c r="L445" s="116" t="s">
        <v>42</v>
      </c>
      <c r="M445" s="116" t="s">
        <v>129</v>
      </c>
      <c r="N445" s="116" t="str">
        <f ca="1">SUBSTITUTE(CELL("address",K431),"$","")</f>
        <v>K431</v>
      </c>
      <c r="O445" s="116" t="s">
        <v>130</v>
      </c>
      <c r="P445" s="228" t="s">
        <v>75</v>
      </c>
      <c r="Q445" s="250" t="str">
        <f ca="1">INDEX(tblGoSubRoutineStartCell[StartCell],MATCH(B445,tblGoSubRoutineStartCell[GoSub Routine],0))</f>
        <v>K56</v>
      </c>
      <c r="R445" s="184"/>
      <c r="S445" s="178"/>
      <c r="T445" s="178"/>
      <c r="U445" s="178"/>
      <c r="V445" s="178"/>
      <c r="W445" s="178"/>
      <c r="X445" s="178"/>
      <c r="Y445" s="178"/>
      <c r="Z445" s="178"/>
      <c r="AA445" s="178"/>
      <c r="AB445" s="178"/>
      <c r="AC445" s="178"/>
      <c r="AD445" s="178"/>
      <c r="AE445" s="178"/>
      <c r="AF445" s="178"/>
      <c r="AG445" s="178"/>
      <c r="AH445" s="178"/>
      <c r="AI445" s="178"/>
      <c r="AJ445" s="178"/>
    </row>
    <row r="446" spans="1:36" s="45" customFormat="1" ht="16.5" hidden="1" customHeight="1" thickBot="1">
      <c r="A446" s="131"/>
      <c r="B446" s="244" t="s">
        <v>444</v>
      </c>
      <c r="C446" s="66"/>
      <c r="D446" s="84"/>
      <c r="E446" s="437"/>
      <c r="F446" s="113"/>
      <c r="G446" s="113"/>
      <c r="H446" s="113"/>
      <c r="I446" s="113"/>
      <c r="J446" s="184"/>
      <c r="K446" s="241" t="s">
        <v>443</v>
      </c>
      <c r="L446" s="263"/>
      <c r="M446" s="263"/>
      <c r="R446" s="177"/>
      <c r="S446" s="177"/>
      <c r="T446" s="177"/>
      <c r="U446" s="177"/>
      <c r="V446" s="177"/>
      <c r="W446" s="177"/>
      <c r="X446" s="177"/>
      <c r="Y446" s="177"/>
      <c r="Z446" s="177"/>
      <c r="AA446" s="177"/>
      <c r="AB446" s="177"/>
      <c r="AC446" s="177"/>
      <c r="AD446" s="177"/>
      <c r="AE446" s="177"/>
      <c r="AF446" s="177"/>
      <c r="AG446" s="177"/>
      <c r="AH446" s="177"/>
      <c r="AI446" s="177"/>
      <c r="AJ446" s="177"/>
    </row>
    <row r="447" spans="1:36" s="180" customFormat="1" ht="15.75" hidden="1" thickBot="1">
      <c r="A447" s="132" cm="1">
        <f t="array" ref="A447">SSATSLineNumbers(A447,0.01)</f>
        <v>3.12</v>
      </c>
      <c r="B447" s="244" t="str">
        <f ca="1">ATE_Settings!Y66</f>
        <v>L2 Voltage Monitor Error (%)</v>
      </c>
      <c r="C447" s="66"/>
      <c r="D447" s="206"/>
      <c r="E447" s="454" t="str" cm="1">
        <f t="array" ref="E447">SSATSPercent_Error(E444,E446)</f>
        <v>[AUTO]</v>
      </c>
      <c r="F447" s="207">
        <f ca="1">P447</f>
        <v>-1</v>
      </c>
      <c r="G447" s="86">
        <f ca="1">Q447</f>
        <v>1</v>
      </c>
      <c r="H447" s="86" t="str">
        <f ca="1">R447</f>
        <v>%</v>
      </c>
      <c r="I447" s="59" t="str">
        <f>IF(E447 ="[AUTO]","TBC", IF(AND(E447&gt;=F447,E447&lt;=G447 ),"Pass","Fail"))</f>
        <v>TBC</v>
      </c>
      <c r="J447" s="184"/>
      <c r="K447" s="115" t="s">
        <v>80</v>
      </c>
      <c r="L447" s="184"/>
      <c r="M447" s="184"/>
      <c r="N447" s="184"/>
      <c r="O447" s="184"/>
      <c r="P447" s="204">
        <f ca="1">C447+(INDEX(tblProductScalesMeasures[Min],MATCH(_xlfn.CONCAT(B447),tblProductScalesMeasures[Description],0)))</f>
        <v>-1</v>
      </c>
      <c r="Q447" s="204">
        <f ca="1">C447+(INDEX(tblProductScalesMeasures[Max],MATCH(_xlfn.CONCAT(B447),tblProductScalesMeasures[Description],0)))</f>
        <v>1</v>
      </c>
      <c r="R447" s="205" t="str">
        <f ca="1">(INDEX(tblProductScalesMeasures[Unit],MATCH(_xlfn.CONCAT(B447),tblProductScalesMeasures[Description],0)))</f>
        <v>%</v>
      </c>
      <c r="S447" s="203"/>
      <c r="T447" s="205">
        <f ca="1">IF(COUNTIF(tblExempt[],R447)&gt;0,0,INDEX(tblScaling[Divider],MATCH(_xlfn.CONCAT(IF(ISNUMBER(SEARCH(" ",section_3_heading))=TRUE,SUBSTITUTE(section_3_heading," ",""),"")," ",R447),tblScaling[Description],0)))</f>
        <v>0</v>
      </c>
      <c r="U447" s="178"/>
      <c r="V447" s="178"/>
      <c r="W447" s="178"/>
      <c r="X447" s="178"/>
      <c r="Y447" s="178"/>
      <c r="Z447" s="178"/>
      <c r="AA447" s="178"/>
      <c r="AB447" s="178"/>
      <c r="AC447" s="178"/>
      <c r="AD447" s="178"/>
      <c r="AE447" s="178"/>
      <c r="AF447" s="178"/>
      <c r="AG447" s="178"/>
      <c r="AH447" s="178"/>
      <c r="AI447" s="178"/>
      <c r="AJ447" s="178"/>
    </row>
    <row r="448" spans="1:36" s="180" customFormat="1" ht="16.5" hidden="1" customHeight="1" thickBot="1">
      <c r="A448" s="133"/>
      <c r="B448" s="237" t="s">
        <v>70</v>
      </c>
      <c r="C448" s="57"/>
      <c r="D448" s="57"/>
      <c r="E448" s="80"/>
      <c r="F448" s="57"/>
      <c r="G448" s="57"/>
      <c r="H448" s="57"/>
      <c r="I448" s="57"/>
      <c r="J448" s="184"/>
      <c r="K448" s="116" t="s">
        <v>27</v>
      </c>
      <c r="L448" s="116" t="s">
        <v>42</v>
      </c>
      <c r="M448" s="116" t="s">
        <v>129</v>
      </c>
      <c r="N448" s="116" t="str">
        <f ca="1">SUBSTITUTE(CELL("address",K443),"$","")</f>
        <v>K443</v>
      </c>
      <c r="O448" s="116" t="s">
        <v>130</v>
      </c>
      <c r="P448" s="228" t="s">
        <v>75</v>
      </c>
      <c r="Q448" s="250" t="str">
        <f ca="1">INDEX(tblGoSubRoutineStartCell[StartCell],MATCH(B448,tblGoSubRoutineStartCell[GoSub Routine],0))</f>
        <v>K56</v>
      </c>
      <c r="R448" s="184"/>
      <c r="S448" s="178"/>
      <c r="T448" s="178"/>
      <c r="U448" s="178"/>
      <c r="V448" s="178"/>
      <c r="W448" s="178"/>
      <c r="X448" s="178"/>
      <c r="Y448" s="178"/>
      <c r="Z448" s="178"/>
      <c r="AA448" s="178"/>
      <c r="AB448" s="178"/>
      <c r="AC448" s="178"/>
      <c r="AD448" s="178"/>
      <c r="AE448" s="178"/>
      <c r="AF448" s="178"/>
      <c r="AG448" s="178"/>
      <c r="AH448" s="178"/>
      <c r="AI448" s="178"/>
      <c r="AJ448" s="178"/>
    </row>
    <row r="449" spans="1:36" s="45" customFormat="1" ht="15" hidden="1">
      <c r="A449" s="130"/>
      <c r="B449" s="240" t="s">
        <v>459</v>
      </c>
      <c r="C449" s="78"/>
      <c r="D449" s="58"/>
      <c r="E449" s="58"/>
      <c r="F449" s="58"/>
      <c r="G449" s="58"/>
      <c r="H449" s="58"/>
      <c r="I449" s="58"/>
      <c r="K449" s="274" t="s">
        <v>27</v>
      </c>
      <c r="L449" s="274" t="s">
        <v>98</v>
      </c>
      <c r="M449" s="274" t="s">
        <v>324</v>
      </c>
      <c r="N449" s="274" t="s">
        <v>325</v>
      </c>
      <c r="O449" s="241" t="s">
        <v>326</v>
      </c>
      <c r="P449" s="241" t="str">
        <f>ATE_Settings!AK8</f>
        <v>\\shvukfs2\Eng\FIB Series\FIB35P_734 (FEI)\Test Equipment\FIB35P_734 SSATS\Final Test\Scope_Settings\82097_Lens2_HF.txt</v>
      </c>
      <c r="R449" s="177"/>
      <c r="S449" s="177"/>
      <c r="T449" s="177"/>
      <c r="V449" s="177"/>
      <c r="W449" s="177"/>
      <c r="X449" s="177"/>
      <c r="Y449" s="177"/>
      <c r="Z449" s="177"/>
      <c r="AA449" s="177"/>
      <c r="AB449" s="177"/>
      <c r="AC449" s="177"/>
      <c r="AD449" s="177"/>
      <c r="AE449" s="177"/>
      <c r="AF449" s="177"/>
      <c r="AG449" s="177"/>
      <c r="AH449" s="177"/>
      <c r="AI449" s="177"/>
      <c r="AJ449" s="177"/>
    </row>
    <row r="450" spans="1:36" s="175" customFormat="1" ht="15" hidden="1">
      <c r="A450" s="130"/>
      <c r="B450" s="246" t="s">
        <v>340</v>
      </c>
      <c r="C450" s="78">
        <v>5000</v>
      </c>
      <c r="D450" s="58"/>
      <c r="E450" s="58"/>
      <c r="F450" s="58"/>
      <c r="G450" s="58"/>
      <c r="H450" s="58"/>
      <c r="I450" s="58"/>
      <c r="J450" s="184"/>
      <c r="K450" s="274" t="s">
        <v>27</v>
      </c>
      <c r="L450" s="274" t="s">
        <v>42</v>
      </c>
      <c r="M450" s="216" t="s">
        <v>60</v>
      </c>
      <c r="N450" s="247" t="str">
        <f>B450</f>
        <v>Initialsing Scope…</v>
      </c>
      <c r="O450" s="210">
        <f>C450</f>
        <v>5000</v>
      </c>
      <c r="P450" s="184"/>
      <c r="Q450" s="184"/>
    </row>
    <row r="451" spans="1:36" s="380" customFormat="1" ht="15" hidden="1">
      <c r="A451" s="399"/>
      <c r="B451" s="240" t="s">
        <v>702</v>
      </c>
      <c r="C451" s="390"/>
      <c r="D451" s="387"/>
      <c r="E451" s="387"/>
      <c r="F451" s="387"/>
      <c r="G451" s="387"/>
      <c r="H451" s="387"/>
      <c r="I451" s="387"/>
      <c r="J451" s="384"/>
      <c r="K451" s="395" t="s">
        <v>27</v>
      </c>
      <c r="L451" s="395" t="s">
        <v>98</v>
      </c>
      <c r="M451" s="396" t="s">
        <v>156</v>
      </c>
      <c r="N451" s="396" t="s">
        <v>141</v>
      </c>
      <c r="O451" s="384" t="s">
        <v>701</v>
      </c>
      <c r="P451" s="384"/>
      <c r="Q451" s="384"/>
    </row>
    <row r="452" spans="1:36" s="380" customFormat="1" ht="15.75" hidden="1" thickBot="1">
      <c r="A452" s="399"/>
      <c r="B452" s="244" t="s">
        <v>709</v>
      </c>
      <c r="C452" s="390"/>
      <c r="D452" s="387"/>
      <c r="E452" s="456"/>
      <c r="F452" s="387"/>
      <c r="G452" s="387"/>
      <c r="H452" s="387"/>
      <c r="I452" s="387"/>
      <c r="J452" s="384"/>
      <c r="K452" s="395" t="s">
        <v>27</v>
      </c>
      <c r="L452" s="395" t="s">
        <v>98</v>
      </c>
      <c r="M452" s="396" t="s">
        <v>55</v>
      </c>
      <c r="N452" s="396" t="s">
        <v>141</v>
      </c>
      <c r="O452" s="396" t="s">
        <v>700</v>
      </c>
      <c r="P452" s="384"/>
      <c r="Q452" s="384"/>
    </row>
    <row r="453" spans="1:36" s="180" customFormat="1" ht="16.5" hidden="1" customHeight="1" thickBot="1">
      <c r="A453" s="132" cm="1">
        <f t="array" ref="A453">SSATSLineNumbers(A453,0.01)</f>
        <v>3.13</v>
      </c>
      <c r="B453" s="244" t="str">
        <f ca="1">ATE_Settings!Y70</f>
        <v>L2 Ripple (mV pk-pk)</v>
      </c>
      <c r="C453" s="202"/>
      <c r="D453" s="393" t="s">
        <v>296</v>
      </c>
      <c r="E453" s="457" t="str">
        <f>IF(E452="","[AUTO]",E452*1000)</f>
        <v>[AUTO]</v>
      </c>
      <c r="F453" s="394">
        <f ca="1">R453</f>
        <v>3</v>
      </c>
      <c r="G453" s="86">
        <f ca="1">S453</f>
        <v>150</v>
      </c>
      <c r="H453" s="86" t="str">
        <f ca="1">T453</f>
        <v>mV pk-pk</v>
      </c>
      <c r="I453" s="434" t="str">
        <f>IF(E453 ="[AUTO]","TBC", IF(AND(E453&gt;=F453,E453&lt;=G453 ),"Pass","Fail"))</f>
        <v>TBC</v>
      </c>
      <c r="J453" s="184"/>
      <c r="K453" s="395" t="s">
        <v>80</v>
      </c>
      <c r="L453" s="395"/>
      <c r="M453" s="396"/>
      <c r="N453" s="396"/>
      <c r="O453" s="396"/>
      <c r="P453" s="226"/>
      <c r="Q453" s="184"/>
      <c r="R453" s="245">
        <f ca="1">C453+(INDEX(tblProductScalesMeasures[Min],MATCH(_xlfn.CONCAT(B453),tblProductScalesMeasures[Description],0)))</f>
        <v>3</v>
      </c>
      <c r="S453" s="245">
        <f ca="1">C453+(INDEX(tblProductScalesMeasures[Max],MATCH(_xlfn.CONCAT(B453),tblProductScalesMeasures[Description],0)))</f>
        <v>150</v>
      </c>
      <c r="T453" s="245" t="str">
        <f ca="1">(INDEX(tblProductScalesMeasures[Unit],MATCH(_xlfn.CONCAT(B453),tblProductScalesMeasures[Description],0)))</f>
        <v>mV pk-pk</v>
      </c>
      <c r="V453" s="177"/>
      <c r="W453" s="245">
        <f ca="1">IF(COUNTIF(tblExempt[],T453)&gt;0,0,INDEX(tblScaling[Divider],MATCH(_xlfn.CONCAT(IF(ISNUMBER(SEARCH(" ",section_3_heading))=TRUE,SUBSTITUTE(section_3_heading," ",""),"")," ",T453),tblScaling[Description],0)))</f>
        <v>0</v>
      </c>
      <c r="X453" s="178"/>
      <c r="Y453" s="178"/>
      <c r="Z453" s="178"/>
      <c r="AA453" s="178"/>
      <c r="AB453" s="178"/>
      <c r="AC453" s="178"/>
      <c r="AD453" s="178"/>
      <c r="AE453" s="178"/>
      <c r="AF453" s="178"/>
      <c r="AG453" s="178"/>
      <c r="AH453" s="178"/>
      <c r="AI453" s="178"/>
      <c r="AJ453" s="178"/>
    </row>
    <row r="454" spans="1:36" s="180" customFormat="1" ht="15.75" hidden="1" thickBot="1">
      <c r="A454" s="133"/>
      <c r="B454" s="237" t="s">
        <v>70</v>
      </c>
      <c r="C454" s="57"/>
      <c r="D454" s="57"/>
      <c r="E454" s="80"/>
      <c r="F454" s="57"/>
      <c r="G454" s="57"/>
      <c r="H454" s="57"/>
      <c r="I454" s="57"/>
      <c r="J454" s="184"/>
      <c r="K454" s="116" t="s">
        <v>27</v>
      </c>
      <c r="L454" s="116" t="s">
        <v>42</v>
      </c>
      <c r="M454" s="116" t="s">
        <v>129</v>
      </c>
      <c r="N454" s="116" t="str">
        <f ca="1">SUBSTITUTE(CELL("address",K449),"$","")</f>
        <v>K449</v>
      </c>
      <c r="O454" s="116" t="s">
        <v>130</v>
      </c>
      <c r="P454" s="228" t="s">
        <v>75</v>
      </c>
      <c r="Q454" s="250" t="str">
        <f ca="1">INDEX(tblGoSubRoutineStartCell[StartCell],MATCH(B454,tblGoSubRoutineStartCell[GoSub Routine],0))</f>
        <v>K56</v>
      </c>
      <c r="R454" s="184"/>
      <c r="S454" s="178"/>
      <c r="T454" s="178"/>
      <c r="V454" s="178"/>
      <c r="W454" s="178"/>
      <c r="X454" s="178"/>
      <c r="Y454" s="178"/>
      <c r="Z454" s="178"/>
      <c r="AA454" s="178"/>
      <c r="AB454" s="178"/>
      <c r="AC454" s="178"/>
      <c r="AD454" s="178"/>
      <c r="AE454" s="178"/>
      <c r="AF454" s="178"/>
      <c r="AG454" s="178"/>
      <c r="AH454" s="178"/>
      <c r="AI454" s="178"/>
      <c r="AJ454" s="178"/>
    </row>
    <row r="455" spans="1:36" s="45" customFormat="1" ht="15" hidden="1">
      <c r="A455" s="130"/>
      <c r="B455" s="240" t="s">
        <v>460</v>
      </c>
      <c r="C455" s="78"/>
      <c r="D455" s="58"/>
      <c r="E455" s="58"/>
      <c r="F455" s="58"/>
      <c r="G455" s="58"/>
      <c r="H455" s="58"/>
      <c r="I455" s="58"/>
      <c r="K455" s="276" t="s">
        <v>27</v>
      </c>
      <c r="L455" s="276" t="s">
        <v>98</v>
      </c>
      <c r="M455" s="276" t="s">
        <v>324</v>
      </c>
      <c r="N455" s="276" t="s">
        <v>325</v>
      </c>
      <c r="O455" s="241" t="s">
        <v>326</v>
      </c>
      <c r="P455" s="241" t="str">
        <f>ATE_Settings!AK9</f>
        <v>\\shvukfs2\Eng\FIB Series\FIB35P_734 (FEI)\Test Equipment\FIB35P_734 SSATS\Final Test\Scope_Settings\82097_Lens2_LF.txt</v>
      </c>
      <c r="R455" s="177"/>
      <c r="S455" s="177"/>
      <c r="T455" s="177"/>
      <c r="V455" s="177"/>
      <c r="W455" s="177"/>
      <c r="X455" s="177"/>
      <c r="Y455" s="177"/>
      <c r="Z455" s="177"/>
      <c r="AA455" s="177"/>
      <c r="AB455" s="177"/>
      <c r="AC455" s="177"/>
      <c r="AD455" s="177"/>
      <c r="AE455" s="177"/>
      <c r="AF455" s="177"/>
      <c r="AG455" s="177"/>
      <c r="AH455" s="177"/>
      <c r="AI455" s="177"/>
      <c r="AJ455" s="177"/>
    </row>
    <row r="456" spans="1:36" s="175" customFormat="1" ht="15" hidden="1">
      <c r="A456" s="130"/>
      <c r="B456" s="246" t="s">
        <v>340</v>
      </c>
      <c r="C456" s="78">
        <v>8000</v>
      </c>
      <c r="D456" s="58"/>
      <c r="E456" s="58"/>
      <c r="F456" s="58"/>
      <c r="G456" s="58"/>
      <c r="H456" s="58"/>
      <c r="I456" s="58"/>
      <c r="J456" s="184"/>
      <c r="K456" s="274" t="s">
        <v>27</v>
      </c>
      <c r="L456" s="274" t="s">
        <v>42</v>
      </c>
      <c r="M456" s="216" t="s">
        <v>60</v>
      </c>
      <c r="N456" s="247" t="str">
        <f>B456</f>
        <v>Initialsing Scope…</v>
      </c>
      <c r="O456" s="210">
        <f>C456</f>
        <v>8000</v>
      </c>
      <c r="P456" s="184"/>
      <c r="Q456" s="184"/>
    </row>
    <row r="457" spans="1:36" s="380" customFormat="1" ht="15" hidden="1">
      <c r="A457" s="399"/>
      <c r="B457" s="240" t="s">
        <v>702</v>
      </c>
      <c r="C457" s="390"/>
      <c r="D457" s="387"/>
      <c r="E457" s="387"/>
      <c r="F457" s="387"/>
      <c r="G457" s="387"/>
      <c r="H457" s="387"/>
      <c r="I457" s="387"/>
      <c r="J457" s="384"/>
      <c r="K457" s="395" t="s">
        <v>27</v>
      </c>
      <c r="L457" s="395" t="s">
        <v>98</v>
      </c>
      <c r="M457" s="396" t="s">
        <v>156</v>
      </c>
      <c r="N457" s="396" t="s">
        <v>141</v>
      </c>
      <c r="O457" s="384" t="s">
        <v>701</v>
      </c>
      <c r="P457" s="384"/>
      <c r="Q457" s="384"/>
    </row>
    <row r="458" spans="1:36" s="380" customFormat="1" ht="15.75" hidden="1" thickBot="1">
      <c r="A458" s="399"/>
      <c r="B458" s="244" t="s">
        <v>709</v>
      </c>
      <c r="C458" s="390"/>
      <c r="D458" s="387"/>
      <c r="E458" s="456"/>
      <c r="F458" s="387"/>
      <c r="G458" s="387"/>
      <c r="H458" s="387"/>
      <c r="I458" s="387"/>
      <c r="J458" s="384"/>
      <c r="K458" s="395" t="s">
        <v>27</v>
      </c>
      <c r="L458" s="395" t="s">
        <v>98</v>
      </c>
      <c r="M458" s="396" t="s">
        <v>55</v>
      </c>
      <c r="N458" s="396" t="s">
        <v>141</v>
      </c>
      <c r="O458" s="396" t="s">
        <v>700</v>
      </c>
      <c r="P458" s="384"/>
      <c r="Q458" s="384"/>
    </row>
    <row r="459" spans="1:36" s="180" customFormat="1" ht="18.75" hidden="1" customHeight="1" thickBot="1">
      <c r="A459" s="132" cm="1">
        <f t="array" ref="A459">SSATSLineNumbers(A459,0.01)</f>
        <v>3.14</v>
      </c>
      <c r="B459" s="244" t="str">
        <f ca="1">ATE_Settings!Y70</f>
        <v>L2 Ripple (mV pk-pk)</v>
      </c>
      <c r="C459" s="202"/>
      <c r="D459" s="393" t="s">
        <v>362</v>
      </c>
      <c r="E459" s="457" t="str">
        <f>IF(E458="","[AUTO]",E458*1000)</f>
        <v>[AUTO]</v>
      </c>
      <c r="F459" s="394">
        <f ca="1">R459</f>
        <v>3</v>
      </c>
      <c r="G459" s="86">
        <f ca="1">S459</f>
        <v>150</v>
      </c>
      <c r="H459" s="86" t="str">
        <f ca="1">T459</f>
        <v>mV pk-pk</v>
      </c>
      <c r="I459" s="434" t="str">
        <f>IF(E459 ="[AUTO]","TBC", IF(AND(E459&gt;=F459,E459&lt;=G459 ),"Pass","Fail"))</f>
        <v>TBC</v>
      </c>
      <c r="J459" s="184"/>
      <c r="K459" s="395" t="s">
        <v>80</v>
      </c>
      <c r="L459" s="395"/>
      <c r="M459" s="396"/>
      <c r="N459" s="396"/>
      <c r="O459" s="396"/>
      <c r="P459" s="226"/>
      <c r="Q459" s="184"/>
      <c r="R459" s="245">
        <f ca="1">C459+(INDEX(tblProductScalesMeasures[Min],MATCH(_xlfn.CONCAT(B459),tblProductScalesMeasures[Description],0)))</f>
        <v>3</v>
      </c>
      <c r="S459" s="245">
        <f ca="1">C459+(INDEX(tblProductScalesMeasures[Max],MATCH(_xlfn.CONCAT(B459),tblProductScalesMeasures[Description],0)))</f>
        <v>150</v>
      </c>
      <c r="T459" s="245" t="str">
        <f ca="1">(INDEX(tblProductScalesMeasures[Unit],MATCH(_xlfn.CONCAT(B459),tblProductScalesMeasures[Description],0)))</f>
        <v>mV pk-pk</v>
      </c>
      <c r="V459" s="177"/>
      <c r="W459" s="245">
        <f ca="1">IF(COUNTIF(tblExempt[],T459)&gt;0,0,INDEX(tblScaling[Divider],MATCH(_xlfn.CONCAT(IF(ISNUMBER(SEARCH(" ",section_3_heading))=TRUE,SUBSTITUTE(section_3_heading," ",""),"")," ",T459),tblScaling[Description],0)))</f>
        <v>0</v>
      </c>
      <c r="X459" s="178"/>
      <c r="Y459" s="178"/>
      <c r="Z459" s="178"/>
      <c r="AA459" s="178"/>
      <c r="AB459" s="178"/>
      <c r="AC459" s="178"/>
      <c r="AD459" s="178"/>
      <c r="AE459" s="178"/>
      <c r="AF459" s="178"/>
      <c r="AG459" s="178"/>
      <c r="AH459" s="178"/>
      <c r="AI459" s="178"/>
      <c r="AJ459" s="178"/>
    </row>
    <row r="460" spans="1:36" s="180" customFormat="1" ht="15.75" hidden="1" thickBot="1">
      <c r="A460" s="133"/>
      <c r="B460" s="237" t="s">
        <v>70</v>
      </c>
      <c r="C460" s="57"/>
      <c r="D460" s="57"/>
      <c r="E460" s="80"/>
      <c r="F460" s="57"/>
      <c r="G460" s="57"/>
      <c r="H460" s="57"/>
      <c r="I460" s="57"/>
      <c r="J460" s="184"/>
      <c r="K460" s="116" t="s">
        <v>27</v>
      </c>
      <c r="L460" s="116" t="s">
        <v>42</v>
      </c>
      <c r="M460" s="116" t="s">
        <v>129</v>
      </c>
      <c r="N460" s="116" t="str">
        <f ca="1">SUBSTITUTE(CELL("address",K455),"$","")</f>
        <v>K455</v>
      </c>
      <c r="O460" s="116" t="s">
        <v>130</v>
      </c>
      <c r="P460" s="228" t="s">
        <v>75</v>
      </c>
      <c r="Q460" s="250" t="str">
        <f ca="1">INDEX(tblGoSubRoutineStartCell[StartCell],MATCH(B460,tblGoSubRoutineStartCell[GoSub Routine],0))</f>
        <v>K56</v>
      </c>
      <c r="R460" s="184"/>
      <c r="S460" s="178"/>
      <c r="T460" s="178"/>
      <c r="V460" s="178"/>
      <c r="W460" s="178"/>
      <c r="X460" s="178"/>
      <c r="Y460" s="178"/>
      <c r="Z460" s="178"/>
      <c r="AA460" s="178"/>
      <c r="AB460" s="178"/>
      <c r="AC460" s="178"/>
      <c r="AD460" s="178"/>
      <c r="AE460" s="178"/>
      <c r="AF460" s="178"/>
      <c r="AG460" s="178"/>
      <c r="AH460" s="178"/>
      <c r="AI460" s="178"/>
      <c r="AJ460" s="178"/>
    </row>
    <row r="461" spans="1:36" s="175" customFormat="1" ht="15" hidden="1">
      <c r="A461" s="130"/>
      <c r="B461" s="240" t="s">
        <v>426</v>
      </c>
      <c r="C461" s="78">
        <v>0</v>
      </c>
      <c r="D461" s="58"/>
      <c r="E461" s="58">
        <v>0</v>
      </c>
      <c r="F461" s="58"/>
      <c r="G461" s="58"/>
      <c r="H461" s="58"/>
      <c r="I461" s="58"/>
      <c r="J461" s="184"/>
      <c r="K461" s="241" t="str">
        <f>_xlfn.CONCAT("734|GND|OUT4|FLT(",C461,")")</f>
        <v>734|GND|OUT4|FLT(0)</v>
      </c>
      <c r="L461" s="334"/>
      <c r="M461" s="334"/>
      <c r="N461" s="334"/>
      <c r="O461" s="241"/>
      <c r="P461" s="241"/>
      <c r="Q461" s="184"/>
    </row>
    <row r="462" spans="1:36" s="175" customFormat="1" ht="15" hidden="1">
      <c r="A462" s="130"/>
      <c r="B462" s="246" t="s">
        <v>551</v>
      </c>
      <c r="C462" s="78">
        <v>27000</v>
      </c>
      <c r="D462" s="58"/>
      <c r="E462" s="58"/>
      <c r="F462" s="58"/>
      <c r="G462" s="58"/>
      <c r="H462" s="58"/>
      <c r="I462" s="58"/>
      <c r="J462" s="184"/>
      <c r="K462" s="334" t="s">
        <v>27</v>
      </c>
      <c r="L462" s="334" t="s">
        <v>42</v>
      </c>
      <c r="M462" s="216" t="s">
        <v>60</v>
      </c>
      <c r="N462" s="247" t="str">
        <f>B462</f>
        <v>Lens 2 Ramping down... DO NOT SKIP</v>
      </c>
      <c r="O462" s="210">
        <f>C462</f>
        <v>27000</v>
      </c>
      <c r="P462" s="184"/>
      <c r="Q462" s="184"/>
    </row>
    <row r="463" spans="1:36" s="175" customFormat="1" ht="15" hidden="1">
      <c r="A463" s="130"/>
      <c r="B463" s="240" t="s">
        <v>449</v>
      </c>
      <c r="C463" s="78">
        <v>6</v>
      </c>
      <c r="D463" s="58"/>
      <c r="E463" s="58">
        <v>6</v>
      </c>
      <c r="F463" s="58"/>
      <c r="G463" s="58"/>
      <c r="H463" s="58"/>
      <c r="I463" s="58"/>
      <c r="J463" s="184"/>
      <c r="K463" s="241" t="str">
        <f>_xlfn.CONCAT("734|GND|REG1|DEC(",C463,")")</f>
        <v>734|GND|REG1|DEC(6)</v>
      </c>
      <c r="L463" s="334"/>
      <c r="M463" s="334"/>
      <c r="N463" s="334"/>
      <c r="O463" s="241"/>
      <c r="P463" s="241"/>
      <c r="Q463" s="184"/>
    </row>
    <row r="464" spans="1:36" s="175" customFormat="1" ht="15" hidden="1">
      <c r="A464" s="130"/>
      <c r="B464" s="240" t="s">
        <v>343</v>
      </c>
      <c r="C464" s="78"/>
      <c r="D464" s="58"/>
      <c r="E464" s="58"/>
      <c r="F464" s="58"/>
      <c r="G464" s="58"/>
      <c r="H464" s="58"/>
      <c r="I464" s="58"/>
      <c r="J464" s="184"/>
      <c r="K464" s="334" t="s">
        <v>27</v>
      </c>
      <c r="L464" s="334" t="s">
        <v>313</v>
      </c>
      <c r="M464" s="334" t="s">
        <v>91</v>
      </c>
      <c r="N464" s="334" t="s">
        <v>315</v>
      </c>
      <c r="O464" s="241" t="s">
        <v>316</v>
      </c>
      <c r="P464" s="241" t="s">
        <v>312</v>
      </c>
      <c r="Q464" s="184"/>
    </row>
    <row r="465" spans="1:36" s="45" customFormat="1" ht="15.75" hidden="1" thickBot="1">
      <c r="A465" s="130"/>
      <c r="B465" s="84"/>
      <c r="C465" s="78"/>
      <c r="D465" s="58"/>
      <c r="E465" s="58"/>
      <c r="F465" s="58"/>
      <c r="G465" s="58"/>
      <c r="H465" s="58"/>
      <c r="I465" s="58"/>
      <c r="K465" s="115" t="s">
        <v>80</v>
      </c>
      <c r="L465" s="50"/>
      <c r="S465" s="177"/>
      <c r="T465" s="177"/>
      <c r="U465" s="177"/>
      <c r="V465" s="177"/>
      <c r="W465" s="177"/>
      <c r="X465" s="177"/>
      <c r="Y465" s="177"/>
      <c r="Z465" s="177"/>
      <c r="AA465" s="177"/>
      <c r="AB465" s="177"/>
      <c r="AC465" s="177"/>
      <c r="AD465" s="177"/>
      <c r="AE465" s="177"/>
      <c r="AF465" s="177"/>
      <c r="AG465" s="177"/>
      <c r="AH465" s="177"/>
      <c r="AI465" s="177"/>
      <c r="AJ465" s="177"/>
    </row>
    <row r="466" spans="1:36" s="175" customFormat="1" ht="20.25" hidden="1" customHeight="1" thickBot="1">
      <c r="A466" s="192"/>
      <c r="B466" s="266"/>
      <c r="C466" s="267"/>
      <c r="D466" s="269" t="s">
        <v>448</v>
      </c>
      <c r="E466" s="267"/>
      <c r="F466" s="267"/>
      <c r="G466" s="267"/>
      <c r="H466" s="267"/>
      <c r="I466" s="268"/>
      <c r="J466" s="184"/>
      <c r="K466" s="89" t="s">
        <v>80</v>
      </c>
      <c r="L466" s="184"/>
      <c r="M466" s="184"/>
      <c r="N466" s="184"/>
      <c r="O466" s="184"/>
      <c r="P466" s="184"/>
      <c r="Q466" s="184"/>
    </row>
    <row r="467" spans="1:36" s="45" customFormat="1" ht="15.75" hidden="1" thickBot="1">
      <c r="A467" s="130"/>
      <c r="B467" s="84"/>
      <c r="C467" s="78"/>
      <c r="D467" s="58"/>
      <c r="E467" s="58"/>
      <c r="F467" s="58"/>
      <c r="G467" s="58"/>
      <c r="H467" s="58"/>
      <c r="I467" s="58"/>
      <c r="J467" s="184"/>
      <c r="K467" s="89" t="s">
        <v>80</v>
      </c>
      <c r="R467" s="177"/>
      <c r="S467" s="177"/>
      <c r="T467" s="177"/>
      <c r="U467" s="177"/>
      <c r="V467" s="177"/>
      <c r="W467" s="177"/>
      <c r="X467" s="177"/>
      <c r="Y467" s="177"/>
      <c r="Z467" s="177"/>
      <c r="AA467" s="177"/>
      <c r="AB467" s="177"/>
      <c r="AC467" s="177"/>
      <c r="AD467" s="177"/>
      <c r="AE467" s="177"/>
      <c r="AF467" s="177"/>
      <c r="AG467" s="177"/>
      <c r="AH467" s="177"/>
      <c r="AI467" s="177"/>
      <c r="AJ467" s="177"/>
    </row>
    <row r="468" spans="1:36" s="175" customFormat="1" ht="15.75" hidden="1" thickBot="1">
      <c r="A468" s="130"/>
      <c r="B468" s="264" t="s">
        <v>188</v>
      </c>
      <c r="C468" s="58"/>
      <c r="D468" s="58"/>
      <c r="E468" s="58"/>
      <c r="F468" s="58"/>
      <c r="G468" s="58"/>
      <c r="H468" s="58"/>
      <c r="I468" s="58"/>
      <c r="J468" s="184"/>
      <c r="K468" s="263" t="s">
        <v>77</v>
      </c>
      <c r="L468" s="263" t="s">
        <v>75</v>
      </c>
      <c r="M468" s="238" t="str">
        <f ca="1">INDEX(tblGoSubRoutineStartCell[StartCell],MATCH(B468,tblGoSubRoutineStartCell[GoSub Routine],0))</f>
        <v>K121</v>
      </c>
      <c r="N468" s="184"/>
      <c r="O468" s="184"/>
      <c r="P468" s="184"/>
      <c r="Q468" s="184"/>
    </row>
    <row r="469" spans="1:36" s="175" customFormat="1" ht="15" hidden="1">
      <c r="A469" s="130"/>
      <c r="B469" s="240" t="s">
        <v>343</v>
      </c>
      <c r="C469" s="78"/>
      <c r="D469" s="58"/>
      <c r="E469" s="58"/>
      <c r="F469" s="58"/>
      <c r="G469" s="58"/>
      <c r="H469" s="58"/>
      <c r="I469" s="58"/>
      <c r="J469" s="184"/>
      <c r="K469" s="263" t="s">
        <v>27</v>
      </c>
      <c r="L469" s="263" t="s">
        <v>313</v>
      </c>
      <c r="M469" s="263" t="s">
        <v>91</v>
      </c>
      <c r="N469" s="263" t="s">
        <v>315</v>
      </c>
      <c r="O469" s="241" t="s">
        <v>316</v>
      </c>
      <c r="P469" s="241" t="s">
        <v>312</v>
      </c>
      <c r="Q469" s="184"/>
    </row>
    <row r="470" spans="1:36" s="175" customFormat="1" ht="15" hidden="1">
      <c r="A470" s="130"/>
      <c r="B470" s="240" t="s">
        <v>442</v>
      </c>
      <c r="C470" s="78">
        <v>3</v>
      </c>
      <c r="D470" s="58"/>
      <c r="E470" s="58"/>
      <c r="F470" s="58"/>
      <c r="G470" s="58"/>
      <c r="H470" s="58"/>
      <c r="I470" s="58"/>
      <c r="J470" s="184"/>
      <c r="K470" s="263" t="s">
        <v>27</v>
      </c>
      <c r="L470" s="263" t="s">
        <v>313</v>
      </c>
      <c r="M470" s="263" t="s">
        <v>32</v>
      </c>
      <c r="N470" s="263" t="s">
        <v>315</v>
      </c>
      <c r="O470" s="241">
        <f>C470</f>
        <v>3</v>
      </c>
      <c r="P470" s="241"/>
      <c r="Q470" s="184"/>
    </row>
    <row r="471" spans="1:36" s="175" customFormat="1" ht="15" hidden="1">
      <c r="A471" s="130"/>
      <c r="B471" s="240" t="s">
        <v>425</v>
      </c>
      <c r="C471" s="78">
        <v>7</v>
      </c>
      <c r="D471" s="58"/>
      <c r="E471" s="58"/>
      <c r="F471" s="58"/>
      <c r="G471" s="58"/>
      <c r="H471" s="58"/>
      <c r="I471" s="58"/>
      <c r="J471" s="184"/>
      <c r="K471" s="241" t="str">
        <f>_xlfn.CONCAT("734|GND|REG1|DEC(",C471,")")</f>
        <v>734|GND|REG1|DEC(7)</v>
      </c>
      <c r="L471" s="263"/>
      <c r="M471" s="263"/>
      <c r="N471" s="263"/>
      <c r="O471" s="241"/>
      <c r="P471" s="241"/>
      <c r="Q471" s="184"/>
    </row>
    <row r="472" spans="1:36" s="175" customFormat="1" ht="15" hidden="1">
      <c r="A472" s="130"/>
      <c r="B472" s="240" t="s">
        <v>426</v>
      </c>
      <c r="C472" s="78">
        <v>24650</v>
      </c>
      <c r="D472" s="58"/>
      <c r="E472" s="58"/>
      <c r="F472" s="58"/>
      <c r="G472" s="58"/>
      <c r="H472" s="58"/>
      <c r="I472" s="58"/>
      <c r="J472" s="184"/>
      <c r="K472" s="241" t="str">
        <f>_xlfn.CONCAT("734|GND|OUT4|FLT(",C472,")")</f>
        <v>734|GND|OUT4|FLT(24650)</v>
      </c>
      <c r="L472" s="263"/>
      <c r="M472" s="263"/>
      <c r="N472" s="263"/>
      <c r="O472" s="241"/>
      <c r="P472" s="241"/>
      <c r="Q472" s="184"/>
    </row>
    <row r="473" spans="1:36" s="175" customFormat="1" ht="15" hidden="1">
      <c r="A473" s="130"/>
      <c r="B473" s="246" t="s">
        <v>553</v>
      </c>
      <c r="C473" s="78">
        <v>35000</v>
      </c>
      <c r="D473" s="58"/>
      <c r="E473" s="58"/>
      <c r="F473" s="58"/>
      <c r="G473" s="58"/>
      <c r="H473" s="58"/>
      <c r="I473" s="58"/>
      <c r="J473" s="184"/>
      <c r="K473" s="263" t="s">
        <v>27</v>
      </c>
      <c r="L473" s="263" t="s">
        <v>42</v>
      </c>
      <c r="M473" s="216" t="s">
        <v>60</v>
      </c>
      <c r="N473" s="247" t="str">
        <f>B473</f>
        <v>Lens 2 Initialising… (Pos Load Reg)</v>
      </c>
      <c r="O473" s="210">
        <f>C473</f>
        <v>35000</v>
      </c>
      <c r="P473" s="184"/>
      <c r="Q473" s="184"/>
    </row>
    <row r="474" spans="1:36" s="175" customFormat="1" ht="15.75" hidden="1" thickBot="1">
      <c r="A474" s="130"/>
      <c r="B474" s="240" t="s">
        <v>427</v>
      </c>
      <c r="C474" s="78">
        <v>2</v>
      </c>
      <c r="D474" s="58"/>
      <c r="E474" s="455"/>
      <c r="F474" s="58"/>
      <c r="G474" s="58"/>
      <c r="H474" s="58"/>
      <c r="I474" s="58"/>
      <c r="J474" s="184"/>
      <c r="K474" s="263" t="s">
        <v>27</v>
      </c>
      <c r="L474" s="263" t="s">
        <v>318</v>
      </c>
      <c r="M474" s="263" t="s">
        <v>55</v>
      </c>
      <c r="N474" s="263" t="s">
        <v>33</v>
      </c>
      <c r="O474" s="241">
        <v>2</v>
      </c>
      <c r="P474" s="241"/>
      <c r="Q474" s="184"/>
    </row>
    <row r="475" spans="1:36" s="175" customFormat="1" ht="15" hidden="1" customHeight="1" thickBot="1">
      <c r="A475" s="132" cm="1">
        <f t="array" ref="A475">SSATSLineNumbers(A475,0.01)</f>
        <v>3.15</v>
      </c>
      <c r="B475" s="244" t="s">
        <v>428</v>
      </c>
      <c r="C475" s="66">
        <v>24650</v>
      </c>
      <c r="D475" s="84"/>
      <c r="E475" s="457" t="str">
        <f>IF(E474="","[AUTO]",E474*T475)</f>
        <v>[AUTO]</v>
      </c>
      <c r="F475" s="86">
        <f ca="1">P475</f>
        <v>24550</v>
      </c>
      <c r="G475" s="86">
        <f ca="1">Q475</f>
        <v>24750</v>
      </c>
      <c r="H475" s="86" t="str">
        <f ca="1">R475</f>
        <v>V</v>
      </c>
      <c r="I475" s="59" t="str">
        <f>IF(E475 ="[AUTO]","TBC", IF(AND(E475&gt;=F475,E475&lt;=G475 ),"Pass","Fail"))</f>
        <v>TBC</v>
      </c>
      <c r="J475" s="184"/>
      <c r="K475" s="263" t="s">
        <v>80</v>
      </c>
      <c r="L475" s="184"/>
      <c r="M475" s="184"/>
      <c r="N475" s="184"/>
      <c r="O475" s="184"/>
      <c r="P475" s="245">
        <f ca="1">C475+(INDEX(tblProductScalesMeasures[Min],MATCH(_xlfn.CONCAT(B475),tblProductScalesMeasures[Description],0)))</f>
        <v>24550</v>
      </c>
      <c r="Q475" s="245">
        <f ca="1">C475+(INDEX(tblProductScalesMeasures[Max],MATCH(_xlfn.CONCAT(B475),tblProductScalesMeasures[Description],0)))</f>
        <v>24750</v>
      </c>
      <c r="R475" s="245" t="str">
        <f ca="1">(INDEX(tblProductScalesMeasures[Unit],MATCH(_xlfn.CONCAT(B475),tblProductScalesMeasures[Description],0)))</f>
        <v>V</v>
      </c>
      <c r="S475" s="177"/>
      <c r="T475" s="245">
        <f ca="1">IF(COUNTIF(tblExempt[],R475)&gt;0,0,INDEX(tblScaling[Divider],MATCH(_xlfn.CONCAT(IF(ISNUMBER(SEARCH(" ",section_3_heading))=TRUE,SUBSTITUTE(section_3_heading," ",""),"")," ",R475),tblScaling[Description],0)))</f>
        <v>10000</v>
      </c>
    </row>
    <row r="476" spans="1:36" s="180" customFormat="1" ht="16.5" hidden="1" customHeight="1" thickBot="1">
      <c r="A476" s="133"/>
      <c r="B476" s="237" t="s">
        <v>70</v>
      </c>
      <c r="C476" s="57"/>
      <c r="D476" s="57"/>
      <c r="E476" s="80"/>
      <c r="F476" s="57"/>
      <c r="G476" s="57"/>
      <c r="H476" s="57"/>
      <c r="I476" s="57"/>
      <c r="J476" s="184"/>
      <c r="K476" s="116" t="s">
        <v>27</v>
      </c>
      <c r="L476" s="116" t="s">
        <v>42</v>
      </c>
      <c r="M476" s="116" t="s">
        <v>129</v>
      </c>
      <c r="N476" s="116" t="str">
        <f ca="1">SUBSTITUTE(CELL("address",K468),"$","")</f>
        <v>K468</v>
      </c>
      <c r="O476" s="116" t="s">
        <v>130</v>
      </c>
      <c r="P476" s="228" t="s">
        <v>75</v>
      </c>
      <c r="Q476" s="250" t="str">
        <f ca="1">INDEX(tblGoSubRoutineStartCell[StartCell],MATCH(B476,tblGoSubRoutineStartCell[GoSub Routine],0))</f>
        <v>K56</v>
      </c>
      <c r="R476" s="184"/>
      <c r="S476" s="178"/>
      <c r="T476" s="178"/>
      <c r="U476" s="178"/>
      <c r="V476" s="178"/>
      <c r="W476" s="178"/>
      <c r="X476" s="178"/>
      <c r="Y476" s="178"/>
      <c r="Z476" s="178"/>
      <c r="AA476" s="178"/>
      <c r="AB476" s="178"/>
      <c r="AC476" s="178"/>
      <c r="AD476" s="178"/>
      <c r="AE476" s="178"/>
      <c r="AF476" s="178"/>
      <c r="AG476" s="178"/>
      <c r="AH476" s="178"/>
      <c r="AI476" s="178"/>
      <c r="AJ476" s="178"/>
    </row>
    <row r="477" spans="1:36" s="175" customFormat="1" ht="15" hidden="1">
      <c r="A477" s="130"/>
      <c r="B477" s="240" t="s">
        <v>343</v>
      </c>
      <c r="C477" s="78"/>
      <c r="D477" s="58"/>
      <c r="E477" s="58"/>
      <c r="F477" s="58"/>
      <c r="G477" s="58"/>
      <c r="H477" s="58"/>
      <c r="I477" s="58"/>
      <c r="J477" s="184"/>
      <c r="K477" s="338" t="s">
        <v>27</v>
      </c>
      <c r="L477" s="338" t="s">
        <v>313</v>
      </c>
      <c r="M477" s="338" t="s">
        <v>91</v>
      </c>
      <c r="N477" s="338" t="s">
        <v>315</v>
      </c>
      <c r="O477" s="241" t="s">
        <v>316</v>
      </c>
      <c r="P477" s="241" t="s">
        <v>312</v>
      </c>
      <c r="Q477" s="184"/>
    </row>
    <row r="478" spans="1:36" s="175" customFormat="1" ht="15" hidden="1">
      <c r="A478" s="130"/>
      <c r="B478" s="246" t="s">
        <v>558</v>
      </c>
      <c r="C478" s="78">
        <v>5000</v>
      </c>
      <c r="D478" s="58"/>
      <c r="E478" s="58"/>
      <c r="F478" s="58"/>
      <c r="G478" s="58"/>
      <c r="H478" s="58"/>
      <c r="I478" s="58"/>
      <c r="J478" s="184"/>
      <c r="K478" s="263" t="s">
        <v>27</v>
      </c>
      <c r="L478" s="263" t="s">
        <v>42</v>
      </c>
      <c r="M478" s="216" t="s">
        <v>60</v>
      </c>
      <c r="N478" s="247" t="str">
        <f>B478</f>
        <v>Going off load…</v>
      </c>
      <c r="O478" s="210">
        <f>C478</f>
        <v>5000</v>
      </c>
      <c r="P478" s="184"/>
      <c r="Q478" s="184"/>
    </row>
    <row r="479" spans="1:36" s="175" customFormat="1" ht="15.75" hidden="1" thickBot="1">
      <c r="A479" s="130"/>
      <c r="B479" s="240" t="s">
        <v>427</v>
      </c>
      <c r="C479" s="78">
        <v>2</v>
      </c>
      <c r="D479" s="58"/>
      <c r="E479" s="455"/>
      <c r="F479" s="58"/>
      <c r="G479" s="58"/>
      <c r="H479" s="58"/>
      <c r="I479" s="58"/>
      <c r="J479" s="184"/>
      <c r="K479" s="263" t="s">
        <v>27</v>
      </c>
      <c r="L479" s="263" t="s">
        <v>318</v>
      </c>
      <c r="M479" s="263" t="s">
        <v>55</v>
      </c>
      <c r="N479" s="263" t="s">
        <v>33</v>
      </c>
      <c r="O479" s="241">
        <v>2</v>
      </c>
      <c r="P479" s="241"/>
      <c r="Q479" s="184"/>
    </row>
    <row r="480" spans="1:36" s="175" customFormat="1" ht="15" hidden="1" customHeight="1" thickBot="1">
      <c r="A480" s="132" cm="1">
        <f t="array" ref="A480">SSATSLineNumbers(A480,0.01)</f>
        <v>3.16</v>
      </c>
      <c r="B480" s="244" t="s">
        <v>428</v>
      </c>
      <c r="C480" s="66">
        <v>24650</v>
      </c>
      <c r="D480" s="84"/>
      <c r="E480" s="457" t="str">
        <f>IF(E479="","[AUTO]",E479*T480)</f>
        <v>[AUTO]</v>
      </c>
      <c r="F480" s="86">
        <f t="shared" ref="F480:H481" ca="1" si="9">P480</f>
        <v>24550</v>
      </c>
      <c r="G480" s="86">
        <f t="shared" ca="1" si="9"/>
        <v>24750</v>
      </c>
      <c r="H480" s="86" t="str">
        <f t="shared" ca="1" si="9"/>
        <v>V</v>
      </c>
      <c r="I480" s="59" t="str">
        <f>IF(E480 ="[AUTO]","TBC", IF(AND(E480&gt;=F480,E480&lt;=G480 ),"Pass","Fail"))</f>
        <v>TBC</v>
      </c>
      <c r="J480" s="184"/>
      <c r="K480" s="263" t="s">
        <v>80</v>
      </c>
      <c r="L480" s="184"/>
      <c r="M480" s="184"/>
      <c r="N480" s="184"/>
      <c r="O480" s="184"/>
      <c r="P480" s="245">
        <f ca="1">C480+(INDEX(tblProductScalesMeasures[Min],MATCH(_xlfn.CONCAT(B480),tblProductScalesMeasures[Description],0)))</f>
        <v>24550</v>
      </c>
      <c r="Q480" s="245">
        <f ca="1">C480+(INDEX(tblProductScalesMeasures[Max],MATCH(_xlfn.CONCAT(B480),tblProductScalesMeasures[Description],0)))</f>
        <v>24750</v>
      </c>
      <c r="R480" s="245" t="str">
        <f ca="1">(INDEX(tblProductScalesMeasures[Unit],MATCH(_xlfn.CONCAT(B480),tblProductScalesMeasures[Description],0)))</f>
        <v>V</v>
      </c>
      <c r="S480" s="177"/>
      <c r="T480" s="245">
        <f ca="1">IF(COUNTIF(tblExempt[],R480)&gt;0,0,INDEX(tblScaling[Divider],MATCH(_xlfn.CONCAT(IF(ISNUMBER(SEARCH(" ",section_3_heading))=TRUE,SUBSTITUTE(section_3_heading," ",""),"")," ",R480),tblScaling[Description],0)))</f>
        <v>10000</v>
      </c>
    </row>
    <row r="481" spans="1:36" s="45" customFormat="1" ht="16.5" hidden="1" customHeight="1" thickBot="1">
      <c r="A481" s="132" cm="1">
        <f t="array" ref="A481">SSATSLineNumbers(A481,0.01)</f>
        <v>3.17</v>
      </c>
      <c r="B481" s="244" t="str">
        <f ca="1">ATE_Settings!Y77</f>
        <v>L2 Load Regulation Positive (V)</v>
      </c>
      <c r="C481" s="243"/>
      <c r="D481" s="84"/>
      <c r="E481" s="457" t="str">
        <f>IF(OR(E480="[AUTO]",E475="[AUTO]")=TRUE,"[AUTO]",E475-E480)</f>
        <v>[AUTO]</v>
      </c>
      <c r="F481" s="86">
        <f t="shared" ca="1" si="9"/>
        <v>-1.25</v>
      </c>
      <c r="G481" s="86">
        <f t="shared" ca="1" si="9"/>
        <v>1.25</v>
      </c>
      <c r="H481" s="86" t="str">
        <f t="shared" ca="1" si="9"/>
        <v>V</v>
      </c>
      <c r="I481" s="59" t="str">
        <f>IF(E481 ="[AUTO]","TBC", IF(AND(E481&gt;=F481,E481&lt;=G481 ),"Pass","Fail"))</f>
        <v>TBC</v>
      </c>
      <c r="J481" s="184"/>
      <c r="K481" s="263" t="s">
        <v>80</v>
      </c>
      <c r="L481" s="263"/>
      <c r="M481" s="263"/>
      <c r="N481" s="263"/>
      <c r="O481" s="184"/>
      <c r="P481" s="245">
        <f ca="1">C481+(INDEX(tblProductScalesMeasures[Min],MATCH(_xlfn.CONCAT(B481),tblProductScalesMeasures[Description],0)))</f>
        <v>-1.25</v>
      </c>
      <c r="Q481" s="245">
        <f ca="1">C481+(INDEX(tblProductScalesMeasures[Max],MATCH(_xlfn.CONCAT(B481),tblProductScalesMeasures[Description],0)))</f>
        <v>1.25</v>
      </c>
      <c r="R481" s="245" t="str">
        <f ca="1">(INDEX(tblProductScalesMeasures[Unit],MATCH(_xlfn.CONCAT(B481),tblProductScalesMeasures[Description],0)))</f>
        <v>V</v>
      </c>
      <c r="S481" s="177"/>
      <c r="T481" s="245">
        <f ca="1">IF(COUNTIF(tblExempt[],R481)&gt;0,0,INDEX(tblScaling[Divider],MATCH(_xlfn.CONCAT(IF(ISNUMBER(SEARCH(" ",section_3_heading))=TRUE,SUBSTITUTE(section_3_heading," ",""),"")," ",R481),tblScaling[Description],0)))</f>
        <v>10000</v>
      </c>
      <c r="U481" s="177"/>
      <c r="V481" s="177"/>
      <c r="W481" s="177"/>
      <c r="X481" s="177"/>
      <c r="Y481" s="177"/>
      <c r="Z481" s="177"/>
      <c r="AA481" s="177"/>
      <c r="AB481" s="177"/>
      <c r="AC481" s="177"/>
      <c r="AD481" s="177"/>
      <c r="AE481" s="177"/>
      <c r="AF481" s="177"/>
      <c r="AG481" s="177"/>
      <c r="AH481" s="177"/>
      <c r="AI481" s="177"/>
      <c r="AJ481" s="177"/>
    </row>
    <row r="482" spans="1:36" s="180" customFormat="1" ht="16.5" hidden="1" customHeight="1" thickBot="1">
      <c r="A482" s="133"/>
      <c r="B482" s="237" t="s">
        <v>70</v>
      </c>
      <c r="C482" s="57"/>
      <c r="D482" s="57"/>
      <c r="E482" s="80"/>
      <c r="F482" s="57"/>
      <c r="G482" s="57"/>
      <c r="H482" s="57"/>
      <c r="I482" s="57"/>
      <c r="J482" s="184"/>
      <c r="K482" s="116" t="s">
        <v>27</v>
      </c>
      <c r="L482" s="116" t="s">
        <v>42</v>
      </c>
      <c r="M482" s="116" t="s">
        <v>129</v>
      </c>
      <c r="N482" s="116" t="str">
        <f ca="1">SUBSTITUTE(CELL("address",K468),"$","")</f>
        <v>K468</v>
      </c>
      <c r="O482" s="116" t="s">
        <v>130</v>
      </c>
      <c r="P482" s="228" t="s">
        <v>75</v>
      </c>
      <c r="Q482" s="250" t="str">
        <f ca="1">INDEX(tblGoSubRoutineStartCell[StartCell],MATCH(B482,tblGoSubRoutineStartCell[GoSub Routine],0))</f>
        <v>K56</v>
      </c>
      <c r="R482" s="184"/>
      <c r="S482" s="178"/>
      <c r="T482" s="178"/>
      <c r="U482" s="178"/>
      <c r="V482" s="178"/>
      <c r="W482" s="178"/>
      <c r="X482" s="178"/>
      <c r="Y482" s="178"/>
      <c r="Z482" s="178"/>
      <c r="AA482" s="178"/>
      <c r="AB482" s="178"/>
      <c r="AC482" s="178"/>
      <c r="AD482" s="178"/>
      <c r="AE482" s="178"/>
      <c r="AF482" s="178"/>
      <c r="AG482" s="178"/>
      <c r="AH482" s="178"/>
      <c r="AI482" s="178"/>
      <c r="AJ482" s="178"/>
    </row>
    <row r="483" spans="1:36" s="175" customFormat="1" ht="15" hidden="1">
      <c r="A483" s="130"/>
      <c r="B483" s="240" t="s">
        <v>426</v>
      </c>
      <c r="C483" s="78">
        <v>0</v>
      </c>
      <c r="D483" s="58"/>
      <c r="E483" s="58">
        <v>0</v>
      </c>
      <c r="F483" s="58"/>
      <c r="G483" s="58"/>
      <c r="H483" s="58"/>
      <c r="I483" s="58"/>
      <c r="J483" s="184"/>
      <c r="K483" s="241" t="str">
        <f>_xlfn.CONCAT("734|GND|OUT4|FLT(",C483,")")</f>
        <v>734|GND|OUT4|FLT(0)</v>
      </c>
      <c r="L483" s="273"/>
      <c r="M483" s="273"/>
      <c r="N483" s="273"/>
      <c r="O483" s="241"/>
      <c r="P483" s="241"/>
      <c r="Q483" s="184"/>
    </row>
    <row r="484" spans="1:36" s="175" customFormat="1" ht="15" hidden="1">
      <c r="A484" s="130"/>
      <c r="B484" s="246" t="s">
        <v>551</v>
      </c>
      <c r="C484" s="78">
        <v>27000</v>
      </c>
      <c r="D484" s="58"/>
      <c r="E484" s="58"/>
      <c r="F484" s="58"/>
      <c r="G484" s="58"/>
      <c r="H484" s="58"/>
      <c r="I484" s="58"/>
      <c r="J484" s="184"/>
      <c r="K484" s="334" t="s">
        <v>27</v>
      </c>
      <c r="L484" s="334" t="s">
        <v>42</v>
      </c>
      <c r="M484" s="216" t="s">
        <v>60</v>
      </c>
      <c r="N484" s="247" t="str">
        <f>B484</f>
        <v>Lens 2 Ramping down... DO NOT SKIP</v>
      </c>
      <c r="O484" s="210">
        <f>C484</f>
        <v>27000</v>
      </c>
      <c r="P484" s="184"/>
      <c r="Q484" s="184"/>
    </row>
    <row r="485" spans="1:36" s="175" customFormat="1" ht="15" hidden="1">
      <c r="A485" s="130"/>
      <c r="B485" s="240" t="s">
        <v>449</v>
      </c>
      <c r="C485" s="78">
        <v>6</v>
      </c>
      <c r="D485" s="58"/>
      <c r="E485" s="58">
        <v>6</v>
      </c>
      <c r="F485" s="58"/>
      <c r="G485" s="58"/>
      <c r="H485" s="58"/>
      <c r="I485" s="58"/>
      <c r="J485" s="184"/>
      <c r="K485" s="241" t="str">
        <f>_xlfn.CONCAT("734|GND|REG1|DEC(",C485,")")</f>
        <v>734|GND|REG1|DEC(6)</v>
      </c>
      <c r="L485" s="334"/>
      <c r="M485" s="334"/>
      <c r="N485" s="334"/>
      <c r="O485" s="241"/>
      <c r="P485" s="241"/>
      <c r="Q485" s="184"/>
    </row>
    <row r="486" spans="1:36" s="175" customFormat="1" ht="15" hidden="1">
      <c r="A486" s="130"/>
      <c r="B486" s="240" t="s">
        <v>343</v>
      </c>
      <c r="C486" s="78"/>
      <c r="D486" s="58"/>
      <c r="E486" s="58"/>
      <c r="F486" s="58"/>
      <c r="G486" s="58"/>
      <c r="H486" s="58"/>
      <c r="I486" s="58"/>
      <c r="J486" s="184"/>
      <c r="K486" s="334" t="s">
        <v>27</v>
      </c>
      <c r="L486" s="334" t="s">
        <v>313</v>
      </c>
      <c r="M486" s="334" t="s">
        <v>91</v>
      </c>
      <c r="N486" s="334" t="s">
        <v>315</v>
      </c>
      <c r="O486" s="241" t="s">
        <v>316</v>
      </c>
      <c r="P486" s="241" t="s">
        <v>312</v>
      </c>
      <c r="Q486" s="184"/>
    </row>
    <row r="487" spans="1:36" s="45" customFormat="1" ht="13.5" hidden="1" thickBot="1">
      <c r="A487" s="130"/>
      <c r="B487" s="84"/>
      <c r="C487" s="78"/>
      <c r="D487" s="58"/>
      <c r="E487" s="58"/>
      <c r="F487" s="58"/>
      <c r="G487" s="58"/>
      <c r="H487" s="58"/>
      <c r="I487" s="58"/>
      <c r="K487" s="50" t="s">
        <v>80</v>
      </c>
      <c r="R487" s="177"/>
      <c r="S487" s="177"/>
      <c r="T487" s="177"/>
      <c r="U487" s="177"/>
      <c r="V487" s="177"/>
      <c r="W487" s="177"/>
      <c r="X487" s="177"/>
      <c r="Y487" s="177"/>
      <c r="Z487" s="177"/>
      <c r="AA487" s="177"/>
      <c r="AB487" s="177"/>
      <c r="AC487" s="177"/>
      <c r="AD487" s="177"/>
      <c r="AE487" s="177"/>
      <c r="AF487" s="177"/>
      <c r="AG487" s="177"/>
      <c r="AH487" s="177"/>
      <c r="AI487" s="177"/>
      <c r="AJ487" s="177"/>
    </row>
    <row r="488" spans="1:36" s="175" customFormat="1" ht="20.25" hidden="1" customHeight="1" thickBot="1">
      <c r="A488" s="192"/>
      <c r="B488" s="266"/>
      <c r="C488" s="267"/>
      <c r="D488" s="269" t="s">
        <v>445</v>
      </c>
      <c r="E488" s="267"/>
      <c r="F488" s="267"/>
      <c r="G488" s="267"/>
      <c r="H488" s="267"/>
      <c r="I488" s="268"/>
      <c r="J488" s="184"/>
      <c r="K488" s="89" t="s">
        <v>80</v>
      </c>
      <c r="L488" s="184"/>
      <c r="M488" s="184"/>
      <c r="N488" s="184"/>
      <c r="O488" s="184"/>
      <c r="P488" s="184"/>
      <c r="Q488" s="184"/>
    </row>
    <row r="489" spans="1:36" s="45" customFormat="1" ht="15.75" hidden="1" thickBot="1">
      <c r="A489" s="130"/>
      <c r="B489" s="84"/>
      <c r="C489" s="78"/>
      <c r="D489" s="58"/>
      <c r="E489" s="58"/>
      <c r="F489" s="58"/>
      <c r="G489" s="58"/>
      <c r="H489" s="58"/>
      <c r="I489" s="58"/>
      <c r="J489" s="184"/>
      <c r="K489" s="89" t="s">
        <v>80</v>
      </c>
      <c r="R489" s="177"/>
      <c r="S489" s="177"/>
      <c r="T489" s="177"/>
      <c r="U489" s="177"/>
      <c r="V489" s="177"/>
      <c r="W489" s="177"/>
      <c r="X489" s="177"/>
      <c r="Y489" s="177"/>
      <c r="Z489" s="177"/>
      <c r="AA489" s="177"/>
      <c r="AB489" s="177"/>
      <c r="AC489" s="177"/>
      <c r="AD489" s="177"/>
      <c r="AE489" s="177"/>
      <c r="AF489" s="177"/>
      <c r="AG489" s="177"/>
      <c r="AH489" s="177"/>
      <c r="AI489" s="177"/>
      <c r="AJ489" s="177"/>
    </row>
    <row r="490" spans="1:36" s="175" customFormat="1" ht="15.75" hidden="1" thickBot="1">
      <c r="A490" s="130"/>
      <c r="B490" s="300" t="s">
        <v>188</v>
      </c>
      <c r="C490" s="58"/>
      <c r="D490" s="58"/>
      <c r="E490" s="58"/>
      <c r="F490" s="58"/>
      <c r="G490" s="58"/>
      <c r="H490" s="58"/>
      <c r="I490" s="58"/>
      <c r="J490" s="301"/>
      <c r="K490" s="301" t="s">
        <v>77</v>
      </c>
      <c r="L490" s="301" t="s">
        <v>75</v>
      </c>
      <c r="M490" s="238" t="s">
        <v>437</v>
      </c>
      <c r="N490" s="184"/>
      <c r="O490" s="184"/>
      <c r="P490" s="184"/>
      <c r="Q490" s="184"/>
    </row>
    <row r="491" spans="1:36" s="175" customFormat="1" ht="15" hidden="1">
      <c r="A491" s="130"/>
      <c r="B491" s="240" t="s">
        <v>343</v>
      </c>
      <c r="C491" s="78"/>
      <c r="D491" s="58"/>
      <c r="E491" s="58"/>
      <c r="F491" s="58"/>
      <c r="G491" s="58"/>
      <c r="H491" s="58"/>
      <c r="I491" s="58"/>
      <c r="J491" s="184"/>
      <c r="K491" s="301" t="s">
        <v>27</v>
      </c>
      <c r="L491" s="301" t="s">
        <v>313</v>
      </c>
      <c r="M491" s="301" t="s">
        <v>91</v>
      </c>
      <c r="N491" s="301" t="s">
        <v>315</v>
      </c>
      <c r="O491" s="241" t="s">
        <v>316</v>
      </c>
      <c r="P491" s="241" t="s">
        <v>312</v>
      </c>
      <c r="Q491" s="184"/>
    </row>
    <row r="492" spans="1:36" s="175" customFormat="1" ht="15" hidden="1">
      <c r="A492" s="130"/>
      <c r="B492" s="240" t="s">
        <v>425</v>
      </c>
      <c r="C492" s="78">
        <v>7</v>
      </c>
      <c r="D492" s="58"/>
      <c r="E492" s="58"/>
      <c r="F492" s="58"/>
      <c r="G492" s="58"/>
      <c r="H492" s="58"/>
      <c r="I492" s="58"/>
      <c r="J492" s="184"/>
      <c r="K492" s="241" t="str">
        <f>_xlfn.CONCAT("734|GND|REG1|DEC(",C492,")")</f>
        <v>734|GND|REG1|DEC(7)</v>
      </c>
      <c r="L492" s="301"/>
      <c r="M492" s="301"/>
      <c r="N492" s="301"/>
      <c r="O492" s="241"/>
      <c r="P492" s="241"/>
      <c r="Q492" s="184"/>
    </row>
    <row r="493" spans="1:36" s="175" customFormat="1" ht="15" hidden="1">
      <c r="A493" s="130"/>
      <c r="B493" s="240" t="s">
        <v>438</v>
      </c>
      <c r="C493" s="78">
        <v>5</v>
      </c>
      <c r="D493" s="58"/>
      <c r="E493" s="58"/>
      <c r="F493" s="58"/>
      <c r="G493" s="58"/>
      <c r="H493" s="58"/>
      <c r="I493" s="58"/>
      <c r="J493" s="184"/>
      <c r="K493" s="301" t="s">
        <v>27</v>
      </c>
      <c r="L493" s="301" t="s">
        <v>313</v>
      </c>
      <c r="M493" s="301" t="s">
        <v>32</v>
      </c>
      <c r="N493" s="301" t="s">
        <v>315</v>
      </c>
      <c r="O493" s="241">
        <f>C493</f>
        <v>5</v>
      </c>
      <c r="P493" s="241"/>
      <c r="Q493" s="184"/>
    </row>
    <row r="494" spans="1:36" s="175" customFormat="1" ht="15" hidden="1">
      <c r="A494" s="130"/>
      <c r="B494" s="240" t="s">
        <v>426</v>
      </c>
      <c r="C494" s="78">
        <v>-1100</v>
      </c>
      <c r="D494" s="58"/>
      <c r="E494" s="58"/>
      <c r="F494" s="58"/>
      <c r="G494" s="58"/>
      <c r="H494" s="58"/>
      <c r="I494" s="58"/>
      <c r="J494" s="184"/>
      <c r="K494" s="241" t="str">
        <f>_xlfn.CONCAT("734|GND|OUT4|FLT(",C494,")")</f>
        <v>734|GND|OUT4|FLT(-1100)</v>
      </c>
      <c r="L494" s="301"/>
      <c r="M494" s="301"/>
      <c r="N494" s="301"/>
      <c r="O494" s="241"/>
      <c r="P494" s="241"/>
      <c r="Q494" s="184"/>
    </row>
    <row r="495" spans="1:36" s="175" customFormat="1" ht="58.5" hidden="1" customHeight="1" thickBot="1">
      <c r="A495" s="131"/>
      <c r="B495" s="249" t="str">
        <f>_xlfn.CONCAT("Please check the product GUI, if the current limit flag for ", section_3_heading," has not turned red, please wait until this happens. Please press yes to confirm")</f>
        <v>Please check the product GUI, if the current limit flag for Lens 2 has not turned red, please wait until this happens. Please press yes to confirm</v>
      </c>
      <c r="C495" s="113"/>
      <c r="D495" s="113"/>
      <c r="E495" s="437"/>
      <c r="F495" s="58"/>
      <c r="G495" s="58"/>
      <c r="H495" s="58"/>
      <c r="I495" s="59" t="str">
        <f>IF(E495 ="","TBC", IF(E495="Y","Pass","Fail"))</f>
        <v>TBC</v>
      </c>
      <c r="J495" s="184"/>
      <c r="K495" s="301" t="s">
        <v>27</v>
      </c>
      <c r="L495" s="89" t="s">
        <v>42</v>
      </c>
      <c r="M495" s="301" t="s">
        <v>332</v>
      </c>
      <c r="N495" s="184" t="s">
        <v>333</v>
      </c>
      <c r="O495" s="184" t="s">
        <v>421</v>
      </c>
      <c r="P495" s="184" t="s">
        <v>334</v>
      </c>
      <c r="Q495" s="184" t="str">
        <f>B495</f>
        <v>Please check the product GUI, if the current limit flag for Lens 2 has not turned red, please wait until this happens. Please press yes to confirm</v>
      </c>
    </row>
    <row r="496" spans="1:36" s="175" customFormat="1" ht="15.75" hidden="1" thickBot="1">
      <c r="A496" s="130"/>
      <c r="B496" s="255" t="s">
        <v>70</v>
      </c>
      <c r="C496" s="78"/>
      <c r="D496" s="58"/>
      <c r="E496" s="58"/>
      <c r="F496" s="58"/>
      <c r="G496" s="58"/>
      <c r="H496" s="58"/>
      <c r="I496" s="58"/>
      <c r="J496" s="184"/>
      <c r="K496" s="116" t="s">
        <v>27</v>
      </c>
      <c r="L496" s="116" t="s">
        <v>42</v>
      </c>
      <c r="M496" s="116" t="s">
        <v>129</v>
      </c>
      <c r="N496" s="116" t="str">
        <f ca="1">SUBSTITUTE(CELL("address",K490),"$","")</f>
        <v>K490</v>
      </c>
      <c r="O496" s="116" t="s">
        <v>130</v>
      </c>
      <c r="P496" s="228" t="s">
        <v>75</v>
      </c>
      <c r="Q496" s="185" t="str">
        <f ca="1">INDEX(tblGoSubRoutineStartCell[StartCell],MATCH(B496,tblGoSubRoutineStartCell[GoSub Routine],0))</f>
        <v>K56</v>
      </c>
    </row>
    <row r="497" spans="1:36" s="175" customFormat="1" ht="15.75" hidden="1" thickBot="1">
      <c r="A497" s="130"/>
      <c r="B497" s="240" t="s">
        <v>335</v>
      </c>
      <c r="C497" s="78"/>
      <c r="D497" s="58"/>
      <c r="E497" s="456"/>
      <c r="F497" s="58"/>
      <c r="G497" s="58"/>
      <c r="H497" s="58"/>
      <c r="I497" s="58"/>
      <c r="J497" s="184"/>
      <c r="K497" s="301" t="s">
        <v>27</v>
      </c>
      <c r="L497" s="301" t="s">
        <v>319</v>
      </c>
      <c r="M497" s="301" t="s">
        <v>55</v>
      </c>
      <c r="N497" s="241" t="s">
        <v>310</v>
      </c>
      <c r="P497" s="241"/>
      <c r="Q497" s="184"/>
    </row>
    <row r="498" spans="1:36" s="175" customFormat="1" ht="16.5" hidden="1" customHeight="1" thickBot="1">
      <c r="A498" s="132" cm="1">
        <f t="array" ref="A498">SSATSLineNumbers(A498,0.01)</f>
        <v>3.18</v>
      </c>
      <c r="B498" s="244" t="s">
        <v>439</v>
      </c>
      <c r="C498" s="84">
        <v>30</v>
      </c>
      <c r="D498" s="211"/>
      <c r="E498" s="458" t="str">
        <f>IF(E497="","[AUTO]",(E497*T498)*-1)</f>
        <v>[AUTO]</v>
      </c>
      <c r="F498" s="212">
        <f ca="1">P498</f>
        <v>30</v>
      </c>
      <c r="G498" s="86">
        <f ca="1">Q498</f>
        <v>33</v>
      </c>
      <c r="H498" s="86" t="str">
        <f ca="1">R498</f>
        <v>uA</v>
      </c>
      <c r="I498" s="59" t="str">
        <f>IF(E498 ="[AUTO]","TBC", IF(AND(E498&gt;=F498,E498&lt;=G498 ),"Pass","Fail"))</f>
        <v>TBC</v>
      </c>
      <c r="J498" s="184"/>
      <c r="K498" s="301" t="s">
        <v>80</v>
      </c>
      <c r="L498" s="184"/>
      <c r="M498" s="184"/>
      <c r="N498" s="184"/>
      <c r="O498" s="184"/>
      <c r="P498" s="245">
        <f ca="1">C498+(INDEX(tblProductScalesMeasures[Min],MATCH(_xlfn.CONCAT(B498),tblProductScalesMeasures[Description],0)))</f>
        <v>30</v>
      </c>
      <c r="Q498" s="245">
        <f ca="1">C498+(INDEX(tblProductScalesMeasures[Max],MATCH(_xlfn.CONCAT(B498),tblProductScalesMeasures[Description],0)))</f>
        <v>33</v>
      </c>
      <c r="R498" s="245" t="str">
        <f ca="1">(INDEX(tblProductScalesMeasures[Unit],MATCH(_xlfn.CONCAT(B498),tblProductScalesMeasures[Description],0)))</f>
        <v>uA</v>
      </c>
      <c r="S498" s="177"/>
      <c r="T498" s="245">
        <f ca="1">IF(COUNTIF(tblExempt[],R498)&gt;0,0,INDEX(tblScaling[Divider],MATCH(_xlfn.CONCAT(IF(ISNUMBER(SEARCH(" ",section_3_heading))=TRUE,SUBSTITUTE(section_3_heading," ",""),"")," ",R498),tblScaling[Description],0)))</f>
        <v>1000000</v>
      </c>
      <c r="U498" s="184"/>
    </row>
    <row r="499" spans="1:36" s="175" customFormat="1" ht="15.75" hidden="1" thickBot="1">
      <c r="A499" s="130"/>
      <c r="B499" s="240" t="s">
        <v>426</v>
      </c>
      <c r="C499" s="78">
        <v>-14750</v>
      </c>
      <c r="D499" s="58"/>
      <c r="E499" s="58"/>
      <c r="F499" s="58"/>
      <c r="G499" s="58"/>
      <c r="H499" s="58"/>
      <c r="I499" s="58"/>
      <c r="J499" s="184"/>
      <c r="K499" s="241" t="str">
        <f>_xlfn.CONCAT("734|GND|OUT4|FLT(",C499,")")</f>
        <v>734|GND|OUT4|FLT(-14750)</v>
      </c>
      <c r="L499" s="301"/>
      <c r="M499" s="301"/>
      <c r="N499" s="301"/>
      <c r="O499" s="241"/>
      <c r="P499" s="241"/>
      <c r="Q499" s="184"/>
    </row>
    <row r="500" spans="1:36" s="175" customFormat="1" ht="15.75" hidden="1" thickBot="1">
      <c r="A500" s="130"/>
      <c r="B500" s="255" t="s">
        <v>70</v>
      </c>
      <c r="C500" s="78"/>
      <c r="D500" s="58"/>
      <c r="E500" s="58"/>
      <c r="F500" s="58"/>
      <c r="G500" s="58"/>
      <c r="H500" s="58"/>
      <c r="I500" s="58"/>
      <c r="J500" s="184"/>
      <c r="K500" s="116" t="s">
        <v>27</v>
      </c>
      <c r="L500" s="116" t="s">
        <v>42</v>
      </c>
      <c r="M500" s="116" t="s">
        <v>129</v>
      </c>
      <c r="N500" s="116" t="str">
        <f ca="1">SUBSTITUTE(CELL("address",K490),"$","")</f>
        <v>K490</v>
      </c>
      <c r="O500" s="116" t="s">
        <v>130</v>
      </c>
      <c r="P500" s="228" t="s">
        <v>75</v>
      </c>
      <c r="Q500" s="185" t="str">
        <f ca="1">INDEX(tblGoSubRoutineStartCell[StartCell],MATCH(B500,tblGoSubRoutineStartCell[GoSub Routine],0))</f>
        <v>K56</v>
      </c>
    </row>
    <row r="501" spans="1:36" s="175" customFormat="1" ht="15" hidden="1">
      <c r="A501" s="130"/>
      <c r="B501" s="253" t="s">
        <v>523</v>
      </c>
      <c r="C501" s="78">
        <v>10000</v>
      </c>
      <c r="D501" s="58"/>
      <c r="E501" s="58"/>
      <c r="F501" s="58"/>
      <c r="G501" s="58"/>
      <c r="H501" s="58"/>
      <c r="I501" s="58"/>
      <c r="J501" s="184"/>
      <c r="K501" s="301" t="s">
        <v>27</v>
      </c>
      <c r="L501" s="301" t="s">
        <v>42</v>
      </c>
      <c r="M501" s="216" t="s">
        <v>60</v>
      </c>
      <c r="N501" s="247" t="str">
        <f>B501</f>
        <v>Settling…</v>
      </c>
      <c r="O501" s="210">
        <f>C501</f>
        <v>10000</v>
      </c>
      <c r="P501" s="184"/>
      <c r="Q501" s="184"/>
    </row>
    <row r="502" spans="1:36" s="175" customFormat="1" ht="41.25" hidden="1" customHeight="1" thickBot="1">
      <c r="A502" s="131"/>
      <c r="B502" s="249" t="str">
        <f>_xlfn.CONCAT("Please check product GUI to see if a fault OR arc detect has occurred on ",section_3_heading, " This mean the UUT has tripped.")</f>
        <v>Please check product GUI to see if a fault OR arc detect has occurred on Lens 2 This mean the UUT has tripped.</v>
      </c>
      <c r="C502" s="113"/>
      <c r="D502" s="113"/>
      <c r="E502" s="437"/>
      <c r="F502" s="58"/>
      <c r="G502" s="58"/>
      <c r="H502" s="58"/>
      <c r="I502" s="59" t="str">
        <f>IF(E502 ="","TBC", IF(E502="Y","Pass","Fail"))</f>
        <v>TBC</v>
      </c>
      <c r="J502" s="184"/>
      <c r="K502" s="301" t="s">
        <v>27</v>
      </c>
      <c r="L502" s="89" t="s">
        <v>42</v>
      </c>
      <c r="M502" s="301" t="s">
        <v>332</v>
      </c>
      <c r="N502" s="184" t="s">
        <v>333</v>
      </c>
      <c r="O502" s="184" t="s">
        <v>421</v>
      </c>
      <c r="P502" s="184" t="s">
        <v>334</v>
      </c>
      <c r="Q502" s="184" t="str">
        <f>B502</f>
        <v>Please check product GUI to see if a fault OR arc detect has occurred on Lens 2 This mean the UUT has tripped.</v>
      </c>
    </row>
    <row r="503" spans="1:36" s="175" customFormat="1" ht="15.75" hidden="1" thickBot="1">
      <c r="A503" s="130"/>
      <c r="B503" s="255" t="s">
        <v>70</v>
      </c>
      <c r="C503" s="78"/>
      <c r="D503" s="58"/>
      <c r="E503" s="58"/>
      <c r="F503" s="58"/>
      <c r="G503" s="58"/>
      <c r="H503" s="58"/>
      <c r="I503" s="58"/>
      <c r="J503" s="184"/>
      <c r="K503" s="116" t="s">
        <v>27</v>
      </c>
      <c r="L503" s="116" t="s">
        <v>42</v>
      </c>
      <c r="M503" s="116" t="s">
        <v>129</v>
      </c>
      <c r="N503" s="116" t="str">
        <f ca="1">SUBSTITUTE(CELL("address",K490),"$","")</f>
        <v>K490</v>
      </c>
      <c r="O503" s="116" t="s">
        <v>130</v>
      </c>
      <c r="P503" s="228" t="s">
        <v>75</v>
      </c>
      <c r="Q503" s="185" t="str">
        <f ca="1">INDEX(tblGoSubRoutineStartCell[StartCell],MATCH(B503,tblGoSubRoutineStartCell[GoSub Routine],0))</f>
        <v>K56</v>
      </c>
    </row>
    <row r="504" spans="1:36" s="175" customFormat="1" ht="40.5" hidden="1" customHeight="1" thickBot="1">
      <c r="A504" s="131"/>
      <c r="B504" s="249" t="s">
        <v>440</v>
      </c>
      <c r="C504" s="113"/>
      <c r="D504" s="113"/>
      <c r="E504" s="437"/>
      <c r="F504" s="58"/>
      <c r="G504" s="58"/>
      <c r="H504" s="58"/>
      <c r="I504" s="59" t="str">
        <f>IF(E504 ="","TBC", IF(E504="Y","Pass","Fail"))</f>
        <v>TBC</v>
      </c>
      <c r="J504" s="184"/>
      <c r="K504" s="301" t="s">
        <v>27</v>
      </c>
      <c r="L504" s="89" t="s">
        <v>42</v>
      </c>
      <c r="M504" s="301" t="s">
        <v>332</v>
      </c>
      <c r="N504" s="184" t="s">
        <v>333</v>
      </c>
      <c r="O504" s="184" t="s">
        <v>421</v>
      </c>
      <c r="P504" s="184" t="s">
        <v>334</v>
      </c>
      <c r="Q504" s="184" t="str">
        <f>B504</f>
        <v>Please check the front of the UUT to see if LENS 2 fault LED is illuminated. Is it illuminated?</v>
      </c>
    </row>
    <row r="505" spans="1:36" s="175" customFormat="1" ht="15.75" hidden="1" thickBot="1">
      <c r="A505" s="130"/>
      <c r="B505" s="255" t="s">
        <v>70</v>
      </c>
      <c r="C505" s="78"/>
      <c r="D505" s="58"/>
      <c r="E505" s="58"/>
      <c r="F505" s="58"/>
      <c r="G505" s="58"/>
      <c r="H505" s="58"/>
      <c r="I505" s="58"/>
      <c r="J505" s="184"/>
      <c r="K505" s="116" t="s">
        <v>27</v>
      </c>
      <c r="L505" s="116" t="s">
        <v>42</v>
      </c>
      <c r="M505" s="116" t="s">
        <v>129</v>
      </c>
      <c r="N505" s="116" t="str">
        <f ca="1">SUBSTITUTE(CELL("address",K490),"$","")</f>
        <v>K490</v>
      </c>
      <c r="O505" s="116" t="s">
        <v>130</v>
      </c>
      <c r="P505" s="228" t="s">
        <v>75</v>
      </c>
      <c r="Q505" s="185" t="str">
        <f ca="1">INDEX(tblGoSubRoutineStartCell[StartCell],MATCH(B505,tblGoSubRoutineStartCell[GoSub Routine],0))</f>
        <v>K56</v>
      </c>
    </row>
    <row r="506" spans="1:36" s="175" customFormat="1" ht="40.5" hidden="1" customHeight="1" thickBot="1">
      <c r="A506" s="131"/>
      <c r="B506" s="253" t="s">
        <v>524</v>
      </c>
      <c r="C506" s="113"/>
      <c r="D506" s="113"/>
      <c r="E506" s="437"/>
      <c r="F506" s="58"/>
      <c r="G506" s="58"/>
      <c r="H506" s="58"/>
      <c r="I506" s="59" t="str">
        <f>IF(E506 ="","TBC", IF(E506="Y","Pass","Fail"))</f>
        <v>TBC</v>
      </c>
      <c r="J506" s="184"/>
      <c r="K506" s="301" t="s">
        <v>27</v>
      </c>
      <c r="L506" s="89" t="s">
        <v>42</v>
      </c>
      <c r="M506" s="301" t="s">
        <v>332</v>
      </c>
      <c r="N506" s="184" t="s">
        <v>333</v>
      </c>
      <c r="O506" s="184" t="s">
        <v>421</v>
      </c>
      <c r="P506" s="184" t="s">
        <v>334</v>
      </c>
      <c r="Q506" s="184" t="str">
        <f>B506</f>
        <v>Please press "Reset" on the product GUI, and wait for Polling to restart. Press yes if the UUT continues communicating.</v>
      </c>
    </row>
    <row r="507" spans="1:36" s="175" customFormat="1" ht="15.75" hidden="1" thickBot="1">
      <c r="A507" s="130"/>
      <c r="B507" s="255" t="s">
        <v>70</v>
      </c>
      <c r="C507" s="78"/>
      <c r="D507" s="58"/>
      <c r="E507" s="58"/>
      <c r="F507" s="58"/>
      <c r="G507" s="58"/>
      <c r="H507" s="58"/>
      <c r="I507" s="58"/>
      <c r="J507" s="184"/>
      <c r="K507" s="116" t="s">
        <v>27</v>
      </c>
      <c r="L507" s="116" t="s">
        <v>42</v>
      </c>
      <c r="M507" s="116" t="s">
        <v>129</v>
      </c>
      <c r="N507" s="116" t="str">
        <f ca="1">SUBSTITUTE(CELL("address",K490),"$","")</f>
        <v>K490</v>
      </c>
      <c r="O507" s="116" t="s">
        <v>130</v>
      </c>
      <c r="P507" s="228" t="s">
        <v>75</v>
      </c>
      <c r="Q507" s="185" t="str">
        <f ca="1">INDEX(tblGoSubRoutineStartCell[StartCell],MATCH(B507,tblGoSubRoutineStartCell[GoSub Routine],0))</f>
        <v>K56</v>
      </c>
    </row>
    <row r="508" spans="1:36" s="175" customFormat="1" ht="67.5" hidden="1" customHeight="1" thickBot="1">
      <c r="A508" s="131"/>
      <c r="B508" s="249" t="s">
        <v>441</v>
      </c>
      <c r="C508" s="113"/>
      <c r="D508" s="113"/>
      <c r="E508" s="437"/>
      <c r="F508" s="58"/>
      <c r="G508" s="58"/>
      <c r="H508" s="58"/>
      <c r="I508" s="59" t="str">
        <f>IF(E508 ="","TBC", IF(E508="Y","Pass","Fail"))</f>
        <v>TBC</v>
      </c>
      <c r="J508" s="184"/>
      <c r="K508" s="301" t="s">
        <v>27</v>
      </c>
      <c r="L508" s="89" t="s">
        <v>42</v>
      </c>
      <c r="M508" s="301" t="s">
        <v>332</v>
      </c>
      <c r="N508" s="184" t="s">
        <v>333</v>
      </c>
      <c r="O508" s="184" t="s">
        <v>421</v>
      </c>
      <c r="P508" s="184" t="s">
        <v>334</v>
      </c>
      <c r="Q508" s="184" t="str">
        <f>B508</f>
        <v>Now the GUI has been refreshed, please check the GUI to monitor if the error has cleared, and that the fault LED for LENS 2 on the UUT has gone out. Are these both true?</v>
      </c>
    </row>
    <row r="509" spans="1:36" s="180" customFormat="1" ht="16.5" hidden="1" customHeight="1" thickBot="1">
      <c r="A509" s="133"/>
      <c r="B509" s="255" t="s">
        <v>70</v>
      </c>
      <c r="C509" s="57"/>
      <c r="D509" s="57"/>
      <c r="E509" s="80"/>
      <c r="F509" s="57"/>
      <c r="G509" s="57"/>
      <c r="H509" s="57"/>
      <c r="I509" s="57"/>
      <c r="J509" s="184"/>
      <c r="K509" s="116" t="s">
        <v>27</v>
      </c>
      <c r="L509" s="116" t="s">
        <v>42</v>
      </c>
      <c r="M509" s="116" t="s">
        <v>129</v>
      </c>
      <c r="N509" s="116" t="str">
        <f ca="1">SUBSTITUTE(CELL("address",K490),"$","")</f>
        <v>K490</v>
      </c>
      <c r="O509" s="116" t="s">
        <v>130</v>
      </c>
      <c r="P509" s="228" t="s">
        <v>75</v>
      </c>
      <c r="Q509" s="250" t="str">
        <f ca="1">INDEX(tblGoSubRoutineStartCell[StartCell],MATCH(B509,tblGoSubRoutineStartCell[GoSub Routine],0))</f>
        <v>K56</v>
      </c>
      <c r="R509" s="184"/>
      <c r="S509" s="178"/>
      <c r="T509" s="178"/>
      <c r="U509" s="178"/>
      <c r="V509" s="178"/>
      <c r="W509" s="178"/>
      <c r="X509" s="178"/>
      <c r="Y509" s="178"/>
      <c r="Z509" s="178"/>
      <c r="AA509" s="178"/>
      <c r="AB509" s="178"/>
      <c r="AC509" s="178"/>
      <c r="AD509" s="178"/>
      <c r="AE509" s="178"/>
      <c r="AF509" s="178"/>
      <c r="AG509" s="178"/>
      <c r="AH509" s="178"/>
      <c r="AI509" s="178"/>
      <c r="AJ509" s="178"/>
    </row>
    <row r="510" spans="1:36" s="175" customFormat="1" ht="15" hidden="1">
      <c r="A510" s="130"/>
      <c r="B510" s="240" t="s">
        <v>343</v>
      </c>
      <c r="C510" s="78"/>
      <c r="D510" s="58"/>
      <c r="E510" s="58"/>
      <c r="F510" s="58"/>
      <c r="G510" s="58"/>
      <c r="H510" s="58"/>
      <c r="I510" s="58"/>
      <c r="J510" s="184"/>
      <c r="K510" s="263" t="s">
        <v>27</v>
      </c>
      <c r="L510" s="263" t="s">
        <v>313</v>
      </c>
      <c r="M510" s="263" t="s">
        <v>91</v>
      </c>
      <c r="N510" s="263" t="s">
        <v>315</v>
      </c>
      <c r="O510" s="241" t="s">
        <v>316</v>
      </c>
      <c r="P510" s="241" t="s">
        <v>312</v>
      </c>
      <c r="Q510" s="184"/>
    </row>
    <row r="511" spans="1:36" s="175" customFormat="1" ht="15" hidden="1">
      <c r="A511" s="130"/>
      <c r="B511" s="240" t="s">
        <v>425</v>
      </c>
      <c r="C511" s="78">
        <v>7</v>
      </c>
      <c r="D511" s="58"/>
      <c r="E511" s="58"/>
      <c r="F511" s="58"/>
      <c r="G511" s="58"/>
      <c r="H511" s="58"/>
      <c r="I511" s="58"/>
      <c r="J511" s="184"/>
      <c r="K511" s="241" t="str">
        <f>_xlfn.CONCAT("734|GND|REG1|DEC(",C511,")")</f>
        <v>734|GND|REG1|DEC(7)</v>
      </c>
      <c r="L511" s="263"/>
      <c r="M511" s="263"/>
      <c r="N511" s="263"/>
      <c r="O511" s="241"/>
      <c r="P511" s="241"/>
      <c r="Q511" s="184"/>
    </row>
    <row r="512" spans="1:36" s="175" customFormat="1" ht="15" hidden="1">
      <c r="A512" s="130"/>
      <c r="B512" s="240" t="s">
        <v>446</v>
      </c>
      <c r="C512" s="78">
        <v>4</v>
      </c>
      <c r="D512" s="58"/>
      <c r="E512" s="58"/>
      <c r="F512" s="58"/>
      <c r="G512" s="58"/>
      <c r="H512" s="58"/>
      <c r="I512" s="58"/>
      <c r="J512" s="184"/>
      <c r="K512" s="263" t="s">
        <v>27</v>
      </c>
      <c r="L512" s="263" t="s">
        <v>313</v>
      </c>
      <c r="M512" s="263" t="s">
        <v>32</v>
      </c>
      <c r="N512" s="263" t="s">
        <v>315</v>
      </c>
      <c r="O512" s="241">
        <f>C512</f>
        <v>4</v>
      </c>
      <c r="P512" s="241"/>
      <c r="Q512" s="184"/>
    </row>
    <row r="513" spans="1:36" s="175" customFormat="1" ht="15" hidden="1">
      <c r="A513" s="130"/>
      <c r="B513" s="240" t="s">
        <v>426</v>
      </c>
      <c r="C513" s="78">
        <v>-13420</v>
      </c>
      <c r="D513" s="58"/>
      <c r="E513" s="58"/>
      <c r="F513" s="58"/>
      <c r="G513" s="58"/>
      <c r="H513" s="58"/>
      <c r="I513" s="58"/>
      <c r="J513" s="184"/>
      <c r="K513" s="241" t="str">
        <f>_xlfn.CONCAT("734|GND|OUT4|FLT(",C513,")")</f>
        <v>734|GND|OUT4|FLT(-13420)</v>
      </c>
      <c r="L513" s="263"/>
      <c r="M513" s="263"/>
      <c r="N513" s="263"/>
      <c r="O513" s="241"/>
      <c r="P513" s="241"/>
      <c r="Q513" s="184"/>
    </row>
    <row r="514" spans="1:36" s="175" customFormat="1" ht="15" hidden="1">
      <c r="A514" s="130"/>
      <c r="B514" s="249" t="s">
        <v>432</v>
      </c>
      <c r="C514" s="78">
        <v>20000</v>
      </c>
      <c r="D514" s="58"/>
      <c r="E514" s="58"/>
      <c r="F514" s="58"/>
      <c r="G514" s="58"/>
      <c r="H514" s="58"/>
      <c r="I514" s="58"/>
      <c r="J514" s="184"/>
      <c r="K514" s="263" t="s">
        <v>27</v>
      </c>
      <c r="L514" s="263" t="s">
        <v>42</v>
      </c>
      <c r="M514" s="216" t="s">
        <v>60</v>
      </c>
      <c r="N514" s="247" t="str">
        <f>B514</f>
        <v>Lens 2 Initialising…</v>
      </c>
      <c r="O514" s="210">
        <f>C514</f>
        <v>20000</v>
      </c>
      <c r="P514" s="184"/>
      <c r="Q514" s="184"/>
    </row>
    <row r="515" spans="1:36" s="175" customFormat="1" ht="15.75" hidden="1" customHeight="1" thickBot="1">
      <c r="A515" s="130"/>
      <c r="B515" s="240" t="s">
        <v>335</v>
      </c>
      <c r="C515" s="78"/>
      <c r="D515" s="58"/>
      <c r="E515" s="459"/>
      <c r="F515" s="58"/>
      <c r="G515" s="58"/>
      <c r="H515" s="58"/>
      <c r="I515" s="58"/>
      <c r="J515" s="184"/>
      <c r="K515" s="263" t="s">
        <v>27</v>
      </c>
      <c r="L515" s="263" t="s">
        <v>319</v>
      </c>
      <c r="M515" s="263" t="s">
        <v>55</v>
      </c>
      <c r="N515" s="241" t="s">
        <v>310</v>
      </c>
      <c r="O515" s="184"/>
      <c r="P515" s="184"/>
      <c r="Q515" s="184"/>
    </row>
    <row r="516" spans="1:36" s="45" customFormat="1" ht="16.5" hidden="1" customHeight="1" thickBot="1">
      <c r="A516" s="132" cm="1">
        <f t="array" ref="A516">SSATSLineNumbers(A516,0.01)</f>
        <v>3.19</v>
      </c>
      <c r="B516" s="244" t="str">
        <f ca="1">ATE_Settings!Y67</f>
        <v>L2 Output Current @ 28uA (uA)</v>
      </c>
      <c r="C516" s="243"/>
      <c r="D516" s="84"/>
      <c r="E516" s="457" t="str">
        <f>IF(E515="","[AUTO]",(E515*T516)*-1)</f>
        <v>[AUTO]</v>
      </c>
      <c r="F516" s="86">
        <f ca="1">P516</f>
        <v>25.5</v>
      </c>
      <c r="G516" s="86">
        <f ca="1">Q516</f>
        <v>29.5</v>
      </c>
      <c r="H516" s="86" t="str">
        <f ca="1">R516</f>
        <v>uA</v>
      </c>
      <c r="I516" s="59" t="str">
        <f>IF(E516 ="[AUTO]","TBC", IF(AND(E516&gt;=F516,E516&lt;=G516 ),"Pass","Fail"))</f>
        <v>TBC</v>
      </c>
      <c r="J516" s="184"/>
      <c r="K516" s="263" t="s">
        <v>80</v>
      </c>
      <c r="L516" s="263"/>
      <c r="M516" s="263"/>
      <c r="N516" s="263"/>
      <c r="O516" s="184"/>
      <c r="P516" s="245">
        <f ca="1">C516+(INDEX(tblProductScalesMeasures[Min],MATCH(_xlfn.CONCAT(B516),tblProductScalesMeasures[Description],0)))</f>
        <v>25.5</v>
      </c>
      <c r="Q516" s="245">
        <f ca="1">C516+(INDEX(tblProductScalesMeasures[Max],MATCH(_xlfn.CONCAT(B516),tblProductScalesMeasures[Description],0)))</f>
        <v>29.5</v>
      </c>
      <c r="R516" s="245" t="str">
        <f ca="1">(INDEX(tblProductScalesMeasures[Unit],MATCH(_xlfn.CONCAT(B516),tblProductScalesMeasures[Description],0)))</f>
        <v>uA</v>
      </c>
      <c r="S516" s="177"/>
      <c r="T516" s="245">
        <f ca="1">IF(COUNTIF(tblExempt[],R516)&gt;0,0,INDEX(tblScaling[Divider],MATCH(_xlfn.CONCAT(IF(ISNUMBER(SEARCH(" ",section_3_heading))=TRUE,SUBSTITUTE(section_3_heading," ",""),"")," ",R516),tblScaling[Description],0)))</f>
        <v>1000000</v>
      </c>
      <c r="U516" s="177"/>
      <c r="V516" s="177"/>
      <c r="W516" s="177"/>
      <c r="X516" s="177"/>
      <c r="Y516" s="177"/>
      <c r="Z516" s="177"/>
      <c r="AA516" s="177"/>
      <c r="AB516" s="177"/>
      <c r="AC516" s="177"/>
      <c r="AD516" s="177"/>
      <c r="AE516" s="177"/>
      <c r="AF516" s="177"/>
      <c r="AG516" s="177"/>
      <c r="AH516" s="177"/>
      <c r="AI516" s="177"/>
      <c r="AJ516" s="177"/>
    </row>
    <row r="517" spans="1:36" s="180" customFormat="1" ht="16.5" hidden="1" customHeight="1" thickBot="1">
      <c r="A517" s="133"/>
      <c r="B517" s="237" t="s">
        <v>70</v>
      </c>
      <c r="C517" s="57"/>
      <c r="D517" s="57"/>
      <c r="E517" s="80"/>
      <c r="F517" s="57"/>
      <c r="G517" s="57"/>
      <c r="H517" s="57"/>
      <c r="I517" s="57"/>
      <c r="J517" s="184"/>
      <c r="K517" s="116" t="s">
        <v>27</v>
      </c>
      <c r="L517" s="116" t="s">
        <v>42</v>
      </c>
      <c r="M517" s="116" t="s">
        <v>129</v>
      </c>
      <c r="N517" s="116" t="str">
        <f ca="1">SUBSTITUTE(CELL("address",K515),"$","")</f>
        <v>K515</v>
      </c>
      <c r="O517" s="116" t="s">
        <v>130</v>
      </c>
      <c r="P517" s="228" t="s">
        <v>75</v>
      </c>
      <c r="Q517" s="250" t="str">
        <f ca="1">INDEX(tblGoSubRoutineStartCell[StartCell],MATCH(B517,tblGoSubRoutineStartCell[GoSub Routine],0))</f>
        <v>K56</v>
      </c>
      <c r="R517" s="184"/>
      <c r="S517" s="178"/>
      <c r="T517" s="178"/>
      <c r="U517" s="178"/>
      <c r="V517" s="178"/>
      <c r="W517" s="178"/>
      <c r="X517" s="178"/>
      <c r="Y517" s="178"/>
      <c r="Z517" s="178"/>
      <c r="AA517" s="178"/>
      <c r="AB517" s="178"/>
      <c r="AC517" s="178"/>
      <c r="AD517" s="178"/>
      <c r="AE517" s="178"/>
      <c r="AF517" s="178"/>
      <c r="AG517" s="178"/>
      <c r="AH517" s="178"/>
      <c r="AI517" s="178"/>
      <c r="AJ517" s="178"/>
    </row>
    <row r="518" spans="1:36" s="45" customFormat="1" ht="16.5" hidden="1" customHeight="1" thickBot="1">
      <c r="A518" s="132" cm="1">
        <f t="array" ref="A518">SSATSLineNumbers(A518,0.01)</f>
        <v>3.2</v>
      </c>
      <c r="B518" s="242" t="s">
        <v>353</v>
      </c>
      <c r="C518" s="66"/>
      <c r="D518" s="84"/>
      <c r="E518" s="437"/>
      <c r="F518" s="113"/>
      <c r="G518" s="113"/>
      <c r="H518" s="113"/>
      <c r="I518" s="113"/>
      <c r="J518" s="184"/>
      <c r="K518" s="241" t="s">
        <v>550</v>
      </c>
      <c r="L518" s="263"/>
      <c r="M518" s="263"/>
      <c r="N518" s="263"/>
      <c r="O518" s="184"/>
      <c r="P518" s="217"/>
      <c r="Q518" s="217"/>
      <c r="R518" s="217"/>
      <c r="S518" s="177"/>
      <c r="T518" s="217"/>
      <c r="U518" s="177"/>
      <c r="V518" s="177"/>
      <c r="W518" s="177"/>
      <c r="X518" s="177"/>
      <c r="Y518" s="177"/>
      <c r="Z518" s="177"/>
      <c r="AA518" s="177"/>
      <c r="AB518" s="177"/>
      <c r="AC518" s="177"/>
      <c r="AD518" s="177"/>
      <c r="AE518" s="177"/>
      <c r="AF518" s="177"/>
      <c r="AG518" s="177"/>
      <c r="AH518" s="177"/>
      <c r="AI518" s="177"/>
      <c r="AJ518" s="177"/>
    </row>
    <row r="519" spans="1:36" s="180" customFormat="1" ht="15.75" hidden="1" thickBot="1">
      <c r="A519" s="132" cm="1">
        <f t="array" ref="A519">SSATSLineNumbers(A519,0.01)</f>
        <v>3.21</v>
      </c>
      <c r="B519" s="244" t="str">
        <f ca="1">ATE_Settings!Y68</f>
        <v>L2 Current Monitor Error (%)</v>
      </c>
      <c r="C519" s="66"/>
      <c r="D519" s="206"/>
      <c r="E519" s="454" t="str">
        <f>IF(OR(E516="[AUTO]",E518=""),"[AUTO]",((E516-E518)/E518)*100)</f>
        <v>[AUTO]</v>
      </c>
      <c r="F519" s="207">
        <f ca="1">P519</f>
        <v>-3</v>
      </c>
      <c r="G519" s="86">
        <f ca="1">Q519</f>
        <v>3</v>
      </c>
      <c r="H519" s="86" t="str">
        <f ca="1">R519</f>
        <v>%</v>
      </c>
      <c r="I519" s="59" t="str">
        <f>IF(E519 ="[AUTO]","TBC", IF(AND(E519&gt;=F519,E519&lt;=G519 ),"Pass","Fail"))</f>
        <v>TBC</v>
      </c>
      <c r="J519" s="184"/>
      <c r="K519" s="263" t="s">
        <v>80</v>
      </c>
      <c r="L519" s="184"/>
      <c r="M519" s="184"/>
      <c r="N519" s="184"/>
      <c r="O519" s="184"/>
      <c r="P519" s="204">
        <f ca="1">C519+(INDEX(tblProductScalesMeasures[Min],MATCH(_xlfn.CONCAT(B519),tblProductScalesMeasures[Description],0)))</f>
        <v>-3</v>
      </c>
      <c r="Q519" s="204">
        <f ca="1">C519+(INDEX(tblProductScalesMeasures[Max],MATCH(_xlfn.CONCAT(B519),tblProductScalesMeasures[Description],0)))</f>
        <v>3</v>
      </c>
      <c r="R519" s="205" t="str">
        <f ca="1">(INDEX(tblProductScalesMeasures[Unit],MATCH(_xlfn.CONCAT(B519),tblProductScalesMeasures[Description],0)))</f>
        <v>%</v>
      </c>
      <c r="S519" s="203"/>
      <c r="T519" s="205">
        <f ca="1">IF(COUNTIF(tblExempt[],R519)&gt;0,0,INDEX(tblScaling[Divider],MATCH(_xlfn.CONCAT(IF(ISNUMBER(SEARCH(" ",section_3_heading))=TRUE,SUBSTITUTE(section_3_heading," ",""),"")," ",R519),tblScaling[Description],0)))</f>
        <v>0</v>
      </c>
      <c r="U519" s="178"/>
      <c r="V519" s="178"/>
      <c r="W519" s="178"/>
      <c r="X519" s="178"/>
      <c r="Y519" s="178"/>
      <c r="Z519" s="178"/>
      <c r="AA519" s="178"/>
      <c r="AB519" s="178"/>
      <c r="AC519" s="178"/>
      <c r="AD519" s="178"/>
      <c r="AE519" s="178"/>
      <c r="AF519" s="178"/>
      <c r="AG519" s="178"/>
      <c r="AH519" s="178"/>
      <c r="AI519" s="178"/>
      <c r="AJ519" s="178"/>
    </row>
    <row r="520" spans="1:36" s="391" customFormat="1" ht="16.5" hidden="1" customHeight="1" thickBot="1">
      <c r="A520" s="401"/>
      <c r="B520" s="398" t="s">
        <v>70</v>
      </c>
      <c r="C520" s="386"/>
      <c r="D520" s="386"/>
      <c r="E520" s="392"/>
      <c r="F520" s="386"/>
      <c r="G520" s="386"/>
      <c r="H520" s="386"/>
      <c r="I520" s="386"/>
      <c r="J520" s="384"/>
      <c r="K520" s="397" t="s">
        <v>27</v>
      </c>
      <c r="L520" s="397" t="s">
        <v>42</v>
      </c>
      <c r="M520" s="397" t="s">
        <v>129</v>
      </c>
      <c r="N520" s="397" t="str">
        <f ca="1">SUBSTITUTE(CELL("address",K515),"$","")</f>
        <v>K515</v>
      </c>
      <c r="O520" s="397" t="s">
        <v>130</v>
      </c>
      <c r="P520" s="228" t="s">
        <v>75</v>
      </c>
      <c r="Q520" s="250" t="str">
        <f ca="1">INDEX(tblGoSubRoutineStartCell[StartCell],MATCH(B520,tblGoSubRoutineStartCell[GoSub Routine],0))</f>
        <v>K56</v>
      </c>
      <c r="S520" s="384"/>
      <c r="T520" s="382"/>
      <c r="U520" s="382"/>
      <c r="V520" s="382"/>
      <c r="W520" s="382"/>
      <c r="X520" s="382"/>
      <c r="Y520" s="382"/>
      <c r="Z520" s="382"/>
      <c r="AA520" s="382"/>
      <c r="AB520" s="382"/>
      <c r="AC520" s="382"/>
      <c r="AD520" s="382"/>
      <c r="AE520" s="382"/>
      <c r="AF520" s="382"/>
      <c r="AG520" s="382"/>
      <c r="AH520" s="382"/>
      <c r="AI520" s="382"/>
      <c r="AJ520" s="382"/>
    </row>
    <row r="521" spans="1:36" s="380" customFormat="1" ht="15" hidden="1">
      <c r="A521" s="399"/>
      <c r="B521" s="240" t="s">
        <v>426</v>
      </c>
      <c r="C521" s="390">
        <v>-14750</v>
      </c>
      <c r="D521" s="387"/>
      <c r="E521" s="387"/>
      <c r="F521" s="387"/>
      <c r="G521" s="387"/>
      <c r="H521" s="387"/>
      <c r="I521" s="387"/>
      <c r="J521" s="384"/>
      <c r="K521" s="241" t="str">
        <f>_xlfn.CONCAT("734|GND|OUT4|FLT(",C521,")")</f>
        <v>734|GND|OUT4|FLT(-14750)</v>
      </c>
      <c r="L521" s="409"/>
      <c r="M521" s="409"/>
      <c r="N521" s="409"/>
      <c r="O521" s="241"/>
      <c r="P521" s="241"/>
      <c r="Q521" s="384"/>
    </row>
    <row r="522" spans="1:36" s="380" customFormat="1" ht="15" hidden="1">
      <c r="A522" s="399"/>
      <c r="B522" s="249" t="s">
        <v>432</v>
      </c>
      <c r="C522" s="390">
        <v>5000</v>
      </c>
      <c r="D522" s="387"/>
      <c r="E522" s="387"/>
      <c r="F522" s="387"/>
      <c r="G522" s="387"/>
      <c r="H522" s="387"/>
      <c r="I522" s="387"/>
      <c r="J522" s="384"/>
      <c r="K522" s="409" t="s">
        <v>27</v>
      </c>
      <c r="L522" s="409" t="s">
        <v>42</v>
      </c>
      <c r="M522" s="216" t="s">
        <v>60</v>
      </c>
      <c r="N522" s="247" t="str">
        <f>B522</f>
        <v>Lens 2 Initialising…</v>
      </c>
      <c r="O522" s="210">
        <f>C522</f>
        <v>5000</v>
      </c>
      <c r="P522" s="384"/>
      <c r="Q522" s="384"/>
    </row>
    <row r="523" spans="1:36" s="175" customFormat="1" ht="15.75" hidden="1" thickBot="1">
      <c r="A523" s="130"/>
      <c r="B523" s="240" t="s">
        <v>427</v>
      </c>
      <c r="C523" s="78">
        <v>2</v>
      </c>
      <c r="D523" s="58"/>
      <c r="E523" s="455"/>
      <c r="F523" s="58"/>
      <c r="G523" s="58"/>
      <c r="H523" s="58"/>
      <c r="I523" s="58"/>
      <c r="J523" s="184"/>
      <c r="K523" s="263" t="s">
        <v>27</v>
      </c>
      <c r="L523" s="263" t="s">
        <v>318</v>
      </c>
      <c r="M523" s="263" t="s">
        <v>55</v>
      </c>
      <c r="N523" s="263" t="s">
        <v>33</v>
      </c>
      <c r="O523" s="241">
        <f>C523</f>
        <v>2</v>
      </c>
      <c r="P523" s="241"/>
      <c r="Q523" s="184"/>
    </row>
    <row r="524" spans="1:36" s="175" customFormat="1" ht="15" hidden="1" customHeight="1" thickBot="1">
      <c r="A524" s="132" cm="1">
        <f t="array" ref="A524">SSATSLineNumbers(A524,0.01)</f>
        <v>3.22</v>
      </c>
      <c r="B524" s="244" t="s">
        <v>428</v>
      </c>
      <c r="C524" s="66">
        <v>-14750</v>
      </c>
      <c r="D524" s="84"/>
      <c r="E524" s="457" t="str">
        <f>IF(E523="","[AUTO]",E523*T524)</f>
        <v>[AUTO]</v>
      </c>
      <c r="F524" s="86">
        <f ca="1">P524</f>
        <v>-14850</v>
      </c>
      <c r="G524" s="86">
        <f ca="1">Q524</f>
        <v>-14650</v>
      </c>
      <c r="H524" s="86" t="str">
        <f ca="1">R524</f>
        <v>V</v>
      </c>
      <c r="I524" s="59" t="str">
        <f>IF(E524 ="[AUTO]","TBC", IF(AND(E524&gt;=F524,E524&lt;=G524 ),"Pass","Fail"))</f>
        <v>TBC</v>
      </c>
      <c r="J524" s="184"/>
      <c r="K524" s="263" t="s">
        <v>80</v>
      </c>
      <c r="L524" s="184"/>
      <c r="M524" s="184"/>
      <c r="N524" s="184"/>
      <c r="O524" s="184"/>
      <c r="P524" s="245">
        <f ca="1">C524+(INDEX(tblProductScalesMeasures[Min],MATCH(_xlfn.CONCAT(B524),tblProductScalesMeasures[Description],0)))</f>
        <v>-14850</v>
      </c>
      <c r="Q524" s="245">
        <f ca="1">C524+(INDEX(tblProductScalesMeasures[Max],MATCH(_xlfn.CONCAT(B524),tblProductScalesMeasures[Description],0)))</f>
        <v>-14650</v>
      </c>
      <c r="R524" s="245" t="str">
        <f ca="1">(INDEX(tblProductScalesMeasures[Unit],MATCH(_xlfn.CONCAT(B524),tblProductScalesMeasures[Description],0)))</f>
        <v>V</v>
      </c>
      <c r="S524" s="177"/>
      <c r="T524" s="245">
        <f ca="1">IF(COUNTIF(tblExempt[],R524)&gt;0,0,INDEX(tblScaling[Divider],MATCH(_xlfn.CONCAT(IF(ISNUMBER(SEARCH(" ",section_3_heading))=TRUE,SUBSTITUTE(section_3_heading," ",""),"")," ",R524),tblScaling[Description],0)))</f>
        <v>10000</v>
      </c>
    </row>
    <row r="525" spans="1:36" s="180" customFormat="1" ht="16.5" hidden="1" customHeight="1" thickBot="1">
      <c r="A525" s="133"/>
      <c r="B525" s="237" t="s">
        <v>70</v>
      </c>
      <c r="C525" s="57"/>
      <c r="D525" s="57"/>
      <c r="E525" s="80"/>
      <c r="F525" s="57"/>
      <c r="G525" s="57"/>
      <c r="H525" s="57"/>
      <c r="I525" s="57"/>
      <c r="J525" s="184"/>
      <c r="K525" s="116" t="s">
        <v>27</v>
      </c>
      <c r="L525" s="116" t="s">
        <v>42</v>
      </c>
      <c r="M525" s="116" t="s">
        <v>129</v>
      </c>
      <c r="N525" s="116" t="str">
        <f ca="1">SUBSTITUTE(CELL("address",K511),"$","")</f>
        <v>K511</v>
      </c>
      <c r="O525" s="116" t="s">
        <v>130</v>
      </c>
      <c r="P525" s="228" t="s">
        <v>75</v>
      </c>
      <c r="Q525" s="250" t="str">
        <f ca="1">INDEX(tblGoSubRoutineStartCell[StartCell],MATCH(B525,tblGoSubRoutineStartCell[GoSub Routine],0))</f>
        <v>K56</v>
      </c>
      <c r="R525" s="184"/>
      <c r="S525" s="178"/>
      <c r="T525" s="178"/>
      <c r="U525" s="178"/>
      <c r="V525" s="178"/>
      <c r="W525" s="178"/>
      <c r="X525" s="178"/>
      <c r="Y525" s="178"/>
      <c r="Z525" s="178"/>
      <c r="AA525" s="178"/>
      <c r="AB525" s="178"/>
      <c r="AC525" s="178"/>
      <c r="AD525" s="178"/>
      <c r="AE525" s="178"/>
      <c r="AF525" s="178"/>
      <c r="AG525" s="178"/>
      <c r="AH525" s="178"/>
      <c r="AI525" s="178"/>
      <c r="AJ525" s="178"/>
    </row>
    <row r="526" spans="1:36" s="45" customFormat="1" ht="16.5" hidden="1" customHeight="1" thickBot="1">
      <c r="A526" s="131"/>
      <c r="B526" s="244" t="s">
        <v>444</v>
      </c>
      <c r="C526" s="66"/>
      <c r="D526" s="84"/>
      <c r="E526" s="437"/>
      <c r="F526" s="113"/>
      <c r="G526" s="113"/>
      <c r="H526" s="113"/>
      <c r="I526" s="113"/>
      <c r="J526" s="184"/>
      <c r="K526" s="241" t="s">
        <v>443</v>
      </c>
      <c r="L526" s="263"/>
      <c r="M526" s="263"/>
      <c r="R526" s="177"/>
      <c r="S526" s="177"/>
      <c r="T526" s="177"/>
      <c r="U526" s="177"/>
      <c r="V526" s="177"/>
      <c r="W526" s="177"/>
      <c r="X526" s="177"/>
      <c r="Y526" s="177"/>
      <c r="Z526" s="177"/>
      <c r="AA526" s="177"/>
      <c r="AB526" s="177"/>
      <c r="AC526" s="177"/>
      <c r="AD526" s="177"/>
      <c r="AE526" s="177"/>
      <c r="AF526" s="177"/>
      <c r="AG526" s="177"/>
      <c r="AH526" s="177"/>
      <c r="AI526" s="177"/>
      <c r="AJ526" s="177"/>
    </row>
    <row r="527" spans="1:36" s="180" customFormat="1" ht="15.75" hidden="1" thickBot="1">
      <c r="A527" s="132" cm="1">
        <f t="array" ref="A527">SSATSLineNumbers(A527,0.01)</f>
        <v>3.23</v>
      </c>
      <c r="B527" s="244" t="str">
        <f ca="1">ATE_Settings!Y66</f>
        <v>L2 Voltage Monitor Error (%)</v>
      </c>
      <c r="C527" s="66"/>
      <c r="D527" s="206"/>
      <c r="E527" s="454" t="str" cm="1">
        <f t="array" ref="E527">SSATSPercent_Error(E524,E526)</f>
        <v>[AUTO]</v>
      </c>
      <c r="F527" s="207">
        <f ca="1">P527</f>
        <v>-1</v>
      </c>
      <c r="G527" s="86">
        <f ca="1">Q527</f>
        <v>1</v>
      </c>
      <c r="H527" s="86" t="str">
        <f ca="1">R527</f>
        <v>%</v>
      </c>
      <c r="I527" s="59" t="str">
        <f>IF(E527 ="[AUTO]","TBC", IF(AND(E527&gt;=F527,E527&lt;=G527 ),"Pass","Fail"))</f>
        <v>TBC</v>
      </c>
      <c r="J527" s="184"/>
      <c r="K527" s="115" t="s">
        <v>80</v>
      </c>
      <c r="L527" s="184"/>
      <c r="M527" s="184"/>
      <c r="N527" s="184"/>
      <c r="O527" s="184"/>
      <c r="P527" s="204">
        <f ca="1">C527+(INDEX(tblProductScalesMeasures[Min],MATCH(_xlfn.CONCAT(B527),tblProductScalesMeasures[Description],0)))</f>
        <v>-1</v>
      </c>
      <c r="Q527" s="204">
        <f ca="1">C527+(INDEX(tblProductScalesMeasures[Max],MATCH(_xlfn.CONCAT(B527),tblProductScalesMeasures[Description],0)))</f>
        <v>1</v>
      </c>
      <c r="R527" s="205" t="str">
        <f ca="1">(INDEX(tblProductScalesMeasures[Unit],MATCH(_xlfn.CONCAT(B527),tblProductScalesMeasures[Description],0)))</f>
        <v>%</v>
      </c>
      <c r="S527" s="203"/>
      <c r="T527" s="205">
        <f ca="1">IF(COUNTIF(tblExempt[],R527)&gt;0,0,INDEX(tblScaling[Divider],MATCH(_xlfn.CONCAT(IF(ISNUMBER(SEARCH(" ",section_3_heading))=TRUE,SUBSTITUTE(section_3_heading," ",""),"")," ",R527),tblScaling[Description],0)))</f>
        <v>0</v>
      </c>
      <c r="U527" s="178"/>
      <c r="V527" s="178"/>
      <c r="W527" s="178"/>
      <c r="X527" s="178"/>
      <c r="Y527" s="178"/>
      <c r="Z527" s="178"/>
      <c r="AA527" s="178"/>
      <c r="AB527" s="178"/>
      <c r="AC527" s="178"/>
      <c r="AD527" s="178"/>
      <c r="AE527" s="178"/>
      <c r="AF527" s="178"/>
      <c r="AG527" s="178"/>
      <c r="AH527" s="178"/>
      <c r="AI527" s="178"/>
      <c r="AJ527" s="178"/>
    </row>
    <row r="528" spans="1:36" s="180" customFormat="1" ht="16.5" hidden="1" customHeight="1" thickBot="1">
      <c r="A528" s="133"/>
      <c r="B528" s="237" t="s">
        <v>70</v>
      </c>
      <c r="C528" s="57"/>
      <c r="D528" s="57"/>
      <c r="E528" s="80"/>
      <c r="F528" s="57"/>
      <c r="G528" s="57"/>
      <c r="H528" s="57"/>
      <c r="I528" s="57"/>
      <c r="J528" s="184"/>
      <c r="K528" s="116" t="s">
        <v>27</v>
      </c>
      <c r="L528" s="116" t="s">
        <v>42</v>
      </c>
      <c r="M528" s="116" t="s">
        <v>129</v>
      </c>
      <c r="N528" s="116" t="str">
        <f ca="1">SUBSTITUTE(CELL("address",K523),"$","")</f>
        <v>K523</v>
      </c>
      <c r="O528" s="116" t="s">
        <v>130</v>
      </c>
      <c r="P528" s="228" t="s">
        <v>75</v>
      </c>
      <c r="Q528" s="250" t="str">
        <f ca="1">INDEX(tblGoSubRoutineStartCell[StartCell],MATCH(B528,tblGoSubRoutineStartCell[GoSub Routine],0))</f>
        <v>K56</v>
      </c>
      <c r="R528" s="184"/>
      <c r="S528" s="178"/>
      <c r="T528" s="178"/>
      <c r="U528" s="178"/>
      <c r="V528" s="178"/>
      <c r="W528" s="178"/>
      <c r="X528" s="178"/>
      <c r="Y528" s="178"/>
      <c r="Z528" s="178"/>
      <c r="AA528" s="178"/>
      <c r="AB528" s="178"/>
      <c r="AC528" s="178"/>
      <c r="AD528" s="178"/>
      <c r="AE528" s="178"/>
      <c r="AF528" s="178"/>
      <c r="AG528" s="178"/>
      <c r="AH528" s="178"/>
      <c r="AI528" s="178"/>
      <c r="AJ528" s="178"/>
    </row>
    <row r="529" spans="1:36" s="383" customFormat="1" ht="15" hidden="1">
      <c r="A529" s="399"/>
      <c r="B529" s="240" t="s">
        <v>459</v>
      </c>
      <c r="C529" s="390"/>
      <c r="D529" s="387"/>
      <c r="E529" s="387"/>
      <c r="F529" s="387"/>
      <c r="G529" s="387"/>
      <c r="H529" s="387"/>
      <c r="I529" s="387"/>
      <c r="K529" s="385" t="s">
        <v>27</v>
      </c>
      <c r="L529" s="385" t="s">
        <v>98</v>
      </c>
      <c r="M529" s="385" t="s">
        <v>324</v>
      </c>
      <c r="N529" s="385" t="s">
        <v>325</v>
      </c>
      <c r="O529" s="241" t="s">
        <v>326</v>
      </c>
      <c r="P529" s="241" t="str">
        <f>ATE_Settings!AK8</f>
        <v>\\shvukfs2\Eng\FIB Series\FIB35P_734 (FEI)\Test Equipment\FIB35P_734 SSATS\Final Test\Scope_Settings\82097_Lens2_HF.txt</v>
      </c>
      <c r="R529" s="381"/>
      <c r="S529" s="381"/>
      <c r="T529" s="381"/>
      <c r="V529" s="381"/>
      <c r="W529" s="381"/>
      <c r="X529" s="381"/>
      <c r="Y529" s="381"/>
      <c r="Z529" s="381"/>
      <c r="AA529" s="381"/>
      <c r="AB529" s="381"/>
      <c r="AC529" s="381"/>
      <c r="AD529" s="381"/>
      <c r="AE529" s="381"/>
      <c r="AF529" s="381"/>
      <c r="AG529" s="381"/>
      <c r="AH529" s="381"/>
      <c r="AI529" s="381"/>
      <c r="AJ529" s="381"/>
    </row>
    <row r="530" spans="1:36" s="380" customFormat="1" ht="15" hidden="1">
      <c r="A530" s="399"/>
      <c r="B530" s="246" t="s">
        <v>340</v>
      </c>
      <c r="C530" s="390">
        <v>5000</v>
      </c>
      <c r="D530" s="387"/>
      <c r="E530" s="387"/>
      <c r="F530" s="387"/>
      <c r="G530" s="387"/>
      <c r="H530" s="387"/>
      <c r="I530" s="387"/>
      <c r="J530" s="384"/>
      <c r="K530" s="385" t="s">
        <v>27</v>
      </c>
      <c r="L530" s="385" t="s">
        <v>42</v>
      </c>
      <c r="M530" s="216" t="s">
        <v>60</v>
      </c>
      <c r="N530" s="247" t="str">
        <f>B530</f>
        <v>Initialsing Scope…</v>
      </c>
      <c r="O530" s="210">
        <f>C530</f>
        <v>5000</v>
      </c>
      <c r="P530" s="384"/>
      <c r="Q530" s="384"/>
    </row>
    <row r="531" spans="1:36" s="380" customFormat="1" ht="15" hidden="1">
      <c r="A531" s="399"/>
      <c r="B531" s="240" t="s">
        <v>702</v>
      </c>
      <c r="C531" s="390"/>
      <c r="D531" s="387"/>
      <c r="E531" s="387"/>
      <c r="F531" s="387"/>
      <c r="G531" s="387"/>
      <c r="H531" s="387"/>
      <c r="I531" s="387"/>
      <c r="J531" s="384"/>
      <c r="K531" s="395" t="s">
        <v>27</v>
      </c>
      <c r="L531" s="395" t="s">
        <v>98</v>
      </c>
      <c r="M531" s="396" t="s">
        <v>156</v>
      </c>
      <c r="N531" s="396" t="s">
        <v>141</v>
      </c>
      <c r="O531" s="384" t="s">
        <v>701</v>
      </c>
      <c r="P531" s="384"/>
      <c r="Q531" s="384"/>
    </row>
    <row r="532" spans="1:36" s="391" customFormat="1" ht="16.5" hidden="1" customHeight="1" thickBot="1">
      <c r="A532" s="400" cm="1">
        <f t="array" ref="A532">SSATSLineNumbers(A532,0.01)</f>
        <v>3.24</v>
      </c>
      <c r="B532" s="244" t="s">
        <v>709</v>
      </c>
      <c r="C532" s="202"/>
      <c r="D532" s="202"/>
      <c r="E532" s="456"/>
      <c r="F532" s="387"/>
      <c r="G532" s="387"/>
      <c r="H532" s="387"/>
      <c r="I532" s="387"/>
      <c r="J532" s="384"/>
      <c r="K532" s="395" t="s">
        <v>27</v>
      </c>
      <c r="L532" s="395" t="s">
        <v>98</v>
      </c>
      <c r="M532" s="396" t="s">
        <v>55</v>
      </c>
      <c r="N532" s="396" t="s">
        <v>141</v>
      </c>
      <c r="O532" s="396" t="s">
        <v>700</v>
      </c>
      <c r="P532" s="226"/>
      <c r="Q532" s="384"/>
      <c r="R532" s="384"/>
      <c r="S532" s="384"/>
      <c r="T532" s="384"/>
      <c r="U532" s="384"/>
      <c r="V532" s="384"/>
      <c r="W532" s="384"/>
      <c r="X532" s="382"/>
      <c r="Y532" s="382"/>
      <c r="Z532" s="382"/>
      <c r="AA532" s="382"/>
      <c r="AB532" s="382"/>
      <c r="AC532" s="382"/>
      <c r="AD532" s="382"/>
      <c r="AE532" s="382"/>
      <c r="AF532" s="382"/>
      <c r="AG532" s="382"/>
      <c r="AH532" s="382"/>
      <c r="AI532" s="382"/>
      <c r="AJ532" s="382"/>
    </row>
    <row r="533" spans="1:36" s="391" customFormat="1" ht="16.5" hidden="1" customHeight="1" thickBot="1">
      <c r="A533" s="400" cm="1">
        <f t="array" ref="A533">SSATSLineNumbers(A533,0.01)</f>
        <v>3.25</v>
      </c>
      <c r="B533" s="244" t="str">
        <f ca="1">ATE_Settings!Y70</f>
        <v>L2 Ripple (mV pk-pk)</v>
      </c>
      <c r="C533" s="202"/>
      <c r="D533" s="393" t="s">
        <v>296</v>
      </c>
      <c r="E533" s="457" t="str">
        <f>IF(E532="","[AUTO]",E532*1000)</f>
        <v>[AUTO]</v>
      </c>
      <c r="F533" s="394">
        <f ca="1">R533</f>
        <v>3</v>
      </c>
      <c r="G533" s="394">
        <f ca="1">S533</f>
        <v>150</v>
      </c>
      <c r="H533" s="394" t="str">
        <f ca="1">T533</f>
        <v>mV pk-pk</v>
      </c>
      <c r="I533" s="388" t="str">
        <f>IF(E533 ="[AUTO]","TBC", IF(AND(E533&gt;=F533,E533&lt;=G533 ),"Pass","Fail"))</f>
        <v>TBC</v>
      </c>
      <c r="J533" s="384"/>
      <c r="K533" s="395" t="s">
        <v>80</v>
      </c>
      <c r="L533" s="395"/>
      <c r="M533" s="396"/>
      <c r="N533" s="396"/>
      <c r="O533" s="396"/>
      <c r="P533" s="226"/>
      <c r="Q533" s="384"/>
      <c r="R533" s="245">
        <f ca="1">C533+(INDEX(tblProductScalesMeasures[Min],MATCH(_xlfn.CONCAT(B533),tblProductScalesMeasures[Description],0)))</f>
        <v>3</v>
      </c>
      <c r="S533" s="245">
        <f ca="1">C533+(INDEX(tblProductScalesMeasures[Max],MATCH(_xlfn.CONCAT(B533),tblProductScalesMeasures[Description],0)))</f>
        <v>150</v>
      </c>
      <c r="T533" s="245" t="str">
        <f ca="1">(INDEX(tblProductScalesMeasures[Unit],MATCH(_xlfn.CONCAT(B533),tblProductScalesMeasures[Description],0)))</f>
        <v>mV pk-pk</v>
      </c>
      <c r="V533" s="381"/>
      <c r="W533" s="245">
        <f ca="1">IF(COUNTIF(tblExempt[],T533)&gt;0,0,INDEX(tblScaling[Divider],MATCH(_xlfn.CONCAT(IF(ISNUMBER(SEARCH(" ",section_3_heading))=TRUE,SUBSTITUTE(section_3_heading," ",""),"")," ",T533),tblScaling[Description],0)))</f>
        <v>0</v>
      </c>
      <c r="X533" s="382"/>
      <c r="Y533" s="382"/>
      <c r="Z533" s="382"/>
      <c r="AA533" s="382"/>
      <c r="AB533" s="382"/>
      <c r="AC533" s="382"/>
      <c r="AD533" s="382"/>
      <c r="AE533" s="382"/>
      <c r="AF533" s="382"/>
      <c r="AG533" s="382"/>
      <c r="AH533" s="382"/>
      <c r="AI533" s="382"/>
      <c r="AJ533" s="382"/>
    </row>
    <row r="534" spans="1:36" s="391" customFormat="1" ht="15.75" hidden="1" thickBot="1">
      <c r="A534" s="401"/>
      <c r="B534" s="398" t="s">
        <v>70</v>
      </c>
      <c r="C534" s="386"/>
      <c r="D534" s="386"/>
      <c r="E534" s="392"/>
      <c r="F534" s="386"/>
      <c r="G534" s="386"/>
      <c r="H534" s="386"/>
      <c r="I534" s="386"/>
      <c r="J534" s="384"/>
      <c r="K534" s="397" t="s">
        <v>27</v>
      </c>
      <c r="L534" s="397" t="s">
        <v>42</v>
      </c>
      <c r="M534" s="397" t="s">
        <v>129</v>
      </c>
      <c r="N534" s="397" t="str">
        <f ca="1">SUBSTITUTE(CELL("address",K529),"$","")</f>
        <v>K529</v>
      </c>
      <c r="O534" s="397" t="s">
        <v>130</v>
      </c>
      <c r="P534" s="228" t="s">
        <v>75</v>
      </c>
      <c r="Q534" s="250" t="str">
        <f ca="1">INDEX(tblGoSubRoutineStartCell[StartCell],MATCH(B534,tblGoSubRoutineStartCell[GoSub Routine],0))</f>
        <v>K56</v>
      </c>
      <c r="R534" s="384"/>
      <c r="S534" s="382"/>
      <c r="T534" s="382"/>
      <c r="V534" s="382"/>
      <c r="W534" s="382"/>
      <c r="X534" s="382"/>
      <c r="Y534" s="382"/>
      <c r="Z534" s="382"/>
      <c r="AA534" s="382"/>
      <c r="AB534" s="382"/>
      <c r="AC534" s="382"/>
      <c r="AD534" s="382"/>
      <c r="AE534" s="382"/>
      <c r="AF534" s="382"/>
      <c r="AG534" s="382"/>
      <c r="AH534" s="382"/>
      <c r="AI534" s="382"/>
      <c r="AJ534" s="382"/>
    </row>
    <row r="535" spans="1:36" s="383" customFormat="1" ht="15" hidden="1">
      <c r="A535" s="399"/>
      <c r="B535" s="240" t="s">
        <v>460</v>
      </c>
      <c r="C535" s="390"/>
      <c r="D535" s="433"/>
      <c r="E535" s="387"/>
      <c r="F535" s="387"/>
      <c r="G535" s="387"/>
      <c r="H535" s="387"/>
      <c r="I535" s="387"/>
      <c r="K535" s="385" t="s">
        <v>27</v>
      </c>
      <c r="L535" s="385" t="s">
        <v>98</v>
      </c>
      <c r="M535" s="385" t="s">
        <v>324</v>
      </c>
      <c r="N535" s="385" t="s">
        <v>325</v>
      </c>
      <c r="O535" s="241" t="s">
        <v>326</v>
      </c>
      <c r="P535" s="241" t="str">
        <f>ATE_Settings!AK9</f>
        <v>\\shvukfs2\Eng\FIB Series\FIB35P_734 (FEI)\Test Equipment\FIB35P_734 SSATS\Final Test\Scope_Settings\82097_Lens2_LF.txt</v>
      </c>
      <c r="R535" s="381"/>
      <c r="S535" s="381"/>
      <c r="T535" s="381"/>
      <c r="V535" s="381"/>
      <c r="W535" s="381"/>
      <c r="X535" s="381"/>
      <c r="Y535" s="381"/>
      <c r="Z535" s="381"/>
      <c r="AA535" s="381"/>
      <c r="AB535" s="381"/>
      <c r="AC535" s="381"/>
      <c r="AD535" s="381"/>
      <c r="AE535" s="381"/>
      <c r="AF535" s="381"/>
      <c r="AG535" s="381"/>
      <c r="AH535" s="381"/>
      <c r="AI535" s="381"/>
      <c r="AJ535" s="381"/>
    </row>
    <row r="536" spans="1:36" s="380" customFormat="1" ht="15" hidden="1">
      <c r="A536" s="399"/>
      <c r="B536" s="246" t="s">
        <v>340</v>
      </c>
      <c r="C536" s="390">
        <v>10000</v>
      </c>
      <c r="D536" s="433"/>
      <c r="E536" s="387"/>
      <c r="F536" s="387"/>
      <c r="G536" s="387"/>
      <c r="H536" s="387"/>
      <c r="I536" s="387"/>
      <c r="J536" s="384"/>
      <c r="K536" s="385" t="s">
        <v>27</v>
      </c>
      <c r="L536" s="385" t="s">
        <v>42</v>
      </c>
      <c r="M536" s="216" t="s">
        <v>60</v>
      </c>
      <c r="N536" s="247" t="str">
        <f>B536</f>
        <v>Initialsing Scope…</v>
      </c>
      <c r="O536" s="210">
        <f>C536</f>
        <v>10000</v>
      </c>
      <c r="P536" s="384"/>
      <c r="Q536" s="384"/>
    </row>
    <row r="537" spans="1:36" s="380" customFormat="1" ht="15" hidden="1">
      <c r="A537" s="399"/>
      <c r="B537" s="240" t="s">
        <v>702</v>
      </c>
      <c r="C537" s="390"/>
      <c r="D537" s="433"/>
      <c r="E537" s="387"/>
      <c r="F537" s="387"/>
      <c r="G537" s="387"/>
      <c r="H537" s="387"/>
      <c r="I537" s="387"/>
      <c r="J537" s="384"/>
      <c r="K537" s="395" t="s">
        <v>27</v>
      </c>
      <c r="L537" s="395" t="s">
        <v>98</v>
      </c>
      <c r="M537" s="396" t="s">
        <v>156</v>
      </c>
      <c r="N537" s="396" t="s">
        <v>141</v>
      </c>
      <c r="O537" s="384" t="s">
        <v>701</v>
      </c>
      <c r="P537" s="384"/>
      <c r="Q537" s="384"/>
    </row>
    <row r="538" spans="1:36" s="391" customFormat="1" ht="16.5" hidden="1" customHeight="1" thickBot="1">
      <c r="A538" s="400" cm="1">
        <f t="array" ref="A538">SSATSLineNumbers(A538,0.01)</f>
        <v>3.26</v>
      </c>
      <c r="B538" s="244" t="s">
        <v>709</v>
      </c>
      <c r="C538" s="202"/>
      <c r="D538" s="433"/>
      <c r="E538" s="456"/>
      <c r="F538" s="387"/>
      <c r="G538" s="387"/>
      <c r="H538" s="387"/>
      <c r="I538" s="387"/>
      <c r="J538" s="384"/>
      <c r="K538" s="395" t="s">
        <v>27</v>
      </c>
      <c r="L538" s="395" t="s">
        <v>98</v>
      </c>
      <c r="M538" s="396" t="s">
        <v>55</v>
      </c>
      <c r="N538" s="396" t="s">
        <v>141</v>
      </c>
      <c r="O538" s="396" t="s">
        <v>700</v>
      </c>
      <c r="P538" s="226"/>
      <c r="Q538" s="384"/>
      <c r="R538" s="384"/>
      <c r="S538" s="384"/>
      <c r="T538" s="384"/>
      <c r="U538" s="384"/>
      <c r="V538" s="384"/>
      <c r="W538" s="384"/>
      <c r="X538" s="382"/>
      <c r="Y538" s="382"/>
      <c r="Z538" s="382"/>
      <c r="AA538" s="382"/>
      <c r="AB538" s="382"/>
      <c r="AC538" s="382"/>
      <c r="AD538" s="382"/>
      <c r="AE538" s="382"/>
      <c r="AF538" s="382"/>
      <c r="AG538" s="382"/>
      <c r="AH538" s="382"/>
      <c r="AI538" s="382"/>
      <c r="AJ538" s="382"/>
    </row>
    <row r="539" spans="1:36" s="391" customFormat="1" ht="16.5" hidden="1" customHeight="1" thickBot="1">
      <c r="A539" s="400" cm="1">
        <f t="array" ref="A539">SSATSLineNumbers(A539,0.01)</f>
        <v>3.27</v>
      </c>
      <c r="B539" s="244" t="str">
        <f ca="1">ATE_Settings!Y70</f>
        <v>L2 Ripple (mV pk-pk)</v>
      </c>
      <c r="C539" s="202"/>
      <c r="D539" s="393" t="s">
        <v>362</v>
      </c>
      <c r="E539" s="457" t="str">
        <f>IF(E538="","[AUTO]",E538*1000)</f>
        <v>[AUTO]</v>
      </c>
      <c r="F539" s="394">
        <f ca="1">R539</f>
        <v>3</v>
      </c>
      <c r="G539" s="394">
        <f ca="1">S539</f>
        <v>150</v>
      </c>
      <c r="H539" s="394" t="str">
        <f ca="1">T539</f>
        <v>mV pk-pk</v>
      </c>
      <c r="I539" s="388" t="str">
        <f>IF(E539 ="[AUTO]","TBC", IF(AND(E539&gt;=F539,E539&lt;=G539 ),"Pass","Fail"))</f>
        <v>TBC</v>
      </c>
      <c r="J539" s="384"/>
      <c r="K539" s="395" t="s">
        <v>80</v>
      </c>
      <c r="L539" s="395"/>
      <c r="M539" s="396"/>
      <c r="N539" s="396"/>
      <c r="O539" s="396"/>
      <c r="P539" s="226"/>
      <c r="Q539" s="384"/>
      <c r="R539" s="245">
        <f ca="1">C539+(INDEX(tblProductScalesMeasures[Min],MATCH(_xlfn.CONCAT(B539),tblProductScalesMeasures[Description],0)))</f>
        <v>3</v>
      </c>
      <c r="S539" s="245">
        <f ca="1">C539+(INDEX(tblProductScalesMeasures[Max],MATCH(_xlfn.CONCAT(B539),tblProductScalesMeasures[Description],0)))</f>
        <v>150</v>
      </c>
      <c r="T539" s="245" t="str">
        <f ca="1">(INDEX(tblProductScalesMeasures[Unit],MATCH(_xlfn.CONCAT(B539),tblProductScalesMeasures[Description],0)))</f>
        <v>mV pk-pk</v>
      </c>
      <c r="V539" s="381"/>
      <c r="W539" s="245">
        <f ca="1">IF(COUNTIF(tblExempt[],T539)&gt;0,0,INDEX(tblScaling[Divider],MATCH(_xlfn.CONCAT(IF(ISNUMBER(SEARCH(" ",section_3_heading))=TRUE,SUBSTITUTE(section_3_heading," ",""),"")," ",T539),tblScaling[Description],0)))</f>
        <v>0</v>
      </c>
      <c r="X539" s="382"/>
      <c r="Y539" s="382"/>
      <c r="Z539" s="382"/>
      <c r="AA539" s="382"/>
      <c r="AB539" s="382"/>
      <c r="AC539" s="382"/>
      <c r="AD539" s="382"/>
      <c r="AE539" s="382"/>
      <c r="AF539" s="382"/>
      <c r="AG539" s="382"/>
      <c r="AH539" s="382"/>
      <c r="AI539" s="382"/>
      <c r="AJ539" s="382"/>
    </row>
    <row r="540" spans="1:36" s="391" customFormat="1" ht="15.75" hidden="1" thickBot="1">
      <c r="A540" s="401"/>
      <c r="B540" s="398" t="s">
        <v>70</v>
      </c>
      <c r="C540" s="386"/>
      <c r="D540" s="386"/>
      <c r="E540" s="392"/>
      <c r="F540" s="386"/>
      <c r="G540" s="386"/>
      <c r="H540" s="386"/>
      <c r="I540" s="386"/>
      <c r="J540" s="384"/>
      <c r="K540" s="397" t="s">
        <v>27</v>
      </c>
      <c r="L540" s="397" t="s">
        <v>42</v>
      </c>
      <c r="M540" s="397" t="s">
        <v>129</v>
      </c>
      <c r="N540" s="397" t="str">
        <f ca="1">SUBSTITUTE(CELL("address",K535),"$","")</f>
        <v>K535</v>
      </c>
      <c r="O540" s="397" t="s">
        <v>130</v>
      </c>
      <c r="P540" s="228" t="s">
        <v>75</v>
      </c>
      <c r="Q540" s="250" t="str">
        <f ca="1">INDEX(tblGoSubRoutineStartCell[StartCell],MATCH(B540,tblGoSubRoutineStartCell[GoSub Routine],0))</f>
        <v>K56</v>
      </c>
      <c r="R540" s="384"/>
      <c r="S540" s="382"/>
      <c r="T540" s="382"/>
      <c r="V540" s="382"/>
      <c r="W540" s="382"/>
      <c r="X540" s="382"/>
      <c r="Y540" s="382"/>
      <c r="Z540" s="382"/>
      <c r="AA540" s="382"/>
      <c r="AB540" s="382"/>
      <c r="AC540" s="382"/>
      <c r="AD540" s="382"/>
      <c r="AE540" s="382"/>
      <c r="AF540" s="382"/>
      <c r="AG540" s="382"/>
      <c r="AH540" s="382"/>
      <c r="AI540" s="382"/>
      <c r="AJ540" s="382"/>
    </row>
    <row r="541" spans="1:36" s="380" customFormat="1" ht="15" hidden="1">
      <c r="A541" s="399"/>
      <c r="B541" s="240" t="s">
        <v>426</v>
      </c>
      <c r="C541" s="390">
        <v>0</v>
      </c>
      <c r="D541" s="387"/>
      <c r="E541" s="387">
        <v>0</v>
      </c>
      <c r="F541" s="387"/>
      <c r="G541" s="387"/>
      <c r="H541" s="387"/>
      <c r="I541" s="387"/>
      <c r="J541" s="384"/>
      <c r="K541" s="241" t="str">
        <f>_xlfn.CONCAT("734|GND|OUT4|FLT(",C541,")")</f>
        <v>734|GND|OUT4|FLT(0)</v>
      </c>
      <c r="L541" s="385"/>
      <c r="M541" s="385"/>
      <c r="N541" s="385"/>
      <c r="O541" s="241"/>
      <c r="P541" s="241"/>
      <c r="Q541" s="384"/>
    </row>
    <row r="542" spans="1:36" s="175" customFormat="1" ht="15" hidden="1">
      <c r="A542" s="130"/>
      <c r="B542" s="246" t="s">
        <v>551</v>
      </c>
      <c r="C542" s="78">
        <v>27000</v>
      </c>
      <c r="D542" s="58"/>
      <c r="E542" s="58"/>
      <c r="F542" s="58"/>
      <c r="G542" s="58"/>
      <c r="H542" s="58"/>
      <c r="I542" s="58"/>
      <c r="J542" s="184"/>
      <c r="K542" s="334" t="s">
        <v>27</v>
      </c>
      <c r="L542" s="334" t="s">
        <v>42</v>
      </c>
      <c r="M542" s="216" t="s">
        <v>60</v>
      </c>
      <c r="N542" s="247" t="str">
        <f>B542</f>
        <v>Lens 2 Ramping down... DO NOT SKIP</v>
      </c>
      <c r="O542" s="210">
        <f>C542</f>
        <v>27000</v>
      </c>
      <c r="P542" s="184"/>
      <c r="Q542" s="184"/>
    </row>
    <row r="543" spans="1:36" s="175" customFormat="1" ht="15" hidden="1">
      <c r="A543" s="130"/>
      <c r="B543" s="240" t="s">
        <v>449</v>
      </c>
      <c r="C543" s="78">
        <v>6</v>
      </c>
      <c r="D543" s="58"/>
      <c r="E543" s="58">
        <v>6</v>
      </c>
      <c r="F543" s="58"/>
      <c r="G543" s="58"/>
      <c r="H543" s="58"/>
      <c r="I543" s="58"/>
      <c r="J543" s="184"/>
      <c r="K543" s="241" t="str">
        <f>_xlfn.CONCAT("734|GND|REG1|DEC(",C543,")")</f>
        <v>734|GND|REG1|DEC(6)</v>
      </c>
      <c r="L543" s="334"/>
      <c r="M543" s="334"/>
      <c r="N543" s="334"/>
      <c r="O543" s="241"/>
      <c r="P543" s="241"/>
      <c r="Q543" s="184"/>
    </row>
    <row r="544" spans="1:36" s="175" customFormat="1" ht="15" hidden="1">
      <c r="A544" s="130"/>
      <c r="B544" s="240" t="s">
        <v>343</v>
      </c>
      <c r="C544" s="78"/>
      <c r="D544" s="58"/>
      <c r="E544" s="58"/>
      <c r="F544" s="58"/>
      <c r="G544" s="58"/>
      <c r="H544" s="58"/>
      <c r="I544" s="58"/>
      <c r="J544" s="184"/>
      <c r="K544" s="334" t="s">
        <v>27</v>
      </c>
      <c r="L544" s="334" t="s">
        <v>313</v>
      </c>
      <c r="M544" s="334" t="s">
        <v>91</v>
      </c>
      <c r="N544" s="334" t="s">
        <v>315</v>
      </c>
      <c r="O544" s="241" t="s">
        <v>316</v>
      </c>
      <c r="P544" s="241" t="s">
        <v>312</v>
      </c>
      <c r="Q544" s="184"/>
    </row>
    <row r="545" spans="1:36" s="45" customFormat="1" ht="13.5" hidden="1" thickBot="1">
      <c r="A545" s="130"/>
      <c r="B545" s="84"/>
      <c r="C545" s="78"/>
      <c r="D545" s="58"/>
      <c r="E545" s="58"/>
      <c r="F545" s="58"/>
      <c r="G545" s="58"/>
      <c r="H545" s="58"/>
      <c r="I545" s="58"/>
      <c r="K545" s="50" t="s">
        <v>80</v>
      </c>
      <c r="R545" s="177"/>
      <c r="S545" s="177"/>
      <c r="T545" s="177"/>
      <c r="U545" s="177"/>
      <c r="V545" s="177"/>
      <c r="W545" s="177"/>
      <c r="X545" s="177"/>
      <c r="Y545" s="177"/>
      <c r="Z545" s="177"/>
      <c r="AA545" s="177"/>
      <c r="AB545" s="177"/>
      <c r="AC545" s="177"/>
      <c r="AD545" s="177"/>
      <c r="AE545" s="177"/>
      <c r="AF545" s="177"/>
      <c r="AG545" s="177"/>
      <c r="AH545" s="177"/>
      <c r="AI545" s="177"/>
      <c r="AJ545" s="177"/>
    </row>
    <row r="546" spans="1:36" s="175" customFormat="1" ht="20.25" hidden="1" customHeight="1" thickBot="1">
      <c r="A546" s="192"/>
      <c r="B546" s="266"/>
      <c r="C546" s="267"/>
      <c r="D546" s="269" t="s">
        <v>452</v>
      </c>
      <c r="E546" s="267"/>
      <c r="F546" s="267"/>
      <c r="G546" s="267"/>
      <c r="H546" s="267"/>
      <c r="I546" s="268"/>
      <c r="J546" s="184"/>
      <c r="K546" s="89" t="s">
        <v>80</v>
      </c>
      <c r="L546" s="184"/>
      <c r="M546" s="184"/>
      <c r="N546" s="184"/>
      <c r="O546" s="184"/>
      <c r="P546" s="184"/>
      <c r="Q546" s="184"/>
    </row>
    <row r="547" spans="1:36" s="45" customFormat="1" ht="13.5" hidden="1" thickBot="1">
      <c r="A547" s="130"/>
      <c r="B547" s="84"/>
      <c r="C547" s="78"/>
      <c r="D547" s="58"/>
      <c r="E547" s="58"/>
      <c r="F547" s="58"/>
      <c r="G547" s="58"/>
      <c r="H547" s="58"/>
      <c r="I547" s="58"/>
      <c r="K547" s="50" t="s">
        <v>80</v>
      </c>
      <c r="R547" s="177"/>
      <c r="S547" s="177"/>
      <c r="T547" s="177"/>
      <c r="U547" s="177"/>
      <c r="V547" s="177"/>
      <c r="W547" s="177"/>
      <c r="X547" s="177"/>
      <c r="Y547" s="177"/>
      <c r="Z547" s="177"/>
      <c r="AA547" s="177"/>
      <c r="AB547" s="177"/>
      <c r="AC547" s="177"/>
      <c r="AD547" s="177"/>
      <c r="AE547" s="177"/>
      <c r="AF547" s="177"/>
      <c r="AG547" s="177"/>
      <c r="AH547" s="177"/>
      <c r="AI547" s="177"/>
      <c r="AJ547" s="177"/>
    </row>
    <row r="548" spans="1:36" s="175" customFormat="1" ht="15.75" hidden="1" thickBot="1">
      <c r="A548" s="130"/>
      <c r="B548" s="264" t="s">
        <v>188</v>
      </c>
      <c r="C548" s="58"/>
      <c r="D548" s="58"/>
      <c r="E548" s="58"/>
      <c r="F548" s="58"/>
      <c r="G548" s="58"/>
      <c r="H548" s="58"/>
      <c r="I548" s="58"/>
      <c r="J548" s="184"/>
      <c r="K548" s="263" t="s">
        <v>77</v>
      </c>
      <c r="L548" s="263" t="s">
        <v>75</v>
      </c>
      <c r="M548" s="238" t="str">
        <f ca="1">INDEX(tblGoSubRoutineStartCell[StartCell],MATCH(B548,tblGoSubRoutineStartCell[GoSub Routine],0))</f>
        <v>K121</v>
      </c>
      <c r="N548" s="184"/>
      <c r="O548" s="184"/>
      <c r="P548" s="184"/>
      <c r="Q548" s="184"/>
    </row>
    <row r="549" spans="1:36" s="175" customFormat="1" ht="15" hidden="1">
      <c r="A549" s="130"/>
      <c r="B549" s="240" t="s">
        <v>343</v>
      </c>
      <c r="C549" s="78"/>
      <c r="D549" s="58"/>
      <c r="E549" s="58"/>
      <c r="F549" s="58"/>
      <c r="G549" s="58"/>
      <c r="H549" s="58"/>
      <c r="I549" s="58"/>
      <c r="J549" s="184"/>
      <c r="K549" s="263" t="s">
        <v>27</v>
      </c>
      <c r="L549" s="263" t="s">
        <v>313</v>
      </c>
      <c r="M549" s="263" t="s">
        <v>91</v>
      </c>
      <c r="N549" s="263" t="s">
        <v>315</v>
      </c>
      <c r="O549" s="241" t="s">
        <v>316</v>
      </c>
      <c r="P549" s="241" t="s">
        <v>312</v>
      </c>
      <c r="Q549" s="184"/>
    </row>
    <row r="550" spans="1:36" s="175" customFormat="1" ht="15" hidden="1">
      <c r="A550" s="130"/>
      <c r="B550" s="240" t="s">
        <v>446</v>
      </c>
      <c r="C550" s="78">
        <v>4</v>
      </c>
      <c r="D550" s="58"/>
      <c r="E550" s="58"/>
      <c r="F550" s="58"/>
      <c r="G550" s="58"/>
      <c r="H550" s="58"/>
      <c r="I550" s="58"/>
      <c r="J550" s="184"/>
      <c r="K550" s="263" t="s">
        <v>27</v>
      </c>
      <c r="L550" s="263" t="s">
        <v>313</v>
      </c>
      <c r="M550" s="263" t="s">
        <v>32</v>
      </c>
      <c r="N550" s="263" t="s">
        <v>315</v>
      </c>
      <c r="O550" s="241">
        <f>C550</f>
        <v>4</v>
      </c>
      <c r="P550" s="241"/>
      <c r="Q550" s="184"/>
    </row>
    <row r="551" spans="1:36" s="175" customFormat="1" ht="15" hidden="1">
      <c r="A551" s="130"/>
      <c r="B551" s="240" t="s">
        <v>425</v>
      </c>
      <c r="C551" s="78">
        <v>7</v>
      </c>
      <c r="D551" s="58"/>
      <c r="E551" s="58"/>
      <c r="F551" s="58"/>
      <c r="G551" s="58"/>
      <c r="H551" s="58"/>
      <c r="I551" s="58"/>
      <c r="J551" s="184"/>
      <c r="K551" s="241" t="s">
        <v>447</v>
      </c>
      <c r="L551" s="263"/>
      <c r="M551" s="263"/>
      <c r="N551" s="263"/>
      <c r="O551" s="241"/>
      <c r="P551" s="241"/>
      <c r="Q551" s="184"/>
    </row>
    <row r="552" spans="1:36" s="175" customFormat="1" ht="15" hidden="1">
      <c r="A552" s="130"/>
      <c r="B552" s="240" t="s">
        <v>426</v>
      </c>
      <c r="C552" s="78">
        <v>-14750</v>
      </c>
      <c r="D552" s="58"/>
      <c r="E552" s="58"/>
      <c r="F552" s="58"/>
      <c r="G552" s="58"/>
      <c r="H552" s="58"/>
      <c r="I552" s="58"/>
      <c r="J552" s="184"/>
      <c r="K552" s="241" t="str">
        <f>_xlfn.CONCAT("734|GND|OUT4|FLT(",C552,")")</f>
        <v>734|GND|OUT4|FLT(-14750)</v>
      </c>
      <c r="L552" s="263"/>
      <c r="M552" s="263"/>
      <c r="N552" s="263"/>
      <c r="O552" s="241"/>
      <c r="P552" s="241"/>
      <c r="Q552" s="184"/>
    </row>
    <row r="553" spans="1:36" s="175" customFormat="1" ht="15" hidden="1">
      <c r="A553" s="130"/>
      <c r="B553" s="246" t="s">
        <v>554</v>
      </c>
      <c r="C553" s="78">
        <v>25000</v>
      </c>
      <c r="D553" s="58"/>
      <c r="E553" s="58"/>
      <c r="F553" s="58"/>
      <c r="G553" s="58"/>
      <c r="H553" s="58"/>
      <c r="I553" s="58"/>
      <c r="J553" s="184"/>
      <c r="K553" s="263" t="s">
        <v>27</v>
      </c>
      <c r="L553" s="263" t="s">
        <v>42</v>
      </c>
      <c r="M553" s="216" t="s">
        <v>60</v>
      </c>
      <c r="N553" s="247" t="str">
        <f>B553</f>
        <v>Lens 2 Initialising… (Neg Load Reg)</v>
      </c>
      <c r="O553" s="210">
        <f>C553</f>
        <v>25000</v>
      </c>
      <c r="P553" s="184"/>
      <c r="Q553" s="184"/>
    </row>
    <row r="554" spans="1:36" s="175" customFormat="1" ht="15.75" hidden="1" thickBot="1">
      <c r="A554" s="130"/>
      <c r="B554" s="240" t="s">
        <v>427</v>
      </c>
      <c r="C554" s="78">
        <v>2</v>
      </c>
      <c r="D554" s="58"/>
      <c r="E554" s="455"/>
      <c r="F554" s="58"/>
      <c r="G554" s="58"/>
      <c r="H554" s="58"/>
      <c r="I554" s="58"/>
      <c r="J554" s="184"/>
      <c r="K554" s="263" t="s">
        <v>27</v>
      </c>
      <c r="L554" s="263" t="s">
        <v>318</v>
      </c>
      <c r="M554" s="263" t="s">
        <v>55</v>
      </c>
      <c r="N554" s="263" t="s">
        <v>33</v>
      </c>
      <c r="O554" s="241">
        <v>2</v>
      </c>
      <c r="P554" s="241"/>
      <c r="Q554" s="184"/>
    </row>
    <row r="555" spans="1:36" s="175" customFormat="1" ht="15" hidden="1" customHeight="1" thickBot="1">
      <c r="A555" s="132" cm="1">
        <f t="array" ref="A555">SSATSLineNumbers(A555,0.01)</f>
        <v>3.28</v>
      </c>
      <c r="B555" s="244" t="s">
        <v>428</v>
      </c>
      <c r="C555" s="66">
        <v>-14750</v>
      </c>
      <c r="D555" s="84"/>
      <c r="E555" s="457" t="str">
        <f>IF(E554="","[AUTO]",E554*T555)</f>
        <v>[AUTO]</v>
      </c>
      <c r="F555" s="86">
        <f ca="1">P555</f>
        <v>-14850</v>
      </c>
      <c r="G555" s="86">
        <f ca="1">Q555</f>
        <v>-14650</v>
      </c>
      <c r="H555" s="86" t="str">
        <f ca="1">R555</f>
        <v>V</v>
      </c>
      <c r="I555" s="59" t="str">
        <f>IF(E555 ="[AUTO]","TBC", IF(AND(E555&gt;=F555,E555&lt;=G555 ),"Pass","Fail"))</f>
        <v>TBC</v>
      </c>
      <c r="J555" s="184"/>
      <c r="K555" s="263" t="s">
        <v>80</v>
      </c>
      <c r="L555" s="184"/>
      <c r="M555" s="184"/>
      <c r="N555" s="184"/>
      <c r="O555" s="184"/>
      <c r="P555" s="245">
        <f ca="1">C555+(INDEX(tblProductScalesMeasures[Min],MATCH(_xlfn.CONCAT(B555),tblProductScalesMeasures[Description],0)))</f>
        <v>-14850</v>
      </c>
      <c r="Q555" s="245">
        <f ca="1">C555+(INDEX(tblProductScalesMeasures[Max],MATCH(_xlfn.CONCAT(B555),tblProductScalesMeasures[Description],0)))</f>
        <v>-14650</v>
      </c>
      <c r="R555" s="245" t="str">
        <f ca="1">(INDEX(tblProductScalesMeasures[Unit],MATCH(_xlfn.CONCAT(B555),tblProductScalesMeasures[Description],0)))</f>
        <v>V</v>
      </c>
      <c r="S555" s="177"/>
      <c r="T555" s="245">
        <f ca="1">IF(COUNTIF(tblExempt[],R555)&gt;0,0,INDEX(tblScaling[Divider],MATCH(_xlfn.CONCAT(IF(ISNUMBER(SEARCH(" ",section_3_heading))=TRUE,SUBSTITUTE(section_3_heading," ",""),"")," ",R555),tblScaling[Description],0)))</f>
        <v>10000</v>
      </c>
    </row>
    <row r="556" spans="1:36" s="180" customFormat="1" ht="16.5" hidden="1" customHeight="1" thickBot="1">
      <c r="A556" s="133"/>
      <c r="B556" s="237" t="s">
        <v>70</v>
      </c>
      <c r="C556" s="57"/>
      <c r="D556" s="57"/>
      <c r="E556" s="80"/>
      <c r="F556" s="57"/>
      <c r="G556" s="57"/>
      <c r="H556" s="57"/>
      <c r="I556" s="57"/>
      <c r="J556" s="184"/>
      <c r="K556" s="116" t="s">
        <v>27</v>
      </c>
      <c r="L556" s="116" t="s">
        <v>42</v>
      </c>
      <c r="M556" s="116" t="s">
        <v>129</v>
      </c>
      <c r="N556" s="116" t="str">
        <f ca="1">SUBSTITUTE(CELL("address",K548),"$","")</f>
        <v>K548</v>
      </c>
      <c r="O556" s="116" t="s">
        <v>130</v>
      </c>
      <c r="P556" s="228" t="s">
        <v>75</v>
      </c>
      <c r="Q556" s="250" t="str">
        <f ca="1">INDEX(tblGoSubRoutineStartCell[StartCell],MATCH(B556,tblGoSubRoutineStartCell[GoSub Routine],0))</f>
        <v>K56</v>
      </c>
      <c r="R556" s="184"/>
      <c r="S556" s="178"/>
      <c r="T556" s="178"/>
      <c r="U556" s="178"/>
      <c r="V556" s="178"/>
      <c r="W556" s="178"/>
      <c r="X556" s="178"/>
      <c r="Y556" s="178"/>
      <c r="Z556" s="178"/>
      <c r="AA556" s="178"/>
      <c r="AB556" s="178"/>
      <c r="AC556" s="178"/>
      <c r="AD556" s="178"/>
      <c r="AE556" s="178"/>
      <c r="AF556" s="178"/>
      <c r="AG556" s="178"/>
      <c r="AH556" s="178"/>
      <c r="AI556" s="178"/>
      <c r="AJ556" s="178"/>
    </row>
    <row r="557" spans="1:36" s="175" customFormat="1" ht="15" hidden="1">
      <c r="A557" s="130"/>
      <c r="B557" s="240" t="s">
        <v>343</v>
      </c>
      <c r="C557" s="78"/>
      <c r="D557" s="58"/>
      <c r="E557" s="58"/>
      <c r="F557" s="58"/>
      <c r="G557" s="58"/>
      <c r="H557" s="58"/>
      <c r="I557" s="58"/>
      <c r="J557" s="184"/>
      <c r="K557" s="338" t="s">
        <v>27</v>
      </c>
      <c r="L557" s="338" t="s">
        <v>313</v>
      </c>
      <c r="M557" s="338" t="s">
        <v>91</v>
      </c>
      <c r="N557" s="338" t="s">
        <v>315</v>
      </c>
      <c r="O557" s="241" t="s">
        <v>316</v>
      </c>
      <c r="P557" s="241" t="s">
        <v>312</v>
      </c>
      <c r="Q557" s="184"/>
    </row>
    <row r="558" spans="1:36" s="175" customFormat="1" ht="15" hidden="1">
      <c r="A558" s="130"/>
      <c r="B558" s="246" t="s">
        <v>558</v>
      </c>
      <c r="C558" s="78">
        <v>5000</v>
      </c>
      <c r="D558" s="58"/>
      <c r="E558" s="58"/>
      <c r="F558" s="58"/>
      <c r="G558" s="58"/>
      <c r="H558" s="58"/>
      <c r="I558" s="58"/>
      <c r="J558" s="184"/>
      <c r="K558" s="263" t="s">
        <v>27</v>
      </c>
      <c r="L558" s="263" t="s">
        <v>42</v>
      </c>
      <c r="M558" s="216" t="s">
        <v>60</v>
      </c>
      <c r="N558" s="247" t="str">
        <f>B558</f>
        <v>Going off load…</v>
      </c>
      <c r="O558" s="210">
        <f>C558</f>
        <v>5000</v>
      </c>
      <c r="P558" s="184"/>
      <c r="Q558" s="184"/>
    </row>
    <row r="559" spans="1:36" s="175" customFormat="1" ht="15.75" hidden="1" thickBot="1">
      <c r="A559" s="130"/>
      <c r="B559" s="240" t="s">
        <v>427</v>
      </c>
      <c r="C559" s="78">
        <v>2</v>
      </c>
      <c r="D559" s="58"/>
      <c r="E559" s="455"/>
      <c r="F559" s="58"/>
      <c r="G559" s="58"/>
      <c r="H559" s="58"/>
      <c r="I559" s="58"/>
      <c r="J559" s="184"/>
      <c r="K559" s="263" t="s">
        <v>27</v>
      </c>
      <c r="L559" s="263" t="s">
        <v>318</v>
      </c>
      <c r="M559" s="263" t="s">
        <v>55</v>
      </c>
      <c r="N559" s="263" t="s">
        <v>33</v>
      </c>
      <c r="O559" s="241">
        <v>2</v>
      </c>
      <c r="P559" s="241"/>
      <c r="Q559" s="184"/>
    </row>
    <row r="560" spans="1:36" s="175" customFormat="1" ht="15" hidden="1" customHeight="1" thickBot="1">
      <c r="A560" s="132" cm="1">
        <f t="array" ref="A560">SSATSLineNumbers(A560,0.01)</f>
        <v>3.29</v>
      </c>
      <c r="B560" s="244" t="s">
        <v>428</v>
      </c>
      <c r="C560" s="66">
        <v>-14750</v>
      </c>
      <c r="D560" s="84"/>
      <c r="E560" s="457" t="str">
        <f>IF(E559="","[AUTO]",E559*T560)</f>
        <v>[AUTO]</v>
      </c>
      <c r="F560" s="86">
        <f t="shared" ref="F560:H561" ca="1" si="10">P560</f>
        <v>-14850</v>
      </c>
      <c r="G560" s="86">
        <f t="shared" ca="1" si="10"/>
        <v>-14650</v>
      </c>
      <c r="H560" s="86" t="str">
        <f t="shared" ca="1" si="10"/>
        <v>V</v>
      </c>
      <c r="I560" s="59" t="str">
        <f>IF(E560 ="[AUTO]","TBC", IF(AND(E560&gt;=F560,E560&lt;=G560 ),"Pass","Fail"))</f>
        <v>TBC</v>
      </c>
      <c r="J560" s="184"/>
      <c r="K560" s="263" t="s">
        <v>80</v>
      </c>
      <c r="L560" s="184"/>
      <c r="M560" s="184"/>
      <c r="N560" s="184"/>
      <c r="O560" s="184"/>
      <c r="P560" s="245">
        <f ca="1">C560+(INDEX(tblProductScalesMeasures[Min],MATCH(_xlfn.CONCAT(B560),tblProductScalesMeasures[Description],0)))</f>
        <v>-14850</v>
      </c>
      <c r="Q560" s="245">
        <f ca="1">C560+(INDEX(tblProductScalesMeasures[Max],MATCH(_xlfn.CONCAT(B560),tblProductScalesMeasures[Description],0)))</f>
        <v>-14650</v>
      </c>
      <c r="R560" s="245" t="str">
        <f ca="1">(INDEX(tblProductScalesMeasures[Unit],MATCH(_xlfn.CONCAT(B560),tblProductScalesMeasures[Description],0)))</f>
        <v>V</v>
      </c>
      <c r="S560" s="177"/>
      <c r="T560" s="245">
        <f ca="1">IF(COUNTIF(tblExempt[],R560)&gt;0,0,INDEX(tblScaling[Divider],MATCH(_xlfn.CONCAT(IF(ISNUMBER(SEARCH(" ",section_3_heading))=TRUE,SUBSTITUTE(section_3_heading," ",""),"")," ",R560),tblScaling[Description],0)))</f>
        <v>10000</v>
      </c>
    </row>
    <row r="561" spans="1:36" s="45" customFormat="1" ht="16.5" hidden="1" customHeight="1" thickBot="1">
      <c r="A561" s="132" cm="1">
        <f t="array" ref="A561">SSATSLineNumbers(A561,0.01)</f>
        <v>3.3</v>
      </c>
      <c r="B561" s="244" t="str">
        <f ca="1">ATE_Settings!Y78</f>
        <v>L2 Load Regulation Negative (V)</v>
      </c>
      <c r="C561" s="243"/>
      <c r="D561" s="84"/>
      <c r="E561" s="457" t="str">
        <f>IF(OR(E560="[AUTO]",E555="[AUTO]")=TRUE,"[AUTO]",E555-E560)</f>
        <v>[AUTO]</v>
      </c>
      <c r="F561" s="86">
        <f t="shared" ca="1" si="10"/>
        <v>-0.75</v>
      </c>
      <c r="G561" s="86">
        <f t="shared" ca="1" si="10"/>
        <v>0.75</v>
      </c>
      <c r="H561" s="86" t="str">
        <f t="shared" ca="1" si="10"/>
        <v>V</v>
      </c>
      <c r="I561" s="59" t="str">
        <f>IF(E561 ="[AUTO]","TBC", IF(AND(E561&gt;=F561,E561&lt;=G561 ),"Pass","Fail"))</f>
        <v>TBC</v>
      </c>
      <c r="J561" s="184"/>
      <c r="K561" s="263" t="s">
        <v>80</v>
      </c>
      <c r="L561" s="263"/>
      <c r="M561" s="263"/>
      <c r="N561" s="263"/>
      <c r="O561" s="184"/>
      <c r="P561" s="245">
        <f ca="1">C561+(INDEX(tblProductScalesMeasures[Min],MATCH(_xlfn.CONCAT(B561),tblProductScalesMeasures[Description],0)))</f>
        <v>-0.75</v>
      </c>
      <c r="Q561" s="245">
        <f ca="1">C561+(INDEX(tblProductScalesMeasures[Max],MATCH(_xlfn.CONCAT(B561),tblProductScalesMeasures[Description],0)))</f>
        <v>0.75</v>
      </c>
      <c r="R561" s="245" t="str">
        <f ca="1">(INDEX(tblProductScalesMeasures[Unit],MATCH(_xlfn.CONCAT(B561),tblProductScalesMeasures[Description],0)))</f>
        <v>V</v>
      </c>
      <c r="S561" s="177"/>
      <c r="T561" s="245">
        <f ca="1">IF(COUNTIF(tblExempt[],R561)&gt;0,0,INDEX(tblScaling[Divider],MATCH(_xlfn.CONCAT(IF(ISNUMBER(SEARCH(" ",section_3_heading))=TRUE,SUBSTITUTE(section_3_heading," ",""),"")," ",R561),tblScaling[Description],0)))</f>
        <v>10000</v>
      </c>
      <c r="U561" s="177"/>
      <c r="V561" s="177"/>
      <c r="W561" s="177"/>
      <c r="X561" s="177"/>
      <c r="Y561" s="177"/>
      <c r="Z561" s="177"/>
      <c r="AA561" s="177"/>
      <c r="AB561" s="177"/>
      <c r="AC561" s="177"/>
      <c r="AD561" s="177"/>
      <c r="AE561" s="177"/>
      <c r="AF561" s="177"/>
      <c r="AG561" s="177"/>
      <c r="AH561" s="177"/>
      <c r="AI561" s="177"/>
      <c r="AJ561" s="177"/>
    </row>
    <row r="562" spans="1:36" s="180" customFormat="1" ht="16.5" hidden="1" customHeight="1" thickBot="1">
      <c r="A562" s="133"/>
      <c r="B562" s="237" t="s">
        <v>70</v>
      </c>
      <c r="C562" s="57"/>
      <c r="D562" s="57"/>
      <c r="E562" s="80"/>
      <c r="F562" s="57"/>
      <c r="G562" s="57"/>
      <c r="H562" s="57"/>
      <c r="I562" s="57"/>
      <c r="J562" s="184"/>
      <c r="K562" s="116" t="s">
        <v>27</v>
      </c>
      <c r="L562" s="116" t="s">
        <v>42</v>
      </c>
      <c r="M562" s="116" t="s">
        <v>129</v>
      </c>
      <c r="N562" s="116" t="str">
        <f ca="1">SUBSTITUTE(CELL("address",K548),"$","")</f>
        <v>K548</v>
      </c>
      <c r="O562" s="116" t="s">
        <v>130</v>
      </c>
      <c r="P562" s="228" t="s">
        <v>75</v>
      </c>
      <c r="Q562" s="250" t="str">
        <f ca="1">INDEX(tblGoSubRoutineStartCell[StartCell],MATCH(B562,tblGoSubRoutineStartCell[GoSub Routine],0))</f>
        <v>K56</v>
      </c>
      <c r="R562" s="184"/>
      <c r="S562" s="178"/>
      <c r="T562" s="178"/>
      <c r="U562" s="178"/>
      <c r="V562" s="178"/>
      <c r="W562" s="178"/>
      <c r="X562" s="178"/>
      <c r="Y562" s="178"/>
      <c r="Z562" s="178"/>
      <c r="AA562" s="178"/>
      <c r="AB562" s="178"/>
      <c r="AC562" s="178"/>
      <c r="AD562" s="178"/>
      <c r="AE562" s="178"/>
      <c r="AF562" s="178"/>
      <c r="AG562" s="178"/>
      <c r="AH562" s="178"/>
      <c r="AI562" s="178"/>
      <c r="AJ562" s="178"/>
    </row>
    <row r="563" spans="1:36" s="45" customFormat="1" ht="13.5" hidden="1" thickBot="1">
      <c r="A563" s="130"/>
      <c r="B563" s="84"/>
      <c r="C563" s="78"/>
      <c r="D563" s="58"/>
      <c r="E563" s="58"/>
      <c r="F563" s="58"/>
      <c r="G563" s="58"/>
      <c r="H563" s="58"/>
      <c r="I563" s="58"/>
      <c r="K563" s="50" t="s">
        <v>80</v>
      </c>
      <c r="R563" s="177"/>
      <c r="S563" s="177"/>
      <c r="T563" s="177"/>
      <c r="U563" s="177"/>
      <c r="V563" s="177"/>
      <c r="W563" s="177"/>
      <c r="X563" s="177"/>
      <c r="Y563" s="177"/>
      <c r="Z563" s="177"/>
      <c r="AA563" s="177"/>
      <c r="AB563" s="177"/>
      <c r="AC563" s="177"/>
      <c r="AD563" s="177"/>
      <c r="AE563" s="177"/>
      <c r="AF563" s="177"/>
      <c r="AG563" s="177"/>
      <c r="AH563" s="177"/>
      <c r="AI563" s="177"/>
      <c r="AJ563" s="177"/>
    </row>
    <row r="564" spans="1:36" s="45" customFormat="1" ht="18.75" hidden="1" thickBot="1">
      <c r="A564" s="134"/>
      <c r="B564" s="54" t="s">
        <v>70</v>
      </c>
      <c r="C564" s="55"/>
      <c r="D564" s="55"/>
      <c r="E564" s="55"/>
      <c r="F564" s="55"/>
      <c r="G564" s="55"/>
      <c r="H564" s="55"/>
      <c r="I564" s="56"/>
      <c r="K564" s="369" t="s">
        <v>77</v>
      </c>
      <c r="L564" s="369" t="s">
        <v>75</v>
      </c>
      <c r="M564" s="369" t="str">
        <f ca="1">INDEX(tblGoSubRoutineStartCell[StartCell],MATCH(B564,tblGoSubRoutineStartCell[GoSub Routine],0))</f>
        <v>K56</v>
      </c>
      <c r="R564" s="177"/>
      <c r="S564" s="177"/>
      <c r="T564" s="177"/>
      <c r="U564" s="177"/>
      <c r="V564" s="177"/>
      <c r="W564" s="177"/>
      <c r="X564" s="177"/>
      <c r="Y564" s="177"/>
      <c r="Z564" s="177"/>
      <c r="AA564" s="177"/>
      <c r="AB564" s="177"/>
      <c r="AC564" s="177"/>
      <c r="AD564" s="177"/>
      <c r="AE564" s="177"/>
      <c r="AF564" s="177"/>
      <c r="AG564" s="177"/>
      <c r="AH564" s="177"/>
      <c r="AI564" s="177"/>
      <c r="AJ564" s="177"/>
    </row>
    <row r="565" spans="1:36" ht="12.75" hidden="1" customHeight="1">
      <c r="A565" s="504" t="str">
        <f>_xlfn.CONCAT(section_3_heading," Overall Verdict")</f>
        <v>Lens 2 Overall Verdict</v>
      </c>
      <c r="B565" s="505"/>
      <c r="C565" s="505"/>
      <c r="D565" s="505"/>
      <c r="E565" s="505"/>
      <c r="F565" s="505"/>
      <c r="G565" s="506"/>
      <c r="H565" s="513" t="str" cm="1">
        <f t="array" ref="H565">_xlfn.IFS(COUNTIF(section_3_results,"TBC")&gt;0,"Incomplete",COUNT(IF(ISERROR(section_3_results),1,""))&gt;0,"VALUE ERROR",COUNTIF(section_3_results,"Fail")&gt;0,"Fail",COUNTIF(unit_type,"")&gt;0,"NO UNIT TYPE",COUNTIF(serial_number,"")&gt;0,"NO SERIAL NUMBER",COUNTIF(tester_name,"")&gt;0,"NO TESTER ID",TRUE,"Pass")</f>
        <v>Incomplete</v>
      </c>
      <c r="I565" s="514"/>
    </row>
    <row r="566" spans="1:36" ht="17.25" hidden="1" customHeight="1">
      <c r="A566" s="507"/>
      <c r="B566" s="508"/>
      <c r="C566" s="508"/>
      <c r="D566" s="508"/>
      <c r="E566" s="508"/>
      <c r="F566" s="508"/>
      <c r="G566" s="509"/>
      <c r="H566" s="515"/>
      <c r="I566" s="516"/>
    </row>
    <row r="567" spans="1:36" ht="13.5" hidden="1" customHeight="1" thickBot="1">
      <c r="A567" s="510"/>
      <c r="B567" s="511"/>
      <c r="C567" s="511"/>
      <c r="D567" s="511"/>
      <c r="E567" s="511"/>
      <c r="F567" s="511"/>
      <c r="G567" s="512"/>
      <c r="H567" s="517"/>
      <c r="I567" s="518"/>
    </row>
    <row r="568" spans="1:36" s="45" customFormat="1" ht="24" hidden="1" thickBot="1">
      <c r="A568" s="279">
        <v>4</v>
      </c>
      <c r="B568" s="492" t="s">
        <v>461</v>
      </c>
      <c r="C568" s="493"/>
      <c r="D568" s="493"/>
      <c r="E568" s="493"/>
      <c r="F568" s="493"/>
      <c r="G568" s="493"/>
      <c r="H568" s="493"/>
      <c r="I568" s="494"/>
      <c r="K568" s="50"/>
      <c r="R568" s="177"/>
      <c r="S568" s="177"/>
      <c r="T568" s="177"/>
      <c r="U568" s="177"/>
      <c r="V568" s="177"/>
      <c r="W568" s="177"/>
      <c r="X568" s="177"/>
      <c r="Y568" s="177"/>
      <c r="Z568" s="177"/>
      <c r="AA568" s="177"/>
      <c r="AB568" s="177"/>
      <c r="AC568" s="177"/>
      <c r="AD568" s="177"/>
      <c r="AE568" s="177"/>
      <c r="AF568" s="177"/>
      <c r="AG568" s="177"/>
      <c r="AH568" s="177"/>
      <c r="AI568" s="177"/>
      <c r="AJ568" s="177"/>
    </row>
    <row r="569" spans="1:36" s="45" customFormat="1" ht="12.75" hidden="1" customHeight="1">
      <c r="A569" s="486" t="s">
        <v>363</v>
      </c>
      <c r="B569" s="487"/>
      <c r="C569" s="487"/>
      <c r="D569" s="487"/>
      <c r="E569" s="487"/>
      <c r="F569" s="487"/>
      <c r="G569" s="487"/>
      <c r="H569" s="487"/>
      <c r="I569" s="488"/>
      <c r="K569" s="50"/>
      <c r="R569" s="177"/>
      <c r="S569" s="177"/>
      <c r="T569" s="177"/>
      <c r="U569" s="177"/>
      <c r="V569" s="177"/>
      <c r="W569" s="177"/>
      <c r="X569" s="177"/>
      <c r="Y569" s="177"/>
      <c r="Z569" s="177"/>
      <c r="AA569" s="177"/>
      <c r="AB569" s="177"/>
      <c r="AC569" s="177"/>
      <c r="AD569" s="177"/>
      <c r="AE569" s="177"/>
      <c r="AF569" s="177"/>
      <c r="AG569" s="177"/>
      <c r="AH569" s="177"/>
      <c r="AI569" s="177"/>
      <c r="AJ569" s="177"/>
    </row>
    <row r="570" spans="1:36" s="45" customFormat="1" ht="12.75" hidden="1" customHeight="1">
      <c r="A570" s="489"/>
      <c r="B570" s="490"/>
      <c r="C570" s="490"/>
      <c r="D570" s="490"/>
      <c r="E570" s="490"/>
      <c r="F570" s="490"/>
      <c r="G570" s="490"/>
      <c r="H570" s="490"/>
      <c r="I570" s="491"/>
      <c r="K570" s="50"/>
      <c r="R570" s="177"/>
      <c r="S570" s="177"/>
      <c r="T570" s="177"/>
      <c r="U570" s="177"/>
      <c r="V570" s="177"/>
      <c r="W570" s="177"/>
      <c r="X570" s="177"/>
      <c r="Y570" s="177"/>
      <c r="Z570" s="177"/>
      <c r="AA570" s="177"/>
      <c r="AB570" s="177"/>
      <c r="AC570" s="177"/>
      <c r="AD570" s="177"/>
      <c r="AE570" s="177"/>
      <c r="AF570" s="177"/>
      <c r="AG570" s="177"/>
      <c r="AH570" s="177"/>
      <c r="AI570" s="177"/>
      <c r="AJ570" s="177"/>
    </row>
    <row r="571" spans="1:36" s="45" customFormat="1" ht="12.75" hidden="1" customHeight="1">
      <c r="A571" s="489"/>
      <c r="B571" s="490"/>
      <c r="C571" s="490"/>
      <c r="D571" s="490"/>
      <c r="E571" s="490"/>
      <c r="F571" s="490"/>
      <c r="G571" s="490"/>
      <c r="H571" s="490"/>
      <c r="I571" s="491"/>
      <c r="K571" s="50"/>
      <c r="R571" s="177"/>
      <c r="S571" s="177"/>
      <c r="T571" s="177"/>
      <c r="U571" s="177"/>
      <c r="V571" s="177"/>
      <c r="W571" s="177"/>
      <c r="X571" s="177"/>
      <c r="Y571" s="177"/>
      <c r="Z571" s="177"/>
      <c r="AA571" s="177"/>
      <c r="AB571" s="177"/>
      <c r="AC571" s="177"/>
      <c r="AD571" s="177"/>
      <c r="AE571" s="177"/>
      <c r="AF571" s="177"/>
      <c r="AG571" s="177"/>
      <c r="AH571" s="177"/>
      <c r="AI571" s="177"/>
      <c r="AJ571" s="177"/>
    </row>
    <row r="572" spans="1:36" s="45" customFormat="1" ht="12.75" hidden="1" customHeight="1">
      <c r="A572" s="471"/>
      <c r="B572" s="472"/>
      <c r="C572" s="472"/>
      <c r="D572" s="472"/>
      <c r="E572" s="472"/>
      <c r="F572" s="472"/>
      <c r="G572" s="472"/>
      <c r="H572" s="472"/>
      <c r="I572" s="473"/>
      <c r="K572" s="50"/>
      <c r="R572" s="177"/>
      <c r="S572" s="177"/>
      <c r="T572" s="177"/>
      <c r="U572" s="177"/>
      <c r="V572" s="177"/>
      <c r="W572" s="177"/>
      <c r="X572" s="177"/>
      <c r="Y572" s="177"/>
      <c r="Z572" s="177"/>
      <c r="AA572" s="177"/>
      <c r="AB572" s="177"/>
      <c r="AC572" s="177"/>
      <c r="AD572" s="177"/>
      <c r="AE572" s="177"/>
      <c r="AF572" s="177"/>
      <c r="AG572" s="177"/>
      <c r="AH572" s="177"/>
      <c r="AI572" s="177"/>
      <c r="AJ572" s="177"/>
    </row>
    <row r="573" spans="1:36" s="45" customFormat="1" ht="12.75" hidden="1" customHeight="1">
      <c r="A573" s="471"/>
      <c r="B573" s="472"/>
      <c r="C573" s="472"/>
      <c r="D573" s="472"/>
      <c r="E573" s="472"/>
      <c r="F573" s="472"/>
      <c r="G573" s="472"/>
      <c r="H573" s="472"/>
      <c r="I573" s="473"/>
      <c r="K573" s="50"/>
      <c r="R573" s="177"/>
      <c r="S573" s="177"/>
      <c r="T573" s="177"/>
      <c r="U573" s="177"/>
      <c r="V573" s="177"/>
      <c r="W573" s="177"/>
      <c r="X573" s="177"/>
      <c r="Y573" s="177"/>
      <c r="Z573" s="177"/>
      <c r="AA573" s="177"/>
      <c r="AB573" s="177"/>
      <c r="AC573" s="177"/>
      <c r="AD573" s="177"/>
      <c r="AE573" s="177"/>
      <c r="AF573" s="177"/>
      <c r="AG573" s="177"/>
      <c r="AH573" s="177"/>
      <c r="AI573" s="177"/>
      <c r="AJ573" s="177"/>
    </row>
    <row r="574" spans="1:36" s="45" customFormat="1" ht="12.75" hidden="1" customHeight="1">
      <c r="A574" s="471"/>
      <c r="B574" s="472"/>
      <c r="C574" s="472"/>
      <c r="D574" s="472"/>
      <c r="E574" s="472"/>
      <c r="F574" s="472"/>
      <c r="G574" s="472"/>
      <c r="H574" s="472"/>
      <c r="I574" s="473"/>
      <c r="K574" s="50"/>
      <c r="R574" s="177"/>
      <c r="S574" s="177"/>
      <c r="T574" s="177"/>
      <c r="U574" s="177"/>
      <c r="V574" s="177"/>
      <c r="W574" s="177"/>
      <c r="X574" s="177"/>
      <c r="Y574" s="177"/>
      <c r="Z574" s="177"/>
      <c r="AA574" s="177"/>
      <c r="AB574" s="177"/>
      <c r="AC574" s="177"/>
      <c r="AD574" s="177"/>
      <c r="AE574" s="177"/>
      <c r="AF574" s="177"/>
      <c r="AG574" s="177"/>
      <c r="AH574" s="177"/>
      <c r="AI574" s="177"/>
      <c r="AJ574" s="177"/>
    </row>
    <row r="575" spans="1:36" s="45" customFormat="1" ht="12.75" hidden="1" customHeight="1">
      <c r="A575" s="471"/>
      <c r="B575" s="472"/>
      <c r="C575" s="472"/>
      <c r="D575" s="472"/>
      <c r="E575" s="472"/>
      <c r="F575" s="472"/>
      <c r="G575" s="472"/>
      <c r="H575" s="472"/>
      <c r="I575" s="473"/>
      <c r="K575" s="50"/>
      <c r="R575" s="177"/>
      <c r="S575" s="177"/>
      <c r="T575" s="177"/>
      <c r="U575" s="177"/>
      <c r="V575" s="177"/>
      <c r="W575" s="177"/>
      <c r="X575" s="177"/>
      <c r="Y575" s="177"/>
      <c r="Z575" s="177"/>
      <c r="AA575" s="177"/>
      <c r="AB575" s="177"/>
      <c r="AC575" s="177"/>
      <c r="AD575" s="177"/>
      <c r="AE575" s="177"/>
      <c r="AF575" s="177"/>
      <c r="AG575" s="177"/>
      <c r="AH575" s="177"/>
      <c r="AI575" s="177"/>
      <c r="AJ575" s="177"/>
    </row>
    <row r="576" spans="1:36" s="45" customFormat="1" ht="12.75" hidden="1" customHeight="1">
      <c r="A576" s="471"/>
      <c r="B576" s="472"/>
      <c r="C576" s="472"/>
      <c r="D576" s="472"/>
      <c r="E576" s="472"/>
      <c r="F576" s="472"/>
      <c r="G576" s="472"/>
      <c r="H576" s="472"/>
      <c r="I576" s="473"/>
      <c r="K576" s="50"/>
      <c r="R576" s="177"/>
      <c r="S576" s="177"/>
      <c r="T576" s="177"/>
      <c r="U576" s="177"/>
      <c r="V576" s="177"/>
      <c r="W576" s="177"/>
      <c r="X576" s="177"/>
      <c r="Y576" s="177"/>
      <c r="Z576" s="177"/>
      <c r="AA576" s="177"/>
      <c r="AB576" s="177"/>
      <c r="AC576" s="177"/>
      <c r="AD576" s="177"/>
      <c r="AE576" s="177"/>
      <c r="AF576" s="177"/>
      <c r="AG576" s="177"/>
      <c r="AH576" s="177"/>
      <c r="AI576" s="177"/>
      <c r="AJ576" s="177"/>
    </row>
    <row r="577" spans="1:36" s="45" customFormat="1" ht="12.75" hidden="1" customHeight="1">
      <c r="A577" s="471"/>
      <c r="B577" s="472"/>
      <c r="C577" s="472"/>
      <c r="D577" s="472"/>
      <c r="E577" s="472"/>
      <c r="F577" s="472"/>
      <c r="G577" s="472"/>
      <c r="H577" s="472"/>
      <c r="I577" s="473"/>
      <c r="K577" s="50"/>
      <c r="R577" s="177"/>
      <c r="S577" s="177"/>
      <c r="T577" s="177"/>
      <c r="U577" s="177"/>
      <c r="V577" s="177"/>
      <c r="W577" s="177"/>
      <c r="X577" s="177"/>
      <c r="Y577" s="177"/>
      <c r="Z577" s="177"/>
      <c r="AA577" s="177"/>
      <c r="AB577" s="177"/>
      <c r="AC577" s="177"/>
      <c r="AD577" s="177"/>
      <c r="AE577" s="177"/>
      <c r="AF577" s="177"/>
      <c r="AG577" s="177"/>
      <c r="AH577" s="177"/>
      <c r="AI577" s="177"/>
      <c r="AJ577" s="177"/>
    </row>
    <row r="578" spans="1:36" s="45" customFormat="1" ht="12.75" hidden="1" customHeight="1">
      <c r="A578" s="471"/>
      <c r="B578" s="472"/>
      <c r="C578" s="472"/>
      <c r="D578" s="472"/>
      <c r="E578" s="472"/>
      <c r="F578" s="472"/>
      <c r="G578" s="472"/>
      <c r="H578" s="472"/>
      <c r="I578" s="473"/>
      <c r="K578" s="50"/>
      <c r="R578" s="177"/>
      <c r="S578" s="177"/>
      <c r="T578" s="177"/>
      <c r="U578" s="177"/>
      <c r="V578" s="177"/>
      <c r="W578" s="177"/>
      <c r="X578" s="177"/>
      <c r="Y578" s="177"/>
      <c r="Z578" s="177"/>
      <c r="AA578" s="177"/>
      <c r="AB578" s="177"/>
      <c r="AC578" s="177"/>
      <c r="AD578" s="177"/>
      <c r="AE578" s="177"/>
      <c r="AF578" s="177"/>
      <c r="AG578" s="177"/>
      <c r="AH578" s="177"/>
      <c r="AI578" s="177"/>
      <c r="AJ578" s="177"/>
    </row>
    <row r="579" spans="1:36" s="45" customFormat="1" ht="12.75" hidden="1" customHeight="1">
      <c r="A579" s="471"/>
      <c r="B579" s="472"/>
      <c r="C579" s="472"/>
      <c r="D579" s="472"/>
      <c r="E579" s="472"/>
      <c r="F579" s="472"/>
      <c r="G579" s="472"/>
      <c r="H579" s="472"/>
      <c r="I579" s="473"/>
      <c r="K579" s="50"/>
      <c r="R579" s="177"/>
      <c r="S579" s="177"/>
      <c r="T579" s="177"/>
      <c r="U579" s="177"/>
      <c r="V579" s="177"/>
      <c r="W579" s="177"/>
      <c r="X579" s="177"/>
      <c r="Y579" s="177"/>
      <c r="Z579" s="177"/>
      <c r="AA579" s="177"/>
      <c r="AB579" s="177"/>
      <c r="AC579" s="177"/>
      <c r="AD579" s="177"/>
      <c r="AE579" s="177"/>
      <c r="AF579" s="177"/>
      <c r="AG579" s="177"/>
      <c r="AH579" s="177"/>
      <c r="AI579" s="177"/>
      <c r="AJ579" s="177"/>
    </row>
    <row r="580" spans="1:36" s="45" customFormat="1" ht="12.75" hidden="1" customHeight="1">
      <c r="A580" s="471"/>
      <c r="B580" s="472"/>
      <c r="C580" s="472"/>
      <c r="D580" s="472"/>
      <c r="E580" s="472"/>
      <c r="F580" s="472"/>
      <c r="G580" s="472"/>
      <c r="H580" s="472"/>
      <c r="I580" s="473"/>
      <c r="K580" s="50"/>
      <c r="R580" s="177"/>
      <c r="S580" s="177"/>
      <c r="T580" s="177"/>
      <c r="U580" s="177"/>
      <c r="V580" s="177"/>
      <c r="W580" s="177"/>
      <c r="X580" s="177"/>
      <c r="Y580" s="177"/>
      <c r="Z580" s="177"/>
      <c r="AA580" s="177"/>
      <c r="AB580" s="177"/>
      <c r="AC580" s="177"/>
      <c r="AD580" s="177"/>
      <c r="AE580" s="177"/>
      <c r="AF580" s="177"/>
      <c r="AG580" s="177"/>
      <c r="AH580" s="177"/>
      <c r="AI580" s="177"/>
      <c r="AJ580" s="177"/>
    </row>
    <row r="581" spans="1:36" s="45" customFormat="1" ht="12.75" hidden="1" customHeight="1">
      <c r="A581" s="471"/>
      <c r="B581" s="472"/>
      <c r="C581" s="472"/>
      <c r="D581" s="472"/>
      <c r="E581" s="472"/>
      <c r="F581" s="472"/>
      <c r="G581" s="472"/>
      <c r="H581" s="472"/>
      <c r="I581" s="473"/>
      <c r="K581" s="50"/>
      <c r="R581" s="177"/>
      <c r="S581" s="177"/>
      <c r="T581" s="177"/>
      <c r="U581" s="177"/>
      <c r="V581" s="177"/>
      <c r="W581" s="177"/>
      <c r="X581" s="177"/>
      <c r="Y581" s="177"/>
      <c r="Z581" s="177"/>
      <c r="AA581" s="177"/>
      <c r="AB581" s="177"/>
      <c r="AC581" s="177"/>
      <c r="AD581" s="177"/>
      <c r="AE581" s="177"/>
      <c r="AF581" s="177"/>
      <c r="AG581" s="177"/>
      <c r="AH581" s="177"/>
      <c r="AI581" s="177"/>
      <c r="AJ581" s="177"/>
    </row>
    <row r="582" spans="1:36" s="45" customFormat="1" ht="12.75" hidden="1" customHeight="1">
      <c r="A582" s="471"/>
      <c r="B582" s="472"/>
      <c r="C582" s="472"/>
      <c r="D582" s="472"/>
      <c r="E582" s="472"/>
      <c r="F582" s="472"/>
      <c r="G582" s="472"/>
      <c r="H582" s="472"/>
      <c r="I582" s="473"/>
      <c r="K582" s="50"/>
      <c r="R582" s="177"/>
      <c r="S582" s="177"/>
      <c r="T582" s="177"/>
      <c r="U582" s="177"/>
      <c r="V582" s="177"/>
      <c r="W582" s="177"/>
      <c r="X582" s="177"/>
      <c r="Y582" s="177"/>
      <c r="Z582" s="177"/>
      <c r="AA582" s="177"/>
      <c r="AB582" s="177"/>
      <c r="AC582" s="177"/>
      <c r="AD582" s="177"/>
      <c r="AE582" s="177"/>
      <c r="AF582" s="177"/>
      <c r="AG582" s="177"/>
      <c r="AH582" s="177"/>
      <c r="AI582" s="177"/>
      <c r="AJ582" s="177"/>
    </row>
    <row r="583" spans="1:36" s="45" customFormat="1" ht="12.75" hidden="1" customHeight="1">
      <c r="A583" s="471"/>
      <c r="B583" s="472"/>
      <c r="C583" s="472"/>
      <c r="D583" s="472"/>
      <c r="E583" s="472"/>
      <c r="F583" s="472"/>
      <c r="G583" s="472"/>
      <c r="H583" s="472"/>
      <c r="I583" s="473"/>
      <c r="K583" s="50"/>
      <c r="R583" s="177"/>
      <c r="S583" s="177"/>
      <c r="T583" s="177"/>
      <c r="U583" s="177"/>
      <c r="V583" s="177"/>
      <c r="W583" s="177"/>
      <c r="X583" s="177"/>
      <c r="Y583" s="177"/>
      <c r="Z583" s="177"/>
      <c r="AA583" s="177"/>
      <c r="AB583" s="177"/>
      <c r="AC583" s="177"/>
      <c r="AD583" s="177"/>
      <c r="AE583" s="177"/>
      <c r="AF583" s="177"/>
      <c r="AG583" s="177"/>
      <c r="AH583" s="177"/>
      <c r="AI583" s="177"/>
      <c r="AJ583" s="177"/>
    </row>
    <row r="584" spans="1:36" s="45" customFormat="1" ht="12.75" hidden="1" customHeight="1">
      <c r="A584" s="471"/>
      <c r="B584" s="472"/>
      <c r="C584" s="472"/>
      <c r="D584" s="472"/>
      <c r="E584" s="472"/>
      <c r="F584" s="472"/>
      <c r="G584" s="472"/>
      <c r="H584" s="472"/>
      <c r="I584" s="473"/>
      <c r="K584" s="50"/>
      <c r="R584" s="177"/>
      <c r="S584" s="177"/>
      <c r="T584" s="177"/>
      <c r="U584" s="177"/>
      <c r="V584" s="177"/>
      <c r="W584" s="177"/>
      <c r="X584" s="177"/>
      <c r="Y584" s="177"/>
      <c r="Z584" s="177"/>
      <c r="AA584" s="177"/>
      <c r="AB584" s="177"/>
      <c r="AC584" s="177"/>
      <c r="AD584" s="177"/>
      <c r="AE584" s="177"/>
      <c r="AF584" s="177"/>
      <c r="AG584" s="177"/>
      <c r="AH584" s="177"/>
      <c r="AI584" s="177"/>
      <c r="AJ584" s="177"/>
    </row>
    <row r="585" spans="1:36" s="45" customFormat="1" ht="12.75" hidden="1" customHeight="1">
      <c r="A585" s="471"/>
      <c r="B585" s="472"/>
      <c r="C585" s="472"/>
      <c r="D585" s="472"/>
      <c r="E585" s="472"/>
      <c r="F585" s="472"/>
      <c r="G585" s="472"/>
      <c r="H585" s="472"/>
      <c r="I585" s="473"/>
      <c r="K585" s="50"/>
      <c r="R585" s="177"/>
      <c r="S585" s="177"/>
      <c r="T585" s="177"/>
      <c r="U585" s="177"/>
      <c r="V585" s="177"/>
      <c r="W585" s="177"/>
      <c r="X585" s="177"/>
      <c r="Y585" s="177"/>
      <c r="Z585" s="177"/>
      <c r="AA585" s="177"/>
      <c r="AB585" s="177"/>
      <c r="AC585" s="177"/>
      <c r="AD585" s="177"/>
      <c r="AE585" s="177"/>
      <c r="AF585" s="177"/>
      <c r="AG585" s="177"/>
      <c r="AH585" s="177"/>
      <c r="AI585" s="177"/>
      <c r="AJ585" s="177"/>
    </row>
    <row r="586" spans="1:36" s="45" customFormat="1" ht="12.75" hidden="1" customHeight="1">
      <c r="A586" s="471"/>
      <c r="B586" s="472"/>
      <c r="C586" s="472"/>
      <c r="D586" s="472"/>
      <c r="E586" s="472"/>
      <c r="F586" s="472"/>
      <c r="G586" s="472"/>
      <c r="H586" s="472"/>
      <c r="I586" s="473"/>
      <c r="K586" s="50"/>
      <c r="R586" s="177"/>
      <c r="S586" s="177"/>
      <c r="T586" s="177"/>
      <c r="U586" s="177"/>
      <c r="V586" s="177"/>
      <c r="W586" s="177"/>
      <c r="X586" s="177"/>
      <c r="Y586" s="177"/>
      <c r="Z586" s="177"/>
      <c r="AA586" s="177"/>
      <c r="AB586" s="177"/>
      <c r="AC586" s="177"/>
      <c r="AD586" s="177"/>
      <c r="AE586" s="177"/>
      <c r="AF586" s="177"/>
      <c r="AG586" s="177"/>
      <c r="AH586" s="177"/>
      <c r="AI586" s="177"/>
      <c r="AJ586" s="177"/>
    </row>
    <row r="587" spans="1:36" s="45" customFormat="1" ht="12.75" hidden="1" customHeight="1">
      <c r="A587" s="471"/>
      <c r="B587" s="472"/>
      <c r="C587" s="472"/>
      <c r="D587" s="472"/>
      <c r="E587" s="472"/>
      <c r="F587" s="472"/>
      <c r="G587" s="472"/>
      <c r="H587" s="472"/>
      <c r="I587" s="473"/>
      <c r="K587" s="50"/>
      <c r="R587" s="177"/>
      <c r="S587" s="177"/>
      <c r="T587" s="177"/>
      <c r="U587" s="177"/>
      <c r="V587" s="177"/>
      <c r="W587" s="177"/>
      <c r="X587" s="177"/>
      <c r="Y587" s="177"/>
      <c r="Z587" s="177"/>
      <c r="AA587" s="177"/>
      <c r="AB587" s="177"/>
      <c r="AC587" s="177"/>
      <c r="AD587" s="177"/>
      <c r="AE587" s="177"/>
      <c r="AF587" s="177"/>
      <c r="AG587" s="177"/>
      <c r="AH587" s="177"/>
      <c r="AI587" s="177"/>
      <c r="AJ587" s="177"/>
    </row>
    <row r="588" spans="1:36" s="45" customFormat="1" ht="12.75" hidden="1" customHeight="1">
      <c r="A588" s="471"/>
      <c r="B588" s="472"/>
      <c r="C588" s="472"/>
      <c r="D588" s="472"/>
      <c r="E588" s="472"/>
      <c r="F588" s="472"/>
      <c r="G588" s="472"/>
      <c r="H588" s="472"/>
      <c r="I588" s="473"/>
      <c r="K588" s="50"/>
      <c r="R588" s="177"/>
      <c r="S588" s="177"/>
      <c r="T588" s="177"/>
      <c r="U588" s="177"/>
      <c r="V588" s="177"/>
      <c r="W588" s="177"/>
      <c r="X588" s="177"/>
      <c r="Y588" s="177"/>
      <c r="Z588" s="177"/>
      <c r="AA588" s="177"/>
      <c r="AB588" s="177"/>
      <c r="AC588" s="177"/>
      <c r="AD588" s="177"/>
      <c r="AE588" s="177"/>
      <c r="AF588" s="177"/>
      <c r="AG588" s="177"/>
      <c r="AH588" s="177"/>
      <c r="AI588" s="177"/>
      <c r="AJ588" s="177"/>
    </row>
    <row r="589" spans="1:36" s="45" customFormat="1" ht="14.25" hidden="1" customHeight="1">
      <c r="A589" s="471"/>
      <c r="B589" s="472"/>
      <c r="C589" s="472"/>
      <c r="D589" s="472"/>
      <c r="E589" s="472"/>
      <c r="F589" s="472"/>
      <c r="G589" s="472"/>
      <c r="H589" s="472"/>
      <c r="I589" s="473"/>
      <c r="K589" s="50"/>
      <c r="R589" s="177"/>
      <c r="S589" s="177"/>
      <c r="T589" s="177"/>
      <c r="U589" s="177"/>
      <c r="V589" s="177"/>
      <c r="W589" s="177"/>
      <c r="X589" s="177"/>
      <c r="Y589" s="177"/>
      <c r="Z589" s="177"/>
      <c r="AA589" s="177"/>
      <c r="AB589" s="177"/>
      <c r="AC589" s="177"/>
      <c r="AD589" s="177"/>
      <c r="AE589" s="177"/>
      <c r="AF589" s="177"/>
      <c r="AG589" s="177"/>
      <c r="AH589" s="177"/>
      <c r="AI589" s="177"/>
      <c r="AJ589" s="177"/>
    </row>
    <row r="590" spans="1:36" s="45" customFormat="1" ht="12.75" hidden="1" customHeight="1">
      <c r="A590" s="471"/>
      <c r="B590" s="472"/>
      <c r="C590" s="472"/>
      <c r="D590" s="472"/>
      <c r="E590" s="472"/>
      <c r="F590" s="472"/>
      <c r="G590" s="472"/>
      <c r="H590" s="472"/>
      <c r="I590" s="473"/>
      <c r="K590" s="50"/>
      <c r="R590" s="177"/>
      <c r="S590" s="177"/>
      <c r="T590" s="177"/>
      <c r="U590" s="177"/>
      <c r="V590" s="177"/>
      <c r="W590" s="177"/>
      <c r="X590" s="177"/>
      <c r="Y590" s="177"/>
      <c r="Z590" s="177"/>
      <c r="AA590" s="177"/>
      <c r="AB590" s="177"/>
      <c r="AC590" s="177"/>
      <c r="AD590" s="177"/>
      <c r="AE590" s="177"/>
      <c r="AF590" s="177"/>
      <c r="AG590" s="177"/>
      <c r="AH590" s="177"/>
      <c r="AI590" s="177"/>
      <c r="AJ590" s="177"/>
    </row>
    <row r="591" spans="1:36" s="45" customFormat="1" ht="12.75" hidden="1" customHeight="1">
      <c r="A591" s="471"/>
      <c r="B591" s="472"/>
      <c r="C591" s="472"/>
      <c r="D591" s="472"/>
      <c r="E591" s="472"/>
      <c r="F591" s="472"/>
      <c r="G591" s="472"/>
      <c r="H591" s="472"/>
      <c r="I591" s="473"/>
      <c r="K591" s="50"/>
      <c r="R591" s="177"/>
      <c r="S591" s="177"/>
      <c r="T591" s="177"/>
      <c r="U591" s="177"/>
      <c r="V591" s="177"/>
      <c r="W591" s="177"/>
      <c r="X591" s="177"/>
      <c r="Y591" s="177"/>
      <c r="Z591" s="177"/>
      <c r="AA591" s="177"/>
      <c r="AB591" s="177"/>
      <c r="AC591" s="177"/>
      <c r="AD591" s="177"/>
      <c r="AE591" s="177"/>
      <c r="AF591" s="177"/>
      <c r="AG591" s="177"/>
      <c r="AH591" s="177"/>
      <c r="AI591" s="177"/>
      <c r="AJ591" s="177"/>
    </row>
    <row r="592" spans="1:36" s="45" customFormat="1" ht="12.75" hidden="1" customHeight="1">
      <c r="A592" s="471"/>
      <c r="B592" s="472"/>
      <c r="C592" s="472"/>
      <c r="D592" s="472"/>
      <c r="E592" s="472"/>
      <c r="F592" s="472"/>
      <c r="G592" s="472"/>
      <c r="H592" s="472"/>
      <c r="I592" s="473"/>
      <c r="K592" s="50"/>
      <c r="R592" s="177"/>
      <c r="S592" s="177"/>
      <c r="T592" s="177"/>
      <c r="U592" s="177"/>
      <c r="V592" s="177"/>
      <c r="W592" s="177"/>
      <c r="X592" s="177"/>
      <c r="Y592" s="177"/>
      <c r="Z592" s="177"/>
      <c r="AA592" s="177"/>
      <c r="AB592" s="177"/>
      <c r="AC592" s="177"/>
      <c r="AD592" s="177"/>
      <c r="AE592" s="177"/>
      <c r="AF592" s="177"/>
      <c r="AG592" s="177"/>
      <c r="AH592" s="177"/>
      <c r="AI592" s="177"/>
      <c r="AJ592" s="177"/>
    </row>
    <row r="593" spans="1:36" s="45" customFormat="1" ht="12.75" hidden="1" customHeight="1">
      <c r="A593" s="471"/>
      <c r="B593" s="472"/>
      <c r="C593" s="472"/>
      <c r="D593" s="472"/>
      <c r="E593" s="472"/>
      <c r="F593" s="472"/>
      <c r="G593" s="472"/>
      <c r="H593" s="472"/>
      <c r="I593" s="473"/>
      <c r="K593" s="50"/>
      <c r="R593" s="177"/>
      <c r="S593" s="177"/>
      <c r="T593" s="177"/>
      <c r="U593" s="177"/>
      <c r="V593" s="177"/>
      <c r="W593" s="177"/>
      <c r="X593" s="177"/>
      <c r="Y593" s="177"/>
      <c r="Z593" s="177"/>
      <c r="AA593" s="177"/>
      <c r="AB593" s="177"/>
      <c r="AC593" s="177"/>
      <c r="AD593" s="177"/>
      <c r="AE593" s="177"/>
      <c r="AF593" s="177"/>
      <c r="AG593" s="177"/>
      <c r="AH593" s="177"/>
      <c r="AI593" s="177"/>
      <c r="AJ593" s="177"/>
    </row>
    <row r="594" spans="1:36" s="45" customFormat="1" ht="12.75" hidden="1" customHeight="1">
      <c r="A594" s="471"/>
      <c r="B594" s="472"/>
      <c r="C594" s="472"/>
      <c r="D594" s="472"/>
      <c r="E594" s="472"/>
      <c r="F594" s="472"/>
      <c r="G594" s="472"/>
      <c r="H594" s="472"/>
      <c r="I594" s="473"/>
      <c r="K594" s="50"/>
      <c r="R594" s="177"/>
      <c r="S594" s="177"/>
      <c r="T594" s="177"/>
      <c r="U594" s="177"/>
      <c r="V594" s="177"/>
      <c r="W594" s="177"/>
      <c r="X594" s="177"/>
      <c r="Y594" s="177"/>
      <c r="Z594" s="177"/>
      <c r="AA594" s="177"/>
      <c r="AB594" s="177"/>
      <c r="AC594" s="177"/>
      <c r="AD594" s="177"/>
      <c r="AE594" s="177"/>
      <c r="AF594" s="177"/>
      <c r="AG594" s="177"/>
      <c r="AH594" s="177"/>
      <c r="AI594" s="177"/>
      <c r="AJ594" s="177"/>
    </row>
    <row r="595" spans="1:36" s="45" customFormat="1" ht="12.75" hidden="1" customHeight="1">
      <c r="A595" s="471"/>
      <c r="B595" s="472"/>
      <c r="C595" s="472"/>
      <c r="D595" s="472"/>
      <c r="E595" s="472"/>
      <c r="F595" s="472"/>
      <c r="G595" s="472"/>
      <c r="H595" s="472"/>
      <c r="I595" s="473"/>
      <c r="K595" s="50"/>
      <c r="R595" s="177"/>
      <c r="S595" s="177"/>
      <c r="T595" s="177"/>
      <c r="U595" s="177"/>
      <c r="V595" s="177"/>
      <c r="W595" s="177"/>
      <c r="X595" s="177"/>
      <c r="Y595" s="177"/>
      <c r="Z595" s="177"/>
      <c r="AA595" s="177"/>
      <c r="AB595" s="177"/>
      <c r="AC595" s="177"/>
      <c r="AD595" s="177"/>
      <c r="AE595" s="177"/>
      <c r="AF595" s="177"/>
      <c r="AG595" s="177"/>
      <c r="AH595" s="177"/>
      <c r="AI595" s="177"/>
      <c r="AJ595" s="177"/>
    </row>
    <row r="596" spans="1:36" s="45" customFormat="1" ht="12.75" hidden="1" customHeight="1">
      <c r="A596" s="471"/>
      <c r="B596" s="472"/>
      <c r="C596" s="472"/>
      <c r="D596" s="472"/>
      <c r="E596" s="472"/>
      <c r="F596" s="472"/>
      <c r="G596" s="472"/>
      <c r="H596" s="472"/>
      <c r="I596" s="473"/>
      <c r="K596" s="50"/>
      <c r="R596" s="177"/>
      <c r="S596" s="177"/>
      <c r="T596" s="177"/>
      <c r="U596" s="177"/>
      <c r="V596" s="177"/>
      <c r="W596" s="177"/>
      <c r="X596" s="177"/>
      <c r="Y596" s="177"/>
      <c r="Z596" s="177"/>
      <c r="AA596" s="177"/>
      <c r="AB596" s="177"/>
      <c r="AC596" s="177"/>
      <c r="AD596" s="177"/>
      <c r="AE596" s="177"/>
      <c r="AF596" s="177"/>
      <c r="AG596" s="177"/>
      <c r="AH596" s="177"/>
      <c r="AI596" s="177"/>
      <c r="AJ596" s="177"/>
    </row>
    <row r="597" spans="1:36" s="45" customFormat="1" ht="12.75" hidden="1" customHeight="1">
      <c r="A597" s="471"/>
      <c r="B597" s="472"/>
      <c r="C597" s="472"/>
      <c r="D597" s="472"/>
      <c r="E597" s="472"/>
      <c r="F597" s="472"/>
      <c r="G597" s="472"/>
      <c r="H597" s="472"/>
      <c r="I597" s="473"/>
      <c r="K597" s="50"/>
      <c r="R597" s="177"/>
      <c r="S597" s="177"/>
      <c r="T597" s="177"/>
      <c r="U597" s="177"/>
      <c r="V597" s="177"/>
      <c r="W597" s="177"/>
      <c r="X597" s="177"/>
      <c r="Y597" s="177"/>
      <c r="Z597" s="177"/>
      <c r="AA597" s="177"/>
      <c r="AB597" s="177"/>
      <c r="AC597" s="177"/>
      <c r="AD597" s="177"/>
      <c r="AE597" s="177"/>
      <c r="AF597" s="177"/>
      <c r="AG597" s="177"/>
      <c r="AH597" s="177"/>
      <c r="AI597" s="177"/>
      <c r="AJ597" s="177"/>
    </row>
    <row r="598" spans="1:36" s="45" customFormat="1" ht="12.75" hidden="1" customHeight="1">
      <c r="A598" s="471"/>
      <c r="B598" s="472"/>
      <c r="C598" s="472"/>
      <c r="D598" s="472"/>
      <c r="E598" s="472"/>
      <c r="F598" s="472"/>
      <c r="G598" s="472"/>
      <c r="H598" s="472"/>
      <c r="I598" s="473"/>
      <c r="K598" s="50"/>
      <c r="R598" s="177"/>
      <c r="S598" s="177"/>
      <c r="T598" s="177"/>
      <c r="U598" s="177"/>
      <c r="V598" s="177"/>
      <c r="W598" s="177"/>
      <c r="X598" s="177"/>
      <c r="Y598" s="177"/>
      <c r="Z598" s="177"/>
      <c r="AA598" s="177"/>
      <c r="AB598" s="177"/>
      <c r="AC598" s="177"/>
      <c r="AD598" s="177"/>
      <c r="AE598" s="177"/>
      <c r="AF598" s="177"/>
      <c r="AG598" s="177"/>
      <c r="AH598" s="177"/>
      <c r="AI598" s="177"/>
      <c r="AJ598" s="177"/>
    </row>
    <row r="599" spans="1:36" s="45" customFormat="1" ht="12.75" hidden="1" customHeight="1">
      <c r="A599" s="471"/>
      <c r="B599" s="472"/>
      <c r="C599" s="472"/>
      <c r="D599" s="472"/>
      <c r="E599" s="472"/>
      <c r="F599" s="472"/>
      <c r="G599" s="472"/>
      <c r="H599" s="472"/>
      <c r="I599" s="473"/>
      <c r="K599" s="50"/>
      <c r="R599" s="177"/>
      <c r="S599" s="177"/>
      <c r="T599" s="177"/>
      <c r="U599" s="177"/>
      <c r="V599" s="177"/>
      <c r="W599" s="177"/>
      <c r="X599" s="177"/>
      <c r="Y599" s="177"/>
      <c r="Z599" s="177"/>
      <c r="AA599" s="177"/>
      <c r="AB599" s="177"/>
      <c r="AC599" s="177"/>
      <c r="AD599" s="177"/>
      <c r="AE599" s="177"/>
      <c r="AF599" s="177"/>
      <c r="AG599" s="177"/>
      <c r="AH599" s="177"/>
      <c r="AI599" s="177"/>
      <c r="AJ599" s="177"/>
    </row>
    <row r="600" spans="1:36" s="45" customFormat="1" ht="12.75" hidden="1" customHeight="1">
      <c r="A600" s="471"/>
      <c r="B600" s="472"/>
      <c r="C600" s="472"/>
      <c r="D600" s="472"/>
      <c r="E600" s="472"/>
      <c r="F600" s="472"/>
      <c r="G600" s="472"/>
      <c r="H600" s="472"/>
      <c r="I600" s="473"/>
      <c r="K600" s="50"/>
      <c r="R600" s="177"/>
      <c r="S600" s="177"/>
      <c r="T600" s="177"/>
      <c r="U600" s="177"/>
      <c r="V600" s="177"/>
      <c r="W600" s="177"/>
      <c r="X600" s="177"/>
      <c r="Y600" s="177"/>
      <c r="Z600" s="177"/>
      <c r="AA600" s="177"/>
      <c r="AB600" s="177"/>
      <c r="AC600" s="177"/>
      <c r="AD600" s="177"/>
      <c r="AE600" s="177"/>
      <c r="AF600" s="177"/>
      <c r="AG600" s="177"/>
      <c r="AH600" s="177"/>
      <c r="AI600" s="177"/>
      <c r="AJ600" s="177"/>
    </row>
    <row r="601" spans="1:36" s="45" customFormat="1" ht="12.75" hidden="1" customHeight="1">
      <c r="A601" s="471"/>
      <c r="B601" s="472"/>
      <c r="C601" s="472"/>
      <c r="D601" s="472"/>
      <c r="E601" s="472"/>
      <c r="F601" s="472"/>
      <c r="G601" s="472"/>
      <c r="H601" s="472"/>
      <c r="I601" s="473"/>
      <c r="K601" s="50"/>
      <c r="R601" s="177"/>
      <c r="S601" s="177"/>
      <c r="T601" s="177"/>
      <c r="U601" s="177"/>
      <c r="V601" s="177"/>
      <c r="W601" s="177"/>
      <c r="X601" s="177"/>
      <c r="Y601" s="177"/>
      <c r="Z601" s="177"/>
      <c r="AA601" s="177"/>
      <c r="AB601" s="177"/>
      <c r="AC601" s="177"/>
      <c r="AD601" s="177"/>
      <c r="AE601" s="177"/>
      <c r="AF601" s="177"/>
      <c r="AG601" s="177"/>
      <c r="AH601" s="177"/>
      <c r="AI601" s="177"/>
      <c r="AJ601" s="177"/>
    </row>
    <row r="602" spans="1:36" s="45" customFormat="1" ht="12.75" hidden="1" customHeight="1">
      <c r="A602" s="471"/>
      <c r="B602" s="472"/>
      <c r="C602" s="472"/>
      <c r="D602" s="472"/>
      <c r="E602" s="472"/>
      <c r="F602" s="472"/>
      <c r="G602" s="472"/>
      <c r="H602" s="472"/>
      <c r="I602" s="473"/>
      <c r="K602" s="50"/>
      <c r="R602" s="177"/>
      <c r="S602" s="177"/>
      <c r="T602" s="177"/>
      <c r="U602" s="177"/>
      <c r="V602" s="177"/>
      <c r="W602" s="177"/>
      <c r="X602" s="177"/>
      <c r="Y602" s="177"/>
      <c r="Z602" s="177"/>
      <c r="AA602" s="177"/>
      <c r="AB602" s="177"/>
      <c r="AC602" s="177"/>
      <c r="AD602" s="177"/>
      <c r="AE602" s="177"/>
      <c r="AF602" s="177"/>
      <c r="AG602" s="177"/>
      <c r="AH602" s="177"/>
      <c r="AI602" s="177"/>
      <c r="AJ602" s="177"/>
    </row>
    <row r="603" spans="1:36" s="45" customFormat="1" ht="13.5" hidden="1" customHeight="1" thickBot="1">
      <c r="A603" s="554"/>
      <c r="B603" s="555"/>
      <c r="C603" s="555"/>
      <c r="D603" s="555"/>
      <c r="E603" s="555"/>
      <c r="F603" s="555"/>
      <c r="G603" s="555"/>
      <c r="H603" s="555"/>
      <c r="I603" s="556"/>
      <c r="K603" s="50"/>
      <c r="R603" s="177"/>
      <c r="S603" s="177"/>
      <c r="T603" s="177"/>
      <c r="U603" s="177"/>
      <c r="V603" s="177"/>
      <c r="W603" s="177"/>
      <c r="X603" s="177"/>
      <c r="Y603" s="177"/>
      <c r="Z603" s="177"/>
      <c r="AA603" s="177"/>
      <c r="AB603" s="177"/>
      <c r="AC603" s="177"/>
      <c r="AD603" s="177"/>
      <c r="AE603" s="177"/>
      <c r="AF603" s="177"/>
      <c r="AG603" s="177"/>
      <c r="AH603" s="177"/>
      <c r="AI603" s="177"/>
      <c r="AJ603" s="177"/>
    </row>
    <row r="604" spans="1:36" s="45" customFormat="1" ht="15.75" hidden="1" customHeight="1">
      <c r="A604" s="495" t="s">
        <v>686</v>
      </c>
      <c r="B604" s="496"/>
      <c r="C604" s="496"/>
      <c r="D604" s="496"/>
      <c r="E604" s="496"/>
      <c r="F604" s="496"/>
      <c r="G604" s="496"/>
      <c r="H604" s="496"/>
      <c r="I604" s="497"/>
      <c r="K604" s="50"/>
      <c r="R604" s="177"/>
      <c r="S604" s="177"/>
      <c r="T604" s="177"/>
      <c r="U604" s="177"/>
      <c r="V604" s="177"/>
      <c r="W604" s="177"/>
      <c r="X604" s="177"/>
      <c r="Y604" s="177"/>
      <c r="Z604" s="177"/>
      <c r="AA604" s="177"/>
      <c r="AB604" s="177"/>
      <c r="AC604" s="177"/>
      <c r="AD604" s="177"/>
      <c r="AE604" s="177"/>
      <c r="AF604" s="177"/>
      <c r="AG604" s="177"/>
      <c r="AH604" s="177"/>
      <c r="AI604" s="177"/>
      <c r="AJ604" s="177"/>
    </row>
    <row r="605" spans="1:36" s="45" customFormat="1" ht="15.75" hidden="1" customHeight="1">
      <c r="A605" s="498"/>
      <c r="B605" s="499"/>
      <c r="C605" s="499"/>
      <c r="D605" s="499"/>
      <c r="E605" s="499"/>
      <c r="F605" s="499"/>
      <c r="G605" s="499"/>
      <c r="H605" s="499"/>
      <c r="I605" s="500"/>
      <c r="K605" s="50"/>
      <c r="R605" s="177"/>
      <c r="S605" s="177"/>
      <c r="T605" s="177"/>
      <c r="U605" s="177"/>
      <c r="V605" s="177"/>
      <c r="W605" s="177"/>
      <c r="X605" s="177"/>
      <c r="Y605" s="177"/>
      <c r="Z605" s="177"/>
      <c r="AA605" s="177"/>
      <c r="AB605" s="177"/>
      <c r="AC605" s="177"/>
      <c r="AD605" s="177"/>
      <c r="AE605" s="177"/>
      <c r="AF605" s="177"/>
      <c r="AG605" s="177"/>
      <c r="AH605" s="177"/>
      <c r="AI605" s="177"/>
      <c r="AJ605" s="177"/>
    </row>
    <row r="606" spans="1:36" s="45" customFormat="1" ht="15" hidden="1" customHeight="1">
      <c r="A606" s="498"/>
      <c r="B606" s="499"/>
      <c r="C606" s="499"/>
      <c r="D606" s="499"/>
      <c r="E606" s="499"/>
      <c r="F606" s="499"/>
      <c r="G606" s="499"/>
      <c r="H606" s="499"/>
      <c r="I606" s="500"/>
      <c r="K606" s="50"/>
      <c r="R606" s="177"/>
      <c r="S606" s="177"/>
      <c r="T606" s="177"/>
      <c r="U606" s="177"/>
      <c r="V606" s="177"/>
      <c r="W606" s="177"/>
      <c r="X606" s="177"/>
      <c r="Y606" s="177"/>
      <c r="Z606" s="177"/>
      <c r="AA606" s="177"/>
      <c r="AB606" s="177"/>
      <c r="AC606" s="177"/>
      <c r="AD606" s="177"/>
      <c r="AE606" s="177"/>
      <c r="AF606" s="177"/>
      <c r="AG606" s="177"/>
      <c r="AH606" s="177"/>
      <c r="AI606" s="177"/>
      <c r="AJ606" s="177"/>
    </row>
    <row r="607" spans="1:36" s="45" customFormat="1" ht="15" hidden="1" customHeight="1">
      <c r="A607" s="498"/>
      <c r="B607" s="499"/>
      <c r="C607" s="499"/>
      <c r="D607" s="499"/>
      <c r="E607" s="499"/>
      <c r="F607" s="499"/>
      <c r="G607" s="499"/>
      <c r="H607" s="499"/>
      <c r="I607" s="500"/>
      <c r="K607" s="50"/>
      <c r="R607" s="177"/>
      <c r="S607" s="177"/>
      <c r="T607" s="177"/>
      <c r="U607" s="177"/>
      <c r="V607" s="177"/>
      <c r="W607" s="177"/>
      <c r="X607" s="177"/>
      <c r="Y607" s="177"/>
      <c r="Z607" s="177"/>
      <c r="AA607" s="177"/>
      <c r="AB607" s="177"/>
      <c r="AC607" s="177"/>
      <c r="AD607" s="177"/>
      <c r="AE607" s="177"/>
      <c r="AF607" s="177"/>
      <c r="AG607" s="177"/>
      <c r="AH607" s="177"/>
      <c r="AI607" s="177"/>
      <c r="AJ607" s="177"/>
    </row>
    <row r="608" spans="1:36" s="45" customFormat="1" ht="15" hidden="1" customHeight="1">
      <c r="A608" s="498"/>
      <c r="B608" s="499"/>
      <c r="C608" s="499"/>
      <c r="D608" s="499"/>
      <c r="E608" s="499"/>
      <c r="F608" s="499"/>
      <c r="G608" s="499"/>
      <c r="H608" s="499"/>
      <c r="I608" s="500"/>
      <c r="K608" s="50"/>
      <c r="R608" s="177"/>
      <c r="S608" s="177"/>
      <c r="T608" s="177"/>
      <c r="U608" s="177"/>
      <c r="V608" s="177"/>
      <c r="W608" s="177"/>
      <c r="X608" s="177"/>
      <c r="Y608" s="177"/>
      <c r="Z608" s="177"/>
      <c r="AA608" s="177"/>
      <c r="AB608" s="177"/>
      <c r="AC608" s="177"/>
      <c r="AD608" s="177"/>
      <c r="AE608" s="177"/>
      <c r="AF608" s="177"/>
      <c r="AG608" s="177"/>
      <c r="AH608" s="177"/>
      <c r="AI608" s="177"/>
      <c r="AJ608" s="177"/>
    </row>
    <row r="609" spans="1:36" s="45" customFormat="1" ht="15" hidden="1" customHeight="1">
      <c r="A609" s="498"/>
      <c r="B609" s="499"/>
      <c r="C609" s="499"/>
      <c r="D609" s="499"/>
      <c r="E609" s="499"/>
      <c r="F609" s="499"/>
      <c r="G609" s="499"/>
      <c r="H609" s="499"/>
      <c r="I609" s="500"/>
      <c r="K609" s="50"/>
      <c r="R609" s="177"/>
      <c r="S609" s="177"/>
      <c r="T609" s="177"/>
      <c r="U609" s="177"/>
      <c r="V609" s="177"/>
      <c r="W609" s="177"/>
      <c r="X609" s="177"/>
      <c r="Y609" s="177"/>
      <c r="Z609" s="177"/>
      <c r="AA609" s="177"/>
      <c r="AB609" s="177"/>
      <c r="AC609" s="177"/>
      <c r="AD609" s="177"/>
      <c r="AE609" s="177"/>
      <c r="AF609" s="177"/>
      <c r="AG609" s="177"/>
      <c r="AH609" s="177"/>
      <c r="AI609" s="177"/>
      <c r="AJ609" s="177"/>
    </row>
    <row r="610" spans="1:36" s="45" customFormat="1" ht="15" hidden="1" customHeight="1">
      <c r="A610" s="498"/>
      <c r="B610" s="499"/>
      <c r="C610" s="499"/>
      <c r="D610" s="499"/>
      <c r="E610" s="499"/>
      <c r="F610" s="499"/>
      <c r="G610" s="499"/>
      <c r="H610" s="499"/>
      <c r="I610" s="500"/>
      <c r="K610" s="50"/>
      <c r="R610" s="177"/>
      <c r="S610" s="177"/>
      <c r="T610" s="177"/>
      <c r="U610" s="177"/>
      <c r="V610" s="177"/>
      <c r="W610" s="177"/>
      <c r="X610" s="177"/>
      <c r="Y610" s="177"/>
      <c r="Z610" s="177"/>
      <c r="AA610" s="177"/>
      <c r="AB610" s="177"/>
      <c r="AC610" s="177"/>
      <c r="AD610" s="177"/>
      <c r="AE610" s="177"/>
      <c r="AF610" s="177"/>
      <c r="AG610" s="177"/>
      <c r="AH610" s="177"/>
      <c r="AI610" s="177"/>
      <c r="AJ610" s="177"/>
    </row>
    <row r="611" spans="1:36" s="45" customFormat="1" ht="15" hidden="1" customHeight="1">
      <c r="A611" s="498"/>
      <c r="B611" s="499"/>
      <c r="C611" s="499"/>
      <c r="D611" s="499"/>
      <c r="E611" s="499"/>
      <c r="F611" s="499"/>
      <c r="G611" s="499"/>
      <c r="H611" s="499"/>
      <c r="I611" s="500"/>
      <c r="K611" s="50"/>
      <c r="R611" s="177"/>
      <c r="S611" s="177"/>
      <c r="T611" s="177"/>
      <c r="U611" s="177"/>
      <c r="V611" s="177"/>
      <c r="W611" s="177"/>
      <c r="X611" s="177"/>
      <c r="Y611" s="177"/>
      <c r="Z611" s="177"/>
      <c r="AA611" s="177"/>
      <c r="AB611" s="177"/>
      <c r="AC611" s="177"/>
      <c r="AD611" s="177"/>
      <c r="AE611" s="177"/>
      <c r="AF611" s="177"/>
      <c r="AG611" s="177"/>
      <c r="AH611" s="177"/>
      <c r="AI611" s="177"/>
      <c r="AJ611" s="177"/>
    </row>
    <row r="612" spans="1:36" s="45" customFormat="1" ht="15" hidden="1" customHeight="1">
      <c r="A612" s="498"/>
      <c r="B612" s="499"/>
      <c r="C612" s="499"/>
      <c r="D612" s="499"/>
      <c r="E612" s="499"/>
      <c r="F612" s="499"/>
      <c r="G612" s="499"/>
      <c r="H612" s="499"/>
      <c r="I612" s="500"/>
      <c r="K612" s="50"/>
      <c r="R612" s="177"/>
      <c r="S612" s="177"/>
      <c r="T612" s="177"/>
      <c r="U612" s="177"/>
      <c r="V612" s="177"/>
      <c r="W612" s="177"/>
      <c r="X612" s="177"/>
      <c r="Y612" s="177"/>
      <c r="Z612" s="177"/>
      <c r="AA612" s="177"/>
      <c r="AB612" s="177"/>
      <c r="AC612" s="177"/>
      <c r="AD612" s="177"/>
      <c r="AE612" s="177"/>
      <c r="AF612" s="177"/>
      <c r="AG612" s="177"/>
      <c r="AH612" s="177"/>
      <c r="AI612" s="177"/>
      <c r="AJ612" s="177"/>
    </row>
    <row r="613" spans="1:36" s="45" customFormat="1" ht="15" hidden="1" customHeight="1">
      <c r="A613" s="498"/>
      <c r="B613" s="499"/>
      <c r="C613" s="499"/>
      <c r="D613" s="499"/>
      <c r="E613" s="499"/>
      <c r="F613" s="499"/>
      <c r="G613" s="499"/>
      <c r="H613" s="499"/>
      <c r="I613" s="500"/>
      <c r="K613" s="50"/>
      <c r="R613" s="177"/>
      <c r="S613" s="177"/>
      <c r="T613" s="177"/>
      <c r="U613" s="177"/>
      <c r="V613" s="177"/>
      <c r="W613" s="177"/>
      <c r="X613" s="177"/>
      <c r="Y613" s="177"/>
      <c r="Z613" s="177"/>
      <c r="AA613" s="177"/>
      <c r="AB613" s="177"/>
      <c r="AC613" s="177"/>
      <c r="AD613" s="177"/>
      <c r="AE613" s="177"/>
      <c r="AF613" s="177"/>
      <c r="AG613" s="177"/>
      <c r="AH613" s="177"/>
      <c r="AI613" s="177"/>
      <c r="AJ613" s="177"/>
    </row>
    <row r="614" spans="1:36" s="45" customFormat="1" ht="15" hidden="1" customHeight="1">
      <c r="A614" s="498"/>
      <c r="B614" s="499"/>
      <c r="C614" s="499"/>
      <c r="D614" s="499"/>
      <c r="E614" s="499"/>
      <c r="F614" s="499"/>
      <c r="G614" s="499"/>
      <c r="H614" s="499"/>
      <c r="I614" s="500"/>
      <c r="K614" s="50"/>
      <c r="R614" s="177"/>
      <c r="S614" s="177"/>
      <c r="T614" s="177"/>
      <c r="U614" s="177"/>
      <c r="V614" s="177"/>
      <c r="W614" s="177"/>
      <c r="X614" s="177"/>
      <c r="Y614" s="177"/>
      <c r="Z614" s="177"/>
      <c r="AA614" s="177"/>
      <c r="AB614" s="177"/>
      <c r="AC614" s="177"/>
      <c r="AD614" s="177"/>
      <c r="AE614" s="177"/>
      <c r="AF614" s="177"/>
      <c r="AG614" s="177"/>
      <c r="AH614" s="177"/>
      <c r="AI614" s="177"/>
      <c r="AJ614" s="177"/>
    </row>
    <row r="615" spans="1:36" s="45" customFormat="1" ht="24" hidden="1" customHeight="1" thickBot="1">
      <c r="A615" s="501"/>
      <c r="B615" s="502"/>
      <c r="C615" s="502"/>
      <c r="D615" s="502"/>
      <c r="E615" s="502"/>
      <c r="F615" s="502"/>
      <c r="G615" s="502"/>
      <c r="H615" s="502"/>
      <c r="I615" s="503"/>
      <c r="K615" s="50"/>
      <c r="R615" s="177"/>
      <c r="S615" s="177"/>
      <c r="T615" s="177"/>
      <c r="U615" s="177"/>
      <c r="V615" s="177"/>
      <c r="W615" s="177"/>
      <c r="X615" s="177"/>
      <c r="Y615" s="177"/>
      <c r="Z615" s="177"/>
      <c r="AA615" s="177"/>
      <c r="AB615" s="177"/>
      <c r="AC615" s="177"/>
      <c r="AD615" s="177"/>
      <c r="AE615" s="177"/>
      <c r="AF615" s="177"/>
      <c r="AG615" s="177"/>
      <c r="AH615" s="177"/>
      <c r="AI615" s="177"/>
      <c r="AJ615" s="177"/>
    </row>
    <row r="616" spans="1:36" s="180" customFormat="1" ht="45.75" hidden="1" customHeight="1" thickBot="1">
      <c r="A616" s="95"/>
      <c r="B616" s="94" t="s">
        <v>11</v>
      </c>
      <c r="C616" s="94" t="s">
        <v>30</v>
      </c>
      <c r="D616" s="94" t="s">
        <v>31</v>
      </c>
      <c r="E616" s="94" t="s">
        <v>136</v>
      </c>
      <c r="F616" s="94" t="s">
        <v>12</v>
      </c>
      <c r="G616" s="94" t="s">
        <v>13</v>
      </c>
      <c r="H616" s="94" t="s">
        <v>14</v>
      </c>
      <c r="I616" s="94" t="s">
        <v>157</v>
      </c>
      <c r="J616" s="123"/>
      <c r="K616" s="344" t="str">
        <f>IF(I102&lt;&gt;"Pass","","DO_ALL")</f>
        <v/>
      </c>
      <c r="L616" s="184"/>
      <c r="M616" s="184"/>
      <c r="N616" s="184"/>
      <c r="O616" s="184"/>
      <c r="R616" s="178"/>
      <c r="S616" s="178"/>
      <c r="T616" s="178"/>
      <c r="U616" s="178"/>
      <c r="V616" s="178"/>
      <c r="W616" s="178"/>
      <c r="X616" s="178"/>
      <c r="Y616" s="178"/>
      <c r="Z616" s="178"/>
      <c r="AA616" s="178"/>
      <c r="AB616" s="178"/>
      <c r="AC616" s="178"/>
      <c r="AD616" s="178"/>
      <c r="AE616" s="178"/>
      <c r="AF616" s="178"/>
      <c r="AG616" s="178"/>
      <c r="AH616" s="178"/>
      <c r="AI616" s="178"/>
      <c r="AJ616" s="178"/>
    </row>
    <row r="617" spans="1:36" s="180" customFormat="1" ht="15.75" hidden="1" thickBot="1">
      <c r="A617" s="130"/>
      <c r="B617" s="84"/>
      <c r="C617" s="78"/>
      <c r="D617" s="58"/>
      <c r="E617" s="58"/>
      <c r="F617" s="58"/>
      <c r="G617" s="58"/>
      <c r="H617" s="58"/>
      <c r="I617" s="58"/>
      <c r="J617" s="184"/>
      <c r="K617" s="277" t="s">
        <v>80</v>
      </c>
      <c r="L617" s="184"/>
      <c r="M617" s="184"/>
      <c r="N617" s="184"/>
      <c r="O617" s="184"/>
      <c r="R617" s="178"/>
      <c r="S617" s="178"/>
      <c r="T617" s="178"/>
      <c r="U617" s="178"/>
      <c r="V617" s="178"/>
      <c r="W617" s="178"/>
      <c r="X617" s="178"/>
      <c r="Y617" s="178"/>
      <c r="Z617" s="178"/>
      <c r="AA617" s="178"/>
      <c r="AB617" s="178"/>
      <c r="AC617" s="178"/>
      <c r="AD617" s="178"/>
      <c r="AE617" s="178"/>
      <c r="AF617" s="178"/>
      <c r="AG617" s="178"/>
      <c r="AH617" s="178"/>
      <c r="AI617" s="178"/>
      <c r="AJ617" s="178"/>
    </row>
    <row r="618" spans="1:36" s="175" customFormat="1" ht="15.75" hidden="1" thickBot="1">
      <c r="A618" s="130"/>
      <c r="B618" s="280" t="s">
        <v>186</v>
      </c>
      <c r="C618" s="58"/>
      <c r="D618" s="58"/>
      <c r="E618" s="58"/>
      <c r="F618" s="58"/>
      <c r="G618" s="58"/>
      <c r="H618" s="58"/>
      <c r="I618" s="58"/>
      <c r="J618" s="281"/>
      <c r="K618" s="281" t="s">
        <v>77</v>
      </c>
      <c r="L618" s="281" t="s">
        <v>75</v>
      </c>
      <c r="M618" s="238" t="str">
        <f ca="1">INDEX(tblGoSubRoutineStartCell[StartCell],MATCH(B618,tblGoSubRoutineStartCell[GoSub Routine],0))</f>
        <v>K104</v>
      </c>
      <c r="N618" s="184"/>
      <c r="O618" s="184"/>
      <c r="P618" s="184"/>
      <c r="Q618" s="184"/>
    </row>
    <row r="619" spans="1:36" s="175" customFormat="1" ht="15.75" hidden="1" thickBot="1">
      <c r="A619" s="130"/>
      <c r="B619" s="280" t="s">
        <v>188</v>
      </c>
      <c r="C619" s="58"/>
      <c r="D619" s="58"/>
      <c r="E619" s="58"/>
      <c r="F619" s="58"/>
      <c r="G619" s="58"/>
      <c r="H619" s="58"/>
      <c r="I619" s="58"/>
      <c r="J619" s="281"/>
      <c r="K619" s="281" t="s">
        <v>77</v>
      </c>
      <c r="L619" s="281" t="s">
        <v>75</v>
      </c>
      <c r="M619" s="238" t="str">
        <f ca="1">INDEX(tblGoSubRoutineStartCell[StartCell],MATCH(B619,tblGoSubRoutineStartCell[GoSub Routine],0))</f>
        <v>K121</v>
      </c>
      <c r="N619" s="184"/>
      <c r="O619" s="184"/>
      <c r="P619" s="184"/>
      <c r="Q619" s="184"/>
    </row>
    <row r="620" spans="1:36" s="175" customFormat="1" ht="40.5" hidden="1" customHeight="1">
      <c r="A620" s="131"/>
      <c r="B620" s="249" t="s">
        <v>712</v>
      </c>
      <c r="C620" s="113"/>
      <c r="D620" s="113"/>
      <c r="E620" s="113"/>
      <c r="F620" s="113"/>
      <c r="G620" s="113"/>
      <c r="H620" s="113"/>
      <c r="I620" s="113"/>
      <c r="J620" s="184"/>
      <c r="K620" s="281" t="s">
        <v>82</v>
      </c>
      <c r="L620" s="89" t="str">
        <f>B620</f>
        <v>Make sure Load IMon Rotary Switch is Set to ACCL
ENSURE A BUNG HAS BEEN FITTED TO THE EXTRACTOR OUTPUT TO PREVENT ARCING.</v>
      </c>
      <c r="M620" s="184"/>
      <c r="N620" s="184"/>
      <c r="O620" s="184"/>
      <c r="P620" s="184"/>
      <c r="Q620" s="184"/>
    </row>
    <row r="621" spans="1:36" s="175" customFormat="1" ht="40.5" hidden="1" customHeight="1">
      <c r="A621" s="131"/>
      <c r="B621" s="253" t="s">
        <v>453</v>
      </c>
      <c r="C621" s="113"/>
      <c r="D621" s="113"/>
      <c r="E621" s="113"/>
      <c r="F621" s="113"/>
      <c r="G621" s="113"/>
      <c r="H621" s="113"/>
      <c r="I621" s="113"/>
      <c r="J621" s="184"/>
      <c r="K621" s="281" t="s">
        <v>82</v>
      </c>
      <c r="L621" s="89" t="str">
        <f>B621</f>
        <v>PLEASE ENSURE UUT IS SWITCH ON VIA FRONT PANEL!</v>
      </c>
      <c r="M621" s="184"/>
      <c r="N621" s="184"/>
      <c r="O621" s="184"/>
      <c r="P621" s="184"/>
      <c r="Q621" s="184"/>
    </row>
    <row r="622" spans="1:36" s="180" customFormat="1" ht="15.75" hidden="1" thickBot="1">
      <c r="A622" s="130"/>
      <c r="B622" s="84"/>
      <c r="C622" s="78"/>
      <c r="D622" s="58"/>
      <c r="E622" s="58"/>
      <c r="F622" s="58"/>
      <c r="G622" s="58"/>
      <c r="H622" s="58"/>
      <c r="I622" s="58"/>
      <c r="J622" s="184"/>
      <c r="K622" s="281" t="s">
        <v>80</v>
      </c>
      <c r="L622" s="184"/>
      <c r="M622" s="184"/>
      <c r="N622" s="184"/>
      <c r="O622" s="184"/>
      <c r="R622" s="178"/>
      <c r="S622" s="178"/>
      <c r="T622" s="178"/>
      <c r="U622" s="178"/>
      <c r="V622" s="178"/>
      <c r="W622" s="178"/>
      <c r="X622" s="178"/>
      <c r="Y622" s="178"/>
      <c r="Z622" s="178"/>
      <c r="AA622" s="178"/>
      <c r="AB622" s="178"/>
      <c r="AC622" s="178"/>
      <c r="AD622" s="178"/>
      <c r="AE622" s="178"/>
      <c r="AF622" s="178"/>
      <c r="AG622" s="178"/>
      <c r="AH622" s="178"/>
      <c r="AI622" s="178"/>
      <c r="AJ622" s="178"/>
    </row>
    <row r="623" spans="1:36" s="175" customFormat="1" ht="20.25" hidden="1" customHeight="1" thickBot="1">
      <c r="A623" s="282"/>
      <c r="B623" s="283"/>
      <c r="C623" s="283"/>
      <c r="D623" s="287" t="s">
        <v>274</v>
      </c>
      <c r="E623" s="283"/>
      <c r="F623" s="283"/>
      <c r="G623" s="283"/>
      <c r="H623" s="283"/>
      <c r="I623" s="284"/>
      <c r="J623" s="184"/>
      <c r="K623" s="89" t="s">
        <v>80</v>
      </c>
      <c r="L623" s="184"/>
      <c r="M623" s="184"/>
      <c r="N623" s="184"/>
      <c r="O623" s="184"/>
      <c r="P623" s="184"/>
      <c r="Q623" s="184"/>
    </row>
    <row r="624" spans="1:36" s="180" customFormat="1" ht="15.75" hidden="1" thickBot="1">
      <c r="A624" s="130"/>
      <c r="B624" s="84"/>
      <c r="C624" s="78"/>
      <c r="D624" s="58"/>
      <c r="E624" s="58"/>
      <c r="F624" s="58"/>
      <c r="G624" s="58"/>
      <c r="H624" s="58"/>
      <c r="I624" s="58"/>
      <c r="J624" s="184"/>
      <c r="K624" s="281" t="s">
        <v>80</v>
      </c>
      <c r="L624" s="184"/>
      <c r="M624" s="184"/>
      <c r="N624" s="184"/>
      <c r="O624" s="184"/>
      <c r="R624" s="178"/>
      <c r="S624" s="178"/>
      <c r="T624" s="178"/>
      <c r="U624" s="178"/>
      <c r="V624" s="178"/>
      <c r="W624" s="178"/>
      <c r="X624" s="178"/>
      <c r="Y624" s="178"/>
      <c r="Z624" s="178"/>
      <c r="AA624" s="178"/>
      <c r="AB624" s="178"/>
      <c r="AC624" s="178"/>
      <c r="AD624" s="178"/>
      <c r="AE624" s="178"/>
      <c r="AF624" s="178"/>
      <c r="AG624" s="178"/>
      <c r="AH624" s="178"/>
      <c r="AI624" s="178"/>
      <c r="AJ624" s="178"/>
    </row>
    <row r="625" spans="1:21" s="175" customFormat="1" ht="15.75" hidden="1" thickBot="1">
      <c r="A625" s="130"/>
      <c r="B625" s="280" t="s">
        <v>188</v>
      </c>
      <c r="C625" s="58"/>
      <c r="D625" s="58"/>
      <c r="E625" s="58"/>
      <c r="F625" s="58"/>
      <c r="G625" s="58"/>
      <c r="H625" s="58"/>
      <c r="I625" s="58"/>
      <c r="J625" s="281"/>
      <c r="K625" s="281" t="s">
        <v>77</v>
      </c>
      <c r="L625" s="281" t="s">
        <v>75</v>
      </c>
      <c r="M625" s="238" t="str">
        <f ca="1">INDEX(tblGoSubRoutineStartCell[StartCell],MATCH(B625,tblGoSubRoutineStartCell[GoSub Routine],0))</f>
        <v>K121</v>
      </c>
      <c r="N625" s="184"/>
      <c r="O625" s="184"/>
      <c r="P625" s="184"/>
      <c r="Q625" s="184"/>
    </row>
    <row r="626" spans="1:21" s="175" customFormat="1" ht="15" hidden="1">
      <c r="A626" s="130"/>
      <c r="B626" s="240" t="s">
        <v>343</v>
      </c>
      <c r="C626" s="78"/>
      <c r="D626" s="58"/>
      <c r="E626" s="58"/>
      <c r="F626" s="58"/>
      <c r="G626" s="58"/>
      <c r="H626" s="58"/>
      <c r="I626" s="58"/>
      <c r="J626" s="184"/>
      <c r="K626" s="281" t="s">
        <v>27</v>
      </c>
      <c r="L626" s="281" t="s">
        <v>313</v>
      </c>
      <c r="M626" s="281" t="s">
        <v>91</v>
      </c>
      <c r="N626" s="281" t="s">
        <v>315</v>
      </c>
      <c r="O626" s="241" t="s">
        <v>316</v>
      </c>
      <c r="P626" s="241" t="s">
        <v>312</v>
      </c>
      <c r="Q626" s="184"/>
    </row>
    <row r="627" spans="1:21" s="175" customFormat="1" ht="15" hidden="1">
      <c r="A627" s="130"/>
      <c r="B627" s="240" t="s">
        <v>463</v>
      </c>
      <c r="C627" s="78">
        <v>1</v>
      </c>
      <c r="D627" s="58"/>
      <c r="E627" s="58"/>
      <c r="F627" s="58"/>
      <c r="G627" s="58"/>
      <c r="H627" s="58"/>
      <c r="I627" s="58"/>
      <c r="J627" s="184"/>
      <c r="K627" s="241" t="str">
        <f>_xlfn.CONCAT("734|GND|REG1|DEC(",C627,")")</f>
        <v>734|GND|REG1|DEC(1)</v>
      </c>
      <c r="L627" s="281"/>
      <c r="M627" s="281"/>
      <c r="N627" s="281"/>
      <c r="O627" s="241"/>
      <c r="P627" s="241"/>
      <c r="Q627" s="184"/>
    </row>
    <row r="628" spans="1:21" s="175" customFormat="1" ht="15" hidden="1">
      <c r="A628" s="130"/>
      <c r="B628" s="240" t="s">
        <v>464</v>
      </c>
      <c r="C628" s="78">
        <v>7</v>
      </c>
      <c r="D628" s="58"/>
      <c r="E628" s="58"/>
      <c r="F628" s="58"/>
      <c r="G628" s="58"/>
      <c r="H628" s="58"/>
      <c r="I628" s="58"/>
      <c r="J628" s="184"/>
      <c r="K628" s="281" t="s">
        <v>27</v>
      </c>
      <c r="L628" s="281" t="s">
        <v>313</v>
      </c>
      <c r="M628" s="281" t="s">
        <v>32</v>
      </c>
      <c r="N628" s="281" t="s">
        <v>315</v>
      </c>
      <c r="O628" s="241">
        <f>C628</f>
        <v>7</v>
      </c>
      <c r="P628" s="241"/>
      <c r="Q628" s="184"/>
    </row>
    <row r="629" spans="1:21" s="175" customFormat="1" ht="15" hidden="1">
      <c r="A629" s="130"/>
      <c r="B629" s="240" t="s">
        <v>465</v>
      </c>
      <c r="C629" s="78">
        <v>1100</v>
      </c>
      <c r="D629" s="58"/>
      <c r="E629" s="58"/>
      <c r="F629" s="58"/>
      <c r="G629" s="58"/>
      <c r="H629" s="58"/>
      <c r="I629" s="58"/>
      <c r="J629" s="184"/>
      <c r="K629" s="241" t="str">
        <f>_xlfn.CONCAT("734|GND|OUT1|FLT(",C629,")")</f>
        <v>734|GND|OUT1|FLT(1100)</v>
      </c>
      <c r="L629" s="281"/>
      <c r="M629" s="281"/>
      <c r="N629" s="281"/>
      <c r="O629" s="241"/>
      <c r="P629" s="241"/>
      <c r="Q629" s="184"/>
    </row>
    <row r="630" spans="1:21" s="175" customFormat="1" ht="58.5" hidden="1" customHeight="1" thickBot="1">
      <c r="A630" s="131"/>
      <c r="B630" s="249" t="str">
        <f>_xlfn.CONCAT("Please check the product GUI, if the current limit flag for ", section_4_heading," has not turned red, please wait until this happens. Please press yes to confirm")</f>
        <v>Please check the product GUI, if the current limit flag for Accelerator has not turned red, please wait until this happens. Please press yes to confirm</v>
      </c>
      <c r="C630" s="113"/>
      <c r="D630" s="113"/>
      <c r="E630" s="437"/>
      <c r="F630" s="58"/>
      <c r="G630" s="58"/>
      <c r="H630" s="58"/>
      <c r="I630" s="59" t="str">
        <f>IF(E630 ="","TBC", IF(E630="Y","Pass","Fail"))</f>
        <v>TBC</v>
      </c>
      <c r="J630" s="184"/>
      <c r="K630" s="301" t="s">
        <v>27</v>
      </c>
      <c r="L630" s="89" t="s">
        <v>42</v>
      </c>
      <c r="M630" s="301" t="s">
        <v>332</v>
      </c>
      <c r="N630" s="184" t="s">
        <v>333</v>
      </c>
      <c r="O630" s="184" t="s">
        <v>421</v>
      </c>
      <c r="P630" s="184" t="s">
        <v>334</v>
      </c>
      <c r="Q630" s="184" t="str">
        <f>B630</f>
        <v>Please check the product GUI, if the current limit flag for Accelerator has not turned red, please wait until this happens. Please press yes to confirm</v>
      </c>
    </row>
    <row r="631" spans="1:21" s="175" customFormat="1" ht="15.75" hidden="1" thickBot="1">
      <c r="A631" s="130"/>
      <c r="B631" s="255" t="s">
        <v>70</v>
      </c>
      <c r="C631" s="78"/>
      <c r="D631" s="58"/>
      <c r="E631" s="58"/>
      <c r="F631" s="58"/>
      <c r="G631" s="58"/>
      <c r="H631" s="58"/>
      <c r="I631" s="58"/>
      <c r="J631" s="184"/>
      <c r="K631" s="116" t="s">
        <v>27</v>
      </c>
      <c r="L631" s="116" t="s">
        <v>42</v>
      </c>
      <c r="M631" s="116" t="s">
        <v>129</v>
      </c>
      <c r="N631" s="116" t="str">
        <f ca="1">SUBSTITUTE(CELL("address",K625),"$","")</f>
        <v>K625</v>
      </c>
      <c r="O631" s="116" t="s">
        <v>130</v>
      </c>
      <c r="P631" s="228" t="s">
        <v>75</v>
      </c>
      <c r="Q631" s="185" t="str">
        <f ca="1">INDEX(tblGoSubRoutineStartCell[StartCell],MATCH(B631,tblGoSubRoutineStartCell[GoSub Routine],0))</f>
        <v>K56</v>
      </c>
    </row>
    <row r="632" spans="1:21" s="175" customFormat="1" ht="15.75" hidden="1" thickBot="1">
      <c r="A632" s="130"/>
      <c r="B632" s="240" t="s">
        <v>335</v>
      </c>
      <c r="C632" s="78"/>
      <c r="D632" s="58"/>
      <c r="E632" s="456"/>
      <c r="F632" s="58"/>
      <c r="G632" s="58"/>
      <c r="H632" s="58"/>
      <c r="I632" s="58"/>
      <c r="J632" s="184"/>
      <c r="K632" s="301" t="s">
        <v>27</v>
      </c>
      <c r="L632" s="301" t="s">
        <v>319</v>
      </c>
      <c r="M632" s="301" t="s">
        <v>55</v>
      </c>
      <c r="N632" s="241" t="s">
        <v>310</v>
      </c>
      <c r="P632" s="241"/>
      <c r="Q632" s="184"/>
    </row>
    <row r="633" spans="1:21" s="175" customFormat="1" ht="16.5" hidden="1" customHeight="1" thickBot="1">
      <c r="A633" s="132" cm="1">
        <f t="array" ref="A633">SSATSLineNumbers(A633,0.01)</f>
        <v>4.01</v>
      </c>
      <c r="B633" s="244" t="s">
        <v>748</v>
      </c>
      <c r="C633" s="84">
        <v>30</v>
      </c>
      <c r="D633" s="211"/>
      <c r="E633" s="458" t="str">
        <f>IF(E632="","[AUTO]",(E632*T633))</f>
        <v>[AUTO]</v>
      </c>
      <c r="F633" s="212">
        <f ca="1">P633</f>
        <v>30</v>
      </c>
      <c r="G633" s="86">
        <f ca="1">Q633</f>
        <v>33</v>
      </c>
      <c r="H633" s="86" t="str">
        <f ca="1">R633</f>
        <v>uA</v>
      </c>
      <c r="I633" s="59" t="str">
        <f>IF(E633 ="[AUTO]","TBC", IF(AND(E633&gt;=F633,E633&lt;=G633 ),"Pass","Fail"))</f>
        <v>TBC</v>
      </c>
      <c r="J633" s="184"/>
      <c r="K633" s="301" t="s">
        <v>80</v>
      </c>
      <c r="L633" s="184"/>
      <c r="M633" s="184"/>
      <c r="N633" s="184"/>
      <c r="O633" s="184"/>
      <c r="P633" s="245">
        <f ca="1">C633+(INDEX(tblProductScalesMeasures[Min],MATCH(_xlfn.CONCAT(B633),tblProductScalesMeasures[Description],0)))</f>
        <v>30</v>
      </c>
      <c r="Q633" s="245">
        <f ca="1">C633+(INDEX(tblProductScalesMeasures[Max],MATCH(_xlfn.CONCAT(B633),tblProductScalesMeasures[Description],0)))</f>
        <v>33</v>
      </c>
      <c r="R633" s="245" t="str">
        <f ca="1">(INDEX(tblProductScalesMeasures[Unit],MATCH(_xlfn.CONCAT(B633),tblProductScalesMeasures[Description],0)))</f>
        <v>uA</v>
      </c>
      <c r="S633" s="177"/>
      <c r="T633" s="245">
        <f ca="1">IF(COUNTIF(tblExempt[],R633)&gt;0,0,INDEX(tblScaling[Divider],MATCH(_xlfn.CONCAT(IF(ISNUMBER(SEARCH(" ",section_3_heading))=TRUE,SUBSTITUTE(section_3_heading," ",""),"")," ",R633),tblScaling[Description],0)))</f>
        <v>1000000</v>
      </c>
      <c r="U633" s="184"/>
    </row>
    <row r="634" spans="1:21" s="175" customFormat="1" ht="15.75" hidden="1" thickBot="1">
      <c r="A634" s="130"/>
      <c r="B634" s="255" t="s">
        <v>70</v>
      </c>
      <c r="C634" s="78"/>
      <c r="D634" s="58"/>
      <c r="E634" s="58"/>
      <c r="F634" s="58"/>
      <c r="G634" s="58"/>
      <c r="H634" s="58"/>
      <c r="I634" s="58"/>
      <c r="J634" s="184"/>
      <c r="K634" s="116" t="s">
        <v>27</v>
      </c>
      <c r="L634" s="116" t="s">
        <v>42</v>
      </c>
      <c r="M634" s="116" t="s">
        <v>129</v>
      </c>
      <c r="N634" s="116" t="str">
        <f ca="1">SUBSTITUTE(CELL("address",K625),"$","")</f>
        <v>K625</v>
      </c>
      <c r="O634" s="116" t="s">
        <v>130</v>
      </c>
      <c r="P634" s="228" t="s">
        <v>75</v>
      </c>
      <c r="Q634" s="185" t="str">
        <f ca="1">INDEX(tblGoSubRoutineStartCell[StartCell],MATCH(B634,tblGoSubRoutineStartCell[GoSub Routine],0))</f>
        <v>K56</v>
      </c>
    </row>
    <row r="635" spans="1:21" s="175" customFormat="1" ht="56.25" hidden="1" customHeight="1" thickBot="1">
      <c r="A635" s="131"/>
      <c r="B635" s="249" t="str">
        <f>_xlfn.CONCAT("Please check product GUI to see if a fault has occurred on ",section_4_heading, " This mean the UUT has tripped.")</f>
        <v>Please check product GUI to see if a fault has occurred on Accelerator This mean the UUT has tripped.</v>
      </c>
      <c r="C635" s="113"/>
      <c r="D635" s="113"/>
      <c r="E635" s="437"/>
      <c r="F635" s="58"/>
      <c r="G635" s="58"/>
      <c r="H635" s="58"/>
      <c r="I635" s="59" t="str">
        <f>IF(E635 ="","TBC", IF(E635="Y","Pass","Fail"))</f>
        <v>TBC</v>
      </c>
      <c r="J635" s="184"/>
      <c r="K635" s="301" t="s">
        <v>27</v>
      </c>
      <c r="L635" s="89" t="s">
        <v>42</v>
      </c>
      <c r="M635" s="301" t="s">
        <v>332</v>
      </c>
      <c r="N635" s="184" t="s">
        <v>333</v>
      </c>
      <c r="O635" s="184" t="s">
        <v>421</v>
      </c>
      <c r="P635" s="184" t="s">
        <v>334</v>
      </c>
      <c r="Q635" s="184" t="str">
        <f>B635</f>
        <v>Please check product GUI to see if a fault has occurred on Accelerator This mean the UUT has tripped.</v>
      </c>
    </row>
    <row r="636" spans="1:21" s="175" customFormat="1" ht="15.75" hidden="1" thickBot="1">
      <c r="A636" s="130"/>
      <c r="B636" s="255" t="s">
        <v>70</v>
      </c>
      <c r="C636" s="78"/>
      <c r="D636" s="58"/>
      <c r="E636" s="58"/>
      <c r="F636" s="58"/>
      <c r="G636" s="58"/>
      <c r="H636" s="58"/>
      <c r="I636" s="58"/>
      <c r="J636" s="184"/>
      <c r="K636" s="116" t="s">
        <v>27</v>
      </c>
      <c r="L636" s="116" t="s">
        <v>42</v>
      </c>
      <c r="M636" s="116" t="s">
        <v>129</v>
      </c>
      <c r="N636" s="116" t="str">
        <f ca="1">SUBSTITUTE(CELL("address",K625),"$","")</f>
        <v>K625</v>
      </c>
      <c r="O636" s="116" t="s">
        <v>130</v>
      </c>
      <c r="P636" s="228" t="s">
        <v>75</v>
      </c>
      <c r="Q636" s="185" t="str">
        <f ca="1">INDEX(tblGoSubRoutineStartCell[StartCell],MATCH(B636,tblGoSubRoutineStartCell[GoSub Routine],0))</f>
        <v>K56</v>
      </c>
    </row>
    <row r="637" spans="1:21" s="175" customFormat="1" ht="40.5" hidden="1" customHeight="1" thickBot="1">
      <c r="A637" s="131"/>
      <c r="B637" s="249" t="s">
        <v>470</v>
      </c>
      <c r="C637" s="113"/>
      <c r="D637" s="113"/>
      <c r="E637" s="437"/>
      <c r="F637" s="58"/>
      <c r="G637" s="58"/>
      <c r="H637" s="58"/>
      <c r="I637" s="59" t="str">
        <f>IF(E637 ="","TBC", IF(E637="Y","Pass","Fail"))</f>
        <v>TBC</v>
      </c>
      <c r="J637" s="184"/>
      <c r="K637" s="301" t="s">
        <v>27</v>
      </c>
      <c r="L637" s="89" t="s">
        <v>42</v>
      </c>
      <c r="M637" s="301" t="s">
        <v>332</v>
      </c>
      <c r="N637" s="184" t="s">
        <v>333</v>
      </c>
      <c r="O637" s="184" t="s">
        <v>421</v>
      </c>
      <c r="P637" s="184" t="s">
        <v>334</v>
      </c>
      <c r="Q637" s="184" t="str">
        <f>B637</f>
        <v>Please check the front of the UUT to see if ACCEL fault LED is illuminated. Is it illuminated?</v>
      </c>
    </row>
    <row r="638" spans="1:21" s="175" customFormat="1" ht="15.75" hidden="1" thickBot="1">
      <c r="A638" s="130"/>
      <c r="B638" s="255" t="s">
        <v>70</v>
      </c>
      <c r="C638" s="78"/>
      <c r="D638" s="58"/>
      <c r="E638" s="58"/>
      <c r="F638" s="58"/>
      <c r="G638" s="58"/>
      <c r="H638" s="58"/>
      <c r="I638" s="58"/>
      <c r="J638" s="184"/>
      <c r="K638" s="116" t="s">
        <v>27</v>
      </c>
      <c r="L638" s="116" t="s">
        <v>42</v>
      </c>
      <c r="M638" s="116" t="s">
        <v>129</v>
      </c>
      <c r="N638" s="116" t="str">
        <f ca="1">SUBSTITUTE(CELL("address",K625),"$","")</f>
        <v>K625</v>
      </c>
      <c r="O638" s="116" t="s">
        <v>130</v>
      </c>
      <c r="P638" s="228" t="s">
        <v>75</v>
      </c>
      <c r="Q638" s="185" t="str">
        <f ca="1">INDEX(tblGoSubRoutineStartCell[StartCell],MATCH(B638,tblGoSubRoutineStartCell[GoSub Routine],0))</f>
        <v>K56</v>
      </c>
    </row>
    <row r="639" spans="1:21" s="175" customFormat="1" ht="40.5" hidden="1" customHeight="1" thickBot="1">
      <c r="A639" s="131"/>
      <c r="B639" s="253" t="s">
        <v>524</v>
      </c>
      <c r="C639" s="113"/>
      <c r="D639" s="113"/>
      <c r="E639" s="437"/>
      <c r="F639" s="58"/>
      <c r="G639" s="58"/>
      <c r="H639" s="58"/>
      <c r="I639" s="59" t="str">
        <f>IF(E639 ="","TBC", IF(E639="Y","Pass","Fail"))</f>
        <v>TBC</v>
      </c>
      <c r="J639" s="184"/>
      <c r="K639" s="301" t="s">
        <v>27</v>
      </c>
      <c r="L639" s="89" t="s">
        <v>42</v>
      </c>
      <c r="M639" s="301" t="s">
        <v>332</v>
      </c>
      <c r="N639" s="184" t="s">
        <v>333</v>
      </c>
      <c r="O639" s="184" t="s">
        <v>421</v>
      </c>
      <c r="P639" s="184" t="s">
        <v>334</v>
      </c>
      <c r="Q639" s="184" t="str">
        <f>B639</f>
        <v>Please press "Reset" on the product GUI, and wait for Polling to restart. Press yes if the UUT continues communicating.</v>
      </c>
    </row>
    <row r="640" spans="1:21" s="175" customFormat="1" ht="15.75" hidden="1" thickBot="1">
      <c r="A640" s="130"/>
      <c r="B640" s="255" t="s">
        <v>70</v>
      </c>
      <c r="C640" s="78"/>
      <c r="D640" s="58"/>
      <c r="E640" s="58"/>
      <c r="F640" s="58"/>
      <c r="G640" s="58"/>
      <c r="H640" s="58"/>
      <c r="I640" s="58"/>
      <c r="J640" s="184"/>
      <c r="K640" s="116" t="s">
        <v>27</v>
      </c>
      <c r="L640" s="116" t="s">
        <v>42</v>
      </c>
      <c r="M640" s="116" t="s">
        <v>129</v>
      </c>
      <c r="N640" s="116" t="str">
        <f ca="1">SUBSTITUTE(CELL("address",K625),"$","")</f>
        <v>K625</v>
      </c>
      <c r="O640" s="116" t="s">
        <v>130</v>
      </c>
      <c r="P640" s="228" t="s">
        <v>75</v>
      </c>
      <c r="Q640" s="185" t="str">
        <f ca="1">INDEX(tblGoSubRoutineStartCell[StartCell],MATCH(B640,tblGoSubRoutineStartCell[GoSub Routine],0))</f>
        <v>K56</v>
      </c>
    </row>
    <row r="641" spans="1:36" s="175" customFormat="1" ht="67.5" hidden="1" customHeight="1" thickBot="1">
      <c r="A641" s="131"/>
      <c r="B641" s="249" t="s">
        <v>423</v>
      </c>
      <c r="C641" s="113"/>
      <c r="D641" s="113"/>
      <c r="E641" s="437"/>
      <c r="F641" s="58"/>
      <c r="G641" s="58"/>
      <c r="H641" s="58"/>
      <c r="I641" s="59" t="str">
        <f>IF(E641 ="","TBC", IF(E641="Y","Pass","Fail"))</f>
        <v>TBC</v>
      </c>
      <c r="J641" s="184"/>
      <c r="K641" s="301" t="s">
        <v>27</v>
      </c>
      <c r="L641" s="89" t="s">
        <v>42</v>
      </c>
      <c r="M641" s="301" t="s">
        <v>332</v>
      </c>
      <c r="N641" s="184" t="s">
        <v>333</v>
      </c>
      <c r="O641" s="184" t="s">
        <v>421</v>
      </c>
      <c r="P641" s="184" t="s">
        <v>334</v>
      </c>
      <c r="Q641" s="184" t="str">
        <f>B641</f>
        <v>Now the GUI has been refreshed, please check the GUI to monitor if the error has cleared, and that the fault LED for LENS 1 on the UUT has gone out. Are these both true?</v>
      </c>
    </row>
    <row r="642" spans="1:36" s="180" customFormat="1" ht="16.5" hidden="1" customHeight="1" thickBot="1">
      <c r="A642" s="133"/>
      <c r="B642" s="255" t="s">
        <v>70</v>
      </c>
      <c r="C642" s="57"/>
      <c r="D642" s="57"/>
      <c r="E642" s="80"/>
      <c r="F642" s="57"/>
      <c r="G642" s="57"/>
      <c r="H642" s="57"/>
      <c r="I642" s="57"/>
      <c r="J642" s="184"/>
      <c r="K642" s="116" t="s">
        <v>27</v>
      </c>
      <c r="L642" s="116" t="s">
        <v>42</v>
      </c>
      <c r="M642" s="116" t="s">
        <v>129</v>
      </c>
      <c r="N642" s="116" t="str">
        <f ca="1">SUBSTITUTE(CELL("address",K625),"$","")</f>
        <v>K625</v>
      </c>
      <c r="O642" s="116" t="s">
        <v>130</v>
      </c>
      <c r="P642" s="228" t="s">
        <v>75</v>
      </c>
      <c r="Q642" s="250" t="str">
        <f ca="1">INDEX(tblGoSubRoutineStartCell[StartCell],MATCH(B642,tblGoSubRoutineStartCell[GoSub Routine],0))</f>
        <v>K56</v>
      </c>
      <c r="R642" s="184"/>
      <c r="S642" s="178"/>
      <c r="T642" s="178"/>
      <c r="U642" s="178"/>
      <c r="V642" s="178"/>
      <c r="W642" s="178"/>
      <c r="X642" s="178"/>
      <c r="Y642" s="178"/>
      <c r="Z642" s="178"/>
      <c r="AA642" s="178"/>
      <c r="AB642" s="178"/>
      <c r="AC642" s="178"/>
      <c r="AD642" s="178"/>
      <c r="AE642" s="178"/>
      <c r="AF642" s="178"/>
      <c r="AG642" s="178"/>
      <c r="AH642" s="178"/>
      <c r="AI642" s="178"/>
      <c r="AJ642" s="178"/>
    </row>
    <row r="643" spans="1:36" s="175" customFormat="1" ht="15" hidden="1">
      <c r="A643" s="130"/>
      <c r="B643" s="240" t="s">
        <v>465</v>
      </c>
      <c r="C643" s="78">
        <v>0</v>
      </c>
      <c r="D643" s="58"/>
      <c r="E643" s="58"/>
      <c r="F643" s="58"/>
      <c r="G643" s="58"/>
      <c r="H643" s="58"/>
      <c r="I643" s="58"/>
      <c r="J643" s="184"/>
      <c r="K643" s="241" t="str">
        <f>_xlfn.CONCAT("734|GND|OUT1|FLT(",C643,")")</f>
        <v>734|GND|OUT1|FLT(0)</v>
      </c>
      <c r="L643" s="334"/>
      <c r="M643" s="334"/>
      <c r="N643" s="334"/>
      <c r="O643" s="241"/>
      <c r="P643" s="241"/>
      <c r="Q643" s="184"/>
    </row>
    <row r="644" spans="1:36" s="175" customFormat="1" ht="15" hidden="1">
      <c r="A644" s="130"/>
      <c r="B644" s="240" t="s">
        <v>552</v>
      </c>
      <c r="C644" s="78">
        <v>0</v>
      </c>
      <c r="D644" s="58"/>
      <c r="E644" s="58"/>
      <c r="F644" s="58"/>
      <c r="G644" s="58"/>
      <c r="H644" s="58"/>
      <c r="I644" s="58"/>
      <c r="J644" s="184"/>
      <c r="K644" s="241" t="str">
        <f>IF(I651="Fail",_xlfn.CONCAT("734|GND|REG1|DEC(",C644,")"),"!")</f>
        <v>!</v>
      </c>
      <c r="L644" s="334"/>
      <c r="M644" s="334"/>
      <c r="N644" s="334"/>
      <c r="O644" s="241"/>
      <c r="P644" s="241"/>
      <c r="Q644" s="184"/>
    </row>
    <row r="645" spans="1:36" s="175" customFormat="1" ht="15" hidden="1">
      <c r="A645" s="130"/>
      <c r="B645" s="240" t="s">
        <v>343</v>
      </c>
      <c r="C645" s="78"/>
      <c r="D645" s="58"/>
      <c r="E645" s="58"/>
      <c r="F645" s="58"/>
      <c r="G645" s="58"/>
      <c r="H645" s="58"/>
      <c r="I645" s="58"/>
      <c r="J645" s="184"/>
      <c r="K645" s="334" t="str">
        <f>IF(I651="Fail","TEX","!")</f>
        <v>!</v>
      </c>
      <c r="L645" s="334" t="s">
        <v>313</v>
      </c>
      <c r="M645" s="334" t="s">
        <v>91</v>
      </c>
      <c r="N645" s="334" t="s">
        <v>315</v>
      </c>
      <c r="O645" s="241" t="s">
        <v>316</v>
      </c>
      <c r="P645" s="241" t="s">
        <v>312</v>
      </c>
      <c r="Q645" s="184"/>
    </row>
    <row r="646" spans="1:36" s="180" customFormat="1" ht="15.75" hidden="1" thickBot="1">
      <c r="A646" s="130"/>
      <c r="B646" s="84"/>
      <c r="C646" s="78"/>
      <c r="D646" s="58"/>
      <c r="E646" s="58"/>
      <c r="F646" s="58"/>
      <c r="G646" s="58"/>
      <c r="H646" s="58"/>
      <c r="I646" s="58"/>
      <c r="J646" s="184"/>
      <c r="K646" s="281" t="s">
        <v>80</v>
      </c>
      <c r="L646" s="184"/>
      <c r="M646" s="184"/>
      <c r="N646" s="184"/>
      <c r="O646" s="184"/>
      <c r="R646" s="178"/>
      <c r="S646" s="178"/>
      <c r="T646" s="178"/>
      <c r="U646" s="178"/>
      <c r="V646" s="178"/>
      <c r="W646" s="178"/>
      <c r="X646" s="178"/>
      <c r="Y646" s="178"/>
      <c r="Z646" s="178"/>
      <c r="AA646" s="178"/>
      <c r="AB646" s="178"/>
      <c r="AC646" s="178"/>
      <c r="AD646" s="178"/>
      <c r="AE646" s="178"/>
      <c r="AF646" s="178"/>
      <c r="AG646" s="178"/>
      <c r="AH646" s="178"/>
      <c r="AI646" s="178"/>
      <c r="AJ646" s="178"/>
    </row>
    <row r="647" spans="1:36" s="175" customFormat="1" ht="20.25" hidden="1" customHeight="1" thickBot="1">
      <c r="A647" s="282"/>
      <c r="B647" s="283"/>
      <c r="C647" s="283"/>
      <c r="D647" s="287" t="s">
        <v>288</v>
      </c>
      <c r="E647" s="283"/>
      <c r="F647" s="283"/>
      <c r="G647" s="283"/>
      <c r="H647" s="283"/>
      <c r="I647" s="284"/>
      <c r="J647" s="184"/>
      <c r="K647" s="89" t="s">
        <v>80</v>
      </c>
      <c r="L647" s="184"/>
      <c r="M647" s="184"/>
      <c r="N647" s="184"/>
      <c r="O647" s="184"/>
      <c r="P647" s="184"/>
      <c r="Q647" s="184"/>
    </row>
    <row r="648" spans="1:36" s="180" customFormat="1" ht="15" hidden="1">
      <c r="A648" s="130"/>
      <c r="B648" s="84"/>
      <c r="C648" s="78"/>
      <c r="D648" s="58"/>
      <c r="E648" s="58"/>
      <c r="F648" s="58"/>
      <c r="G648" s="58"/>
      <c r="H648" s="58"/>
      <c r="I648" s="58"/>
      <c r="J648" s="184"/>
      <c r="K648" s="89" t="str">
        <f>IF(I673="Fail","TEX","!")</f>
        <v>!</v>
      </c>
      <c r="L648" s="184"/>
      <c r="M648" s="184"/>
      <c r="N648" s="184"/>
      <c r="O648" s="184"/>
      <c r="R648" s="178"/>
      <c r="S648" s="178"/>
      <c r="T648" s="178"/>
      <c r="U648" s="178"/>
      <c r="V648" s="178"/>
      <c r="W648" s="178"/>
      <c r="X648" s="178"/>
      <c r="Y648" s="178"/>
      <c r="Z648" s="178"/>
      <c r="AA648" s="178"/>
      <c r="AB648" s="178"/>
      <c r="AC648" s="178"/>
      <c r="AD648" s="178"/>
      <c r="AE648" s="178"/>
      <c r="AF648" s="178"/>
      <c r="AG648" s="178"/>
      <c r="AH648" s="178"/>
      <c r="AI648" s="178"/>
      <c r="AJ648" s="178"/>
    </row>
    <row r="649" spans="1:36" s="45" customFormat="1" ht="15" hidden="1">
      <c r="A649" s="271"/>
      <c r="B649" s="240" t="s">
        <v>481</v>
      </c>
      <c r="C649" s="272"/>
      <c r="D649" s="272"/>
      <c r="E649" s="272"/>
      <c r="F649" s="272"/>
      <c r="G649" s="272"/>
      <c r="H649" s="272"/>
      <c r="I649" s="272"/>
      <c r="K649" s="281" t="s">
        <v>27</v>
      </c>
      <c r="L649" s="281" t="s">
        <v>318</v>
      </c>
      <c r="M649" s="281" t="s">
        <v>455</v>
      </c>
      <c r="N649" s="281" t="s">
        <v>33</v>
      </c>
      <c r="O649" s="241">
        <v>3</v>
      </c>
      <c r="R649" s="177"/>
      <c r="S649" s="177"/>
      <c r="T649" s="177"/>
      <c r="U649" s="177"/>
      <c r="V649" s="177"/>
      <c r="W649" s="177"/>
      <c r="X649" s="177"/>
      <c r="Y649" s="177"/>
      <c r="Z649" s="177"/>
      <c r="AA649" s="177"/>
      <c r="AB649" s="177"/>
      <c r="AC649" s="177"/>
      <c r="AD649" s="177"/>
      <c r="AE649" s="177"/>
      <c r="AF649" s="177"/>
      <c r="AG649" s="177"/>
      <c r="AH649" s="177"/>
      <c r="AI649" s="177"/>
      <c r="AJ649" s="177"/>
    </row>
    <row r="650" spans="1:36" s="175" customFormat="1" ht="15" hidden="1">
      <c r="A650" s="130"/>
      <c r="B650" s="240" t="s">
        <v>343</v>
      </c>
      <c r="C650" s="78"/>
      <c r="D650" s="58"/>
      <c r="E650" s="58"/>
      <c r="F650" s="58"/>
      <c r="G650" s="58"/>
      <c r="H650" s="58"/>
      <c r="I650" s="58"/>
      <c r="J650" s="184"/>
      <c r="K650" s="281" t="s">
        <v>27</v>
      </c>
      <c r="L650" s="281" t="s">
        <v>313</v>
      </c>
      <c r="M650" s="281" t="s">
        <v>91</v>
      </c>
      <c r="N650" s="281" t="s">
        <v>315</v>
      </c>
      <c r="O650" s="241" t="s">
        <v>316</v>
      </c>
      <c r="P650" s="241" t="s">
        <v>312</v>
      </c>
      <c r="Q650" s="184"/>
    </row>
    <row r="651" spans="1:36" s="175" customFormat="1" ht="15" hidden="1">
      <c r="A651" s="130"/>
      <c r="B651" s="240" t="s">
        <v>463</v>
      </c>
      <c r="C651" s="78">
        <v>1</v>
      </c>
      <c r="D651" s="58"/>
      <c r="E651" s="58"/>
      <c r="F651" s="58"/>
      <c r="G651" s="58"/>
      <c r="H651" s="58"/>
      <c r="I651" s="58"/>
      <c r="J651" s="184"/>
      <c r="K651" s="241" t="str">
        <f>_xlfn.CONCAT("734|GND|REG1|DEC(",C651,")")</f>
        <v>734|GND|REG1|DEC(1)</v>
      </c>
      <c r="L651" s="281"/>
      <c r="M651" s="281"/>
      <c r="N651" s="281"/>
      <c r="O651" s="241"/>
      <c r="P651" s="241"/>
      <c r="Q651" s="184"/>
    </row>
    <row r="652" spans="1:36" s="175" customFormat="1" ht="15" hidden="1">
      <c r="A652" s="130"/>
      <c r="B652" s="246" t="s">
        <v>466</v>
      </c>
      <c r="C652" s="78">
        <v>2000</v>
      </c>
      <c r="D652" s="58"/>
      <c r="E652" s="58"/>
      <c r="F652" s="58"/>
      <c r="G652" s="58"/>
      <c r="H652" s="58"/>
      <c r="I652" s="58"/>
      <c r="J652" s="184"/>
      <c r="K652" s="281" t="s">
        <v>27</v>
      </c>
      <c r="L652" s="281" t="s">
        <v>42</v>
      </c>
      <c r="M652" s="216" t="s">
        <v>60</v>
      </c>
      <c r="N652" s="247" t="str">
        <f>B652</f>
        <v>Accelerator Initialising…</v>
      </c>
      <c r="O652" s="210">
        <f>C652</f>
        <v>2000</v>
      </c>
      <c r="P652" s="184"/>
      <c r="Q652" s="184"/>
    </row>
    <row r="653" spans="1:36" s="175" customFormat="1" ht="15.75" hidden="1" customHeight="1" thickBot="1">
      <c r="A653" s="130"/>
      <c r="B653" s="240" t="s">
        <v>335</v>
      </c>
      <c r="C653" s="78"/>
      <c r="D653" s="58"/>
      <c r="E653" s="459"/>
      <c r="F653" s="58"/>
      <c r="G653" s="58"/>
      <c r="H653" s="58"/>
      <c r="I653" s="58"/>
      <c r="J653" s="184"/>
      <c r="K653" s="281" t="s">
        <v>27</v>
      </c>
      <c r="L653" s="281" t="s">
        <v>319</v>
      </c>
      <c r="M653" s="281" t="s">
        <v>55</v>
      </c>
      <c r="N653" s="241" t="s">
        <v>310</v>
      </c>
      <c r="O653" s="184"/>
      <c r="P653" s="184"/>
      <c r="Q653" s="184"/>
    </row>
    <row r="654" spans="1:36" s="175" customFormat="1" ht="15" hidden="1" customHeight="1" thickBot="1">
      <c r="A654" s="132" cm="1">
        <f t="array" ref="A654">SSATSLineNumbers(A654,0.01)</f>
        <v>4.0199999999999996</v>
      </c>
      <c r="B654" s="244" t="s">
        <v>472</v>
      </c>
      <c r="C654" s="66">
        <v>0</v>
      </c>
      <c r="D654" s="84"/>
      <c r="E654" s="457" t="str">
        <f>IF(E653="","[AUTO]",(E653*T654))</f>
        <v>[AUTO]</v>
      </c>
      <c r="F654" s="86">
        <f ca="1">P654</f>
        <v>-0.3</v>
      </c>
      <c r="G654" s="86">
        <f ca="1">Q654</f>
        <v>0.3</v>
      </c>
      <c r="H654" s="86" t="str">
        <f ca="1">R654</f>
        <v>uA</v>
      </c>
      <c r="I654" s="59" t="str">
        <f>IF(E654 ="[AUTO]","TBC", IF(AND(E654&gt;=F654,E654&lt;=G654 ),"Pass","Fail"))</f>
        <v>TBC</v>
      </c>
      <c r="J654" s="184"/>
      <c r="K654" s="281" t="s">
        <v>80</v>
      </c>
      <c r="L654" s="184"/>
      <c r="M654" s="184"/>
      <c r="N654" s="184"/>
      <c r="O654" s="184"/>
      <c r="P654" s="245">
        <f ca="1">C654+(INDEX(tblProductScalesMeasures[Min],MATCH(_xlfn.CONCAT(B654),tblProductScalesMeasures[Description],0)))</f>
        <v>-0.3</v>
      </c>
      <c r="Q654" s="245">
        <f ca="1">C654+(INDEX(tblProductScalesMeasures[Max],MATCH(_xlfn.CONCAT(B654),tblProductScalesMeasures[Description],0)))</f>
        <v>0.3</v>
      </c>
      <c r="R654" s="245" t="str">
        <f ca="1">(INDEX(tblProductScalesMeasures[Unit],MATCH(_xlfn.CONCAT(B654),tblProductScalesMeasures[Description],0)))</f>
        <v>uA</v>
      </c>
      <c r="S654" s="177"/>
      <c r="T654" s="245">
        <f ca="1">IF(COUNTIF(tblExempt[],R654)&gt;0,0,INDEX(tblScaling[Divider],MATCH(_xlfn.CONCAT(IF(ISNUMBER(SEARCH(" ",section_4_heading))=FALSE,SUBSTITUTE(section_4_heading," ",""),"")," ",R654),tblScaling[Description],0)))</f>
        <v>1000000</v>
      </c>
    </row>
    <row r="655" spans="1:36" s="180" customFormat="1" ht="16.5" hidden="1" customHeight="1" thickBot="1">
      <c r="A655" s="133"/>
      <c r="B655" s="237" t="s">
        <v>70</v>
      </c>
      <c r="C655" s="57"/>
      <c r="D655" s="57"/>
      <c r="E655" s="80"/>
      <c r="F655" s="57"/>
      <c r="G655" s="57"/>
      <c r="H655" s="57"/>
      <c r="I655" s="57"/>
      <c r="J655" s="184"/>
      <c r="K655" s="116" t="s">
        <v>27</v>
      </c>
      <c r="L655" s="116" t="s">
        <v>42</v>
      </c>
      <c r="M655" s="116" t="s">
        <v>129</v>
      </c>
      <c r="N655" s="116" t="str">
        <f ca="1">SUBSTITUTE(CELL("address",K649),"$","")</f>
        <v>K649</v>
      </c>
      <c r="O655" s="116" t="s">
        <v>130</v>
      </c>
      <c r="P655" s="228" t="s">
        <v>75</v>
      </c>
      <c r="Q655" s="250" t="str">
        <f ca="1">INDEX(tblGoSubRoutineStartCell[StartCell],MATCH(B655,tblGoSubRoutineStartCell[GoSub Routine],0))</f>
        <v>K56</v>
      </c>
      <c r="R655" s="184"/>
      <c r="S655" s="178"/>
      <c r="T655" s="178"/>
      <c r="U655" s="178"/>
      <c r="V655" s="178"/>
      <c r="W655" s="178"/>
      <c r="X655" s="178"/>
      <c r="Y655" s="178"/>
      <c r="Z655" s="178"/>
      <c r="AA655" s="178"/>
      <c r="AB655" s="178"/>
      <c r="AC655" s="178"/>
      <c r="AD655" s="178"/>
      <c r="AE655" s="178"/>
      <c r="AF655" s="178"/>
      <c r="AG655" s="178"/>
      <c r="AH655" s="178"/>
      <c r="AI655" s="178"/>
      <c r="AJ655" s="178"/>
    </row>
    <row r="656" spans="1:36" s="175" customFormat="1" ht="15" hidden="1">
      <c r="A656" s="130"/>
      <c r="B656" s="240" t="s">
        <v>465</v>
      </c>
      <c r="C656" s="78">
        <v>1500</v>
      </c>
      <c r="D656" s="58"/>
      <c r="E656" s="58"/>
      <c r="F656" s="58"/>
      <c r="G656" s="58"/>
      <c r="H656" s="58"/>
      <c r="I656" s="58"/>
      <c r="J656" s="184"/>
      <c r="K656" s="241" t="str">
        <f>_xlfn.CONCAT("734|GND|OUT1|FLT(",C656,")")</f>
        <v>734|GND|OUT1|FLT(1500)</v>
      </c>
      <c r="L656" s="281"/>
      <c r="M656" s="281"/>
      <c r="N656" s="281"/>
      <c r="O656" s="241"/>
      <c r="P656" s="241"/>
      <c r="Q656" s="184"/>
    </row>
    <row r="657" spans="1:36" s="175" customFormat="1" ht="15" hidden="1">
      <c r="A657" s="130"/>
      <c r="B657" s="246" t="s">
        <v>473</v>
      </c>
      <c r="C657" s="78">
        <v>5000</v>
      </c>
      <c r="D657" s="58"/>
      <c r="E657" s="58"/>
      <c r="F657" s="58"/>
      <c r="G657" s="58"/>
      <c r="H657" s="58"/>
      <c r="I657" s="58"/>
      <c r="J657" s="184"/>
      <c r="K657" s="281" t="s">
        <v>27</v>
      </c>
      <c r="L657" s="281" t="s">
        <v>42</v>
      </c>
      <c r="M657" s="216" t="s">
        <v>60</v>
      </c>
      <c r="N657" s="247" t="str">
        <f>B657</f>
        <v xml:space="preserve">Accelerator Initialising… </v>
      </c>
      <c r="O657" s="210">
        <f>C657</f>
        <v>5000</v>
      </c>
      <c r="P657" s="184"/>
      <c r="Q657" s="184"/>
    </row>
    <row r="658" spans="1:36" s="175" customFormat="1" ht="15.75" hidden="1" thickBot="1">
      <c r="A658" s="130"/>
      <c r="B658" s="240" t="s">
        <v>471</v>
      </c>
      <c r="C658" s="78">
        <v>3</v>
      </c>
      <c r="D658" s="58"/>
      <c r="E658" s="455"/>
      <c r="F658" s="58"/>
      <c r="G658" s="58"/>
      <c r="H658" s="58"/>
      <c r="I658" s="58"/>
      <c r="J658" s="184"/>
      <c r="K658" s="281" t="s">
        <v>27</v>
      </c>
      <c r="L658" s="281" t="s">
        <v>318</v>
      </c>
      <c r="M658" s="281" t="s">
        <v>55</v>
      </c>
      <c r="N658" s="281" t="s">
        <v>33</v>
      </c>
      <c r="O658" s="241">
        <f>C658</f>
        <v>3</v>
      </c>
      <c r="P658" s="241"/>
      <c r="Q658" s="184"/>
    </row>
    <row r="659" spans="1:36" s="175" customFormat="1" ht="15" hidden="1" customHeight="1" thickBot="1">
      <c r="A659" s="132" cm="1">
        <f t="array" ref="A659">SSATSLineNumbers(A659,0.01)</f>
        <v>4.03</v>
      </c>
      <c r="B659" s="244" t="s">
        <v>745</v>
      </c>
      <c r="C659" s="66">
        <v>1500</v>
      </c>
      <c r="D659" s="84"/>
      <c r="E659" s="457" t="str">
        <f>IF(E658="","[AUTO]",E658*T659)</f>
        <v>[AUTO]</v>
      </c>
      <c r="F659" s="86">
        <f ca="1">P659</f>
        <v>1400</v>
      </c>
      <c r="G659" s="86">
        <f ca="1">Q659</f>
        <v>1600</v>
      </c>
      <c r="H659" s="86" t="str">
        <f ca="1">R659</f>
        <v>V</v>
      </c>
      <c r="I659" s="59" t="str">
        <f>IF(E659 ="[AUTO]","TBC", IF(AND(E659&gt;=F659,E659&lt;=G659 ),"Pass","Fail"))</f>
        <v>TBC</v>
      </c>
      <c r="J659" s="184"/>
      <c r="K659" s="281" t="s">
        <v>80</v>
      </c>
      <c r="L659" s="184"/>
      <c r="M659" s="184"/>
      <c r="N659" s="184"/>
      <c r="O659" s="184"/>
      <c r="P659" s="245">
        <f ca="1">C659+(INDEX(tblProductScalesMeasures[Min],MATCH(_xlfn.CONCAT(B659),tblProductScalesMeasures[Description],0)))</f>
        <v>1400</v>
      </c>
      <c r="Q659" s="245">
        <f ca="1">C659+(INDEX(tblProductScalesMeasures[Max],MATCH(_xlfn.CONCAT(B659),tblProductScalesMeasures[Description],0)))</f>
        <v>1600</v>
      </c>
      <c r="R659" s="245" t="str">
        <f ca="1">(INDEX(tblProductScalesMeasures[Unit],MATCH(_xlfn.CONCAT(B659),tblProductScalesMeasures[Description],0)))</f>
        <v>V</v>
      </c>
      <c r="S659" s="177"/>
      <c r="T659" s="245">
        <f ca="1">IF(COUNTIF(tblExempt[],R659)&gt;0,0,INDEX(tblScaling[Divider],MATCH(_xlfn.CONCAT(IF(ISNUMBER(SEARCH(" ",section_4_heading))=FALSE,SUBSTITUTE(section_4_heading," ",""),"")," ",R659),tblScaling[Description],0)))</f>
        <v>10000</v>
      </c>
    </row>
    <row r="660" spans="1:36" s="180" customFormat="1" ht="16.5" hidden="1" customHeight="1" thickBot="1">
      <c r="A660" s="133"/>
      <c r="B660" s="237" t="s">
        <v>70</v>
      </c>
      <c r="C660" s="57"/>
      <c r="D660" s="57"/>
      <c r="E660" s="80"/>
      <c r="F660" s="57"/>
      <c r="G660" s="57"/>
      <c r="H660" s="57"/>
      <c r="I660" s="57"/>
      <c r="J660" s="184"/>
      <c r="K660" s="116" t="s">
        <v>27</v>
      </c>
      <c r="L660" s="116" t="s">
        <v>42</v>
      </c>
      <c r="M660" s="116" t="s">
        <v>129</v>
      </c>
      <c r="N660" s="116" t="str">
        <f ca="1">SUBSTITUTE(CELL("address",K656),"$","")</f>
        <v>K656</v>
      </c>
      <c r="O660" s="116" t="s">
        <v>130</v>
      </c>
      <c r="P660" s="228" t="s">
        <v>75</v>
      </c>
      <c r="Q660" s="250" t="str">
        <f ca="1">INDEX(tblGoSubRoutineStartCell[StartCell],MATCH(B660,tblGoSubRoutineStartCell[GoSub Routine],0))</f>
        <v>K56</v>
      </c>
      <c r="R660" s="184"/>
      <c r="S660" s="178"/>
      <c r="T660" s="178"/>
      <c r="U660" s="178"/>
      <c r="V660" s="178"/>
      <c r="W660" s="178"/>
      <c r="X660" s="178"/>
      <c r="Y660" s="178"/>
      <c r="Z660" s="178"/>
      <c r="AA660" s="178"/>
      <c r="AB660" s="178"/>
      <c r="AC660" s="178"/>
      <c r="AD660" s="178"/>
      <c r="AE660" s="178"/>
      <c r="AF660" s="178"/>
      <c r="AG660" s="178"/>
      <c r="AH660" s="178"/>
      <c r="AI660" s="178"/>
      <c r="AJ660" s="178"/>
    </row>
    <row r="661" spans="1:36" s="175" customFormat="1" ht="15" hidden="1">
      <c r="A661" s="130"/>
      <c r="B661" s="240" t="s">
        <v>465</v>
      </c>
      <c r="C661" s="78">
        <v>35000</v>
      </c>
      <c r="D661" s="58"/>
      <c r="E661" s="58"/>
      <c r="F661" s="58"/>
      <c r="G661" s="58"/>
      <c r="H661" s="58"/>
      <c r="I661" s="58"/>
      <c r="J661" s="184"/>
      <c r="K661" s="241" t="str">
        <f>_xlfn.CONCAT("734|GND|OUT1|FLT(",C661,")")</f>
        <v>734|GND|OUT1|FLT(35000)</v>
      </c>
      <c r="L661" s="281"/>
      <c r="M661" s="281"/>
      <c r="N661" s="281"/>
      <c r="O661" s="241"/>
      <c r="P661" s="241"/>
      <c r="Q661" s="184"/>
    </row>
    <row r="662" spans="1:36" s="175" customFormat="1" ht="15" hidden="1">
      <c r="A662" s="130"/>
      <c r="B662" s="246" t="s">
        <v>473</v>
      </c>
      <c r="C662" s="78">
        <v>45000</v>
      </c>
      <c r="D662" s="58"/>
      <c r="E662" s="58"/>
      <c r="F662" s="58"/>
      <c r="G662" s="58"/>
      <c r="H662" s="58"/>
      <c r="I662" s="58"/>
      <c r="J662" s="184"/>
      <c r="K662" s="281" t="s">
        <v>27</v>
      </c>
      <c r="L662" s="281" t="s">
        <v>42</v>
      </c>
      <c r="M662" s="216" t="s">
        <v>60</v>
      </c>
      <c r="N662" s="247" t="str">
        <f>B662</f>
        <v xml:space="preserve">Accelerator Initialising… </v>
      </c>
      <c r="O662" s="210">
        <f>C662</f>
        <v>45000</v>
      </c>
      <c r="P662" s="184"/>
      <c r="Q662" s="184"/>
    </row>
    <row r="663" spans="1:36" s="175" customFormat="1" ht="15.75" hidden="1" thickBot="1">
      <c r="A663" s="130"/>
      <c r="B663" s="240" t="s">
        <v>471</v>
      </c>
      <c r="C663" s="78">
        <v>3</v>
      </c>
      <c r="D663" s="58"/>
      <c r="E663" s="455"/>
      <c r="F663" s="58"/>
      <c r="G663" s="58"/>
      <c r="H663" s="58"/>
      <c r="I663" s="58"/>
      <c r="J663" s="184"/>
      <c r="K663" s="281" t="s">
        <v>27</v>
      </c>
      <c r="L663" s="281" t="s">
        <v>318</v>
      </c>
      <c r="M663" s="281" t="s">
        <v>55</v>
      </c>
      <c r="N663" s="281" t="s">
        <v>33</v>
      </c>
      <c r="O663" s="241">
        <f>C663</f>
        <v>3</v>
      </c>
      <c r="P663" s="241"/>
      <c r="Q663" s="184"/>
    </row>
    <row r="664" spans="1:36" s="175" customFormat="1" ht="15" hidden="1" customHeight="1" thickBot="1">
      <c r="A664" s="132" cm="1">
        <f t="array" ref="A664">SSATSLineNumbers(A664,0.01)</f>
        <v>4.04</v>
      </c>
      <c r="B664" s="244" t="s">
        <v>744</v>
      </c>
      <c r="C664" s="66">
        <v>35000</v>
      </c>
      <c r="D664" s="84"/>
      <c r="E664" s="457" t="str">
        <f>IF(E663="","[AUTO]",E663*T664)</f>
        <v>[AUTO]</v>
      </c>
      <c r="F664" s="86">
        <f ca="1">P664</f>
        <v>34900</v>
      </c>
      <c r="G664" s="86">
        <f ca="1">Q664</f>
        <v>35100</v>
      </c>
      <c r="H664" s="86" t="str">
        <f ca="1">R664</f>
        <v>V</v>
      </c>
      <c r="I664" s="59" t="str">
        <f>IF(E664 ="[AUTO]","TBC", IF(AND(E664&gt;=F664,E664&lt;=G664 ),"Pass","Fail"))</f>
        <v>TBC</v>
      </c>
      <c r="J664" s="184"/>
      <c r="K664" s="281" t="s">
        <v>80</v>
      </c>
      <c r="L664" s="184"/>
      <c r="M664" s="184"/>
      <c r="N664" s="184"/>
      <c r="O664" s="184"/>
      <c r="P664" s="245">
        <f ca="1">C664+(INDEX(tblProductScalesMeasures[Min],MATCH(_xlfn.CONCAT(B664),tblProductScalesMeasures[Description],0)))</f>
        <v>34900</v>
      </c>
      <c r="Q664" s="245">
        <f ca="1">C664+(INDEX(tblProductScalesMeasures[Max],MATCH(_xlfn.CONCAT(B664),tblProductScalesMeasures[Description],0)))</f>
        <v>35100</v>
      </c>
      <c r="R664" s="245" t="str">
        <f ca="1">(INDEX(tblProductScalesMeasures[Unit],MATCH(_xlfn.CONCAT(B664),tblProductScalesMeasures[Description],0)))</f>
        <v>V</v>
      </c>
      <c r="S664" s="177"/>
      <c r="T664" s="245">
        <f ca="1">IF(COUNTIF(tblExempt[],R664)&gt;0,0,INDEX(tblScaling[Divider],MATCH(_xlfn.CONCAT(IF(ISNUMBER(SEARCH(" ",section_4_heading))=FALSE,SUBSTITUTE(section_4_heading," ",""),"")," ",R664),tblScaling[Description],0)))</f>
        <v>10000</v>
      </c>
    </row>
    <row r="665" spans="1:36" s="180" customFormat="1" ht="16.5" hidden="1" customHeight="1" thickBot="1">
      <c r="A665" s="133"/>
      <c r="B665" s="237" t="s">
        <v>70</v>
      </c>
      <c r="C665" s="57"/>
      <c r="D665" s="57"/>
      <c r="E665" s="80"/>
      <c r="F665" s="57"/>
      <c r="G665" s="57"/>
      <c r="H665" s="57"/>
      <c r="I665" s="57"/>
      <c r="J665" s="184"/>
      <c r="K665" s="116" t="s">
        <v>27</v>
      </c>
      <c r="L665" s="116" t="s">
        <v>42</v>
      </c>
      <c r="M665" s="116" t="s">
        <v>129</v>
      </c>
      <c r="N665" s="116" t="str">
        <f ca="1">SUBSTITUTE(CELL("address",K661),"$","")</f>
        <v>K661</v>
      </c>
      <c r="O665" s="116" t="s">
        <v>130</v>
      </c>
      <c r="P665" s="228" t="s">
        <v>75</v>
      </c>
      <c r="Q665" s="250" t="str">
        <f ca="1">INDEX(tblGoSubRoutineStartCell[StartCell],MATCH(B665,tblGoSubRoutineStartCell[GoSub Routine],0))</f>
        <v>K56</v>
      </c>
      <c r="R665" s="184"/>
      <c r="S665" s="178"/>
      <c r="T665" s="178"/>
      <c r="U665" s="178"/>
      <c r="V665" s="178"/>
      <c r="W665" s="178"/>
      <c r="X665" s="178"/>
      <c r="Y665" s="178"/>
      <c r="Z665" s="178"/>
      <c r="AA665" s="178"/>
      <c r="AB665" s="178"/>
      <c r="AC665" s="178"/>
      <c r="AD665" s="178"/>
      <c r="AE665" s="178"/>
      <c r="AF665" s="178"/>
      <c r="AG665" s="178"/>
      <c r="AH665" s="178"/>
      <c r="AI665" s="178"/>
      <c r="AJ665" s="178"/>
    </row>
    <row r="666" spans="1:36" s="175" customFormat="1" ht="15.75" hidden="1" customHeight="1" thickBot="1">
      <c r="A666" s="130"/>
      <c r="B666" s="240" t="s">
        <v>335</v>
      </c>
      <c r="C666" s="78"/>
      <c r="D666" s="58"/>
      <c r="E666" s="459"/>
      <c r="F666" s="58"/>
      <c r="G666" s="58"/>
      <c r="H666" s="58"/>
      <c r="I666" s="58"/>
      <c r="J666" s="184"/>
      <c r="K666" s="281" t="s">
        <v>27</v>
      </c>
      <c r="L666" s="281" t="s">
        <v>319</v>
      </c>
      <c r="M666" s="281" t="s">
        <v>55</v>
      </c>
      <c r="N666" s="241" t="s">
        <v>310</v>
      </c>
      <c r="O666" s="184"/>
      <c r="P666" s="184"/>
      <c r="Q666" s="184"/>
    </row>
    <row r="667" spans="1:36" s="175" customFormat="1" ht="15" hidden="1" customHeight="1" thickBot="1">
      <c r="A667" s="132" cm="1">
        <f t="array" ref="A667">SSATSLineNumbers(A667,0.01)</f>
        <v>4.05</v>
      </c>
      <c r="B667" s="244" t="s">
        <v>475</v>
      </c>
      <c r="C667" s="66">
        <v>8</v>
      </c>
      <c r="D667" s="84"/>
      <c r="E667" s="457" t="str">
        <f>IF(E666="","[AUTO]",(E666*T667))</f>
        <v>[AUTO]</v>
      </c>
      <c r="F667" s="86">
        <f ca="1">P667</f>
        <v>6.5</v>
      </c>
      <c r="G667" s="86">
        <f ca="1">Q667</f>
        <v>9.5</v>
      </c>
      <c r="H667" s="86" t="str">
        <f ca="1">R667</f>
        <v>uA</v>
      </c>
      <c r="I667" s="59" t="str">
        <f>IF(E667 ="[AUTO]","TBC", IF(AND(E667&gt;=F667,E667&lt;=G667 ),"Pass","Fail"))</f>
        <v>TBC</v>
      </c>
      <c r="J667" s="184"/>
      <c r="K667" s="281" t="s">
        <v>80</v>
      </c>
      <c r="L667" s="184"/>
      <c r="M667" s="184"/>
      <c r="N667" s="184"/>
      <c r="O667" s="184"/>
      <c r="P667" s="245">
        <f ca="1">C667+(INDEX(tblProductScalesMeasures[Min],MATCH(_xlfn.CONCAT(B667),tblProductScalesMeasures[Description],0)))</f>
        <v>6.5</v>
      </c>
      <c r="Q667" s="245">
        <f ca="1">C667+(INDEX(tblProductScalesMeasures[Max],MATCH(_xlfn.CONCAT(B667),tblProductScalesMeasures[Description],0)))</f>
        <v>9.5</v>
      </c>
      <c r="R667" s="245" t="str">
        <f ca="1">(INDEX(tblProductScalesMeasures[Unit],MATCH(_xlfn.CONCAT(B667),tblProductScalesMeasures[Description],0)))</f>
        <v>uA</v>
      </c>
      <c r="S667" s="177"/>
      <c r="T667" s="245">
        <f ca="1">IF(COUNTIF(tblExempt[],R667)&gt;0,0,INDEX(tblScaling[Divider],MATCH(_xlfn.CONCAT(IF(ISNUMBER(SEARCH(" ",section_4_heading))=FALSE,SUBSTITUTE(section_4_heading," ",""),"")," ",R667),tblScaling[Description],0)))</f>
        <v>1000000</v>
      </c>
    </row>
    <row r="668" spans="1:36" s="180" customFormat="1" ht="16.5" hidden="1" customHeight="1" thickBot="1">
      <c r="A668" s="133"/>
      <c r="B668" s="237" t="s">
        <v>70</v>
      </c>
      <c r="C668" s="57"/>
      <c r="D668" s="57"/>
      <c r="E668" s="80"/>
      <c r="F668" s="57"/>
      <c r="G668" s="57"/>
      <c r="H668" s="57"/>
      <c r="I668" s="57"/>
      <c r="J668" s="184"/>
      <c r="K668" s="116" t="s">
        <v>27</v>
      </c>
      <c r="L668" s="116" t="s">
        <v>42</v>
      </c>
      <c r="M668" s="116" t="s">
        <v>129</v>
      </c>
      <c r="N668" s="116" t="str">
        <f ca="1">SUBSTITUTE(CELL("address",K662),"$","")</f>
        <v>K662</v>
      </c>
      <c r="O668" s="116" t="s">
        <v>130</v>
      </c>
      <c r="P668" s="228" t="s">
        <v>75</v>
      </c>
      <c r="Q668" s="250" t="str">
        <f ca="1">INDEX(tblGoSubRoutineStartCell[StartCell],MATCH(B668,tblGoSubRoutineStartCell[GoSub Routine],0))</f>
        <v>K56</v>
      </c>
      <c r="R668" s="184"/>
      <c r="S668" s="178"/>
      <c r="T668" s="178"/>
      <c r="U668" s="178"/>
      <c r="V668" s="178"/>
      <c r="W668" s="178"/>
      <c r="X668" s="178"/>
      <c r="Y668" s="178"/>
      <c r="Z668" s="178"/>
      <c r="AA668" s="178"/>
      <c r="AB668" s="178"/>
      <c r="AC668" s="178"/>
      <c r="AD668" s="178"/>
      <c r="AE668" s="178"/>
      <c r="AF668" s="178"/>
      <c r="AG668" s="178"/>
      <c r="AH668" s="178"/>
      <c r="AI668" s="178"/>
      <c r="AJ668" s="178"/>
    </row>
    <row r="669" spans="1:36" s="175" customFormat="1" ht="15" hidden="1">
      <c r="A669" s="130"/>
      <c r="B669" s="240" t="s">
        <v>465</v>
      </c>
      <c r="C669" s="78">
        <v>0</v>
      </c>
      <c r="D669" s="58"/>
      <c r="E669" s="58"/>
      <c r="F669" s="58"/>
      <c r="G669" s="58"/>
      <c r="H669" s="58"/>
      <c r="I669" s="58"/>
      <c r="J669" s="184"/>
      <c r="K669" s="241" t="str">
        <f>_xlfn.CONCAT("734|GND|OUT1|FLT(",C669,")")</f>
        <v>734|GND|OUT1|FLT(0)</v>
      </c>
      <c r="L669" s="334"/>
      <c r="M669" s="334"/>
      <c r="N669" s="334"/>
      <c r="O669" s="241"/>
      <c r="P669" s="241"/>
      <c r="Q669" s="184"/>
    </row>
    <row r="670" spans="1:36" s="175" customFormat="1" ht="15" hidden="1">
      <c r="A670" s="130"/>
      <c r="B670" s="246" t="s">
        <v>593</v>
      </c>
      <c r="C670" s="78">
        <v>45000</v>
      </c>
      <c r="D670" s="58"/>
      <c r="E670" s="58"/>
      <c r="F670" s="58"/>
      <c r="G670" s="58"/>
      <c r="H670" s="58"/>
      <c r="I670" s="58"/>
      <c r="J670" s="184"/>
      <c r="K670" s="334" t="s">
        <v>27</v>
      </c>
      <c r="L670" s="334" t="s">
        <v>42</v>
      </c>
      <c r="M670" s="216" t="s">
        <v>60</v>
      </c>
      <c r="N670" s="247" t="str">
        <f>B670</f>
        <v>Accelerator RAMPING DOWN DO NOT SKIP</v>
      </c>
      <c r="O670" s="210">
        <f>C670</f>
        <v>45000</v>
      </c>
      <c r="P670" s="184"/>
      <c r="Q670" s="184"/>
    </row>
    <row r="671" spans="1:36" s="175" customFormat="1" ht="15" hidden="1">
      <c r="A671" s="130"/>
      <c r="B671" s="240" t="s">
        <v>552</v>
      </c>
      <c r="C671" s="78">
        <v>0</v>
      </c>
      <c r="D671" s="58"/>
      <c r="E671" s="58"/>
      <c r="F671" s="58"/>
      <c r="G671" s="58"/>
      <c r="H671" s="58"/>
      <c r="I671" s="58"/>
      <c r="J671" s="184"/>
      <c r="K671" s="241" t="str">
        <f>IF(I678="Fail",_xlfn.CONCAT("734|GND|REG1|DEC(",C671,")"),"!")</f>
        <v>!</v>
      </c>
      <c r="L671" s="334"/>
      <c r="M671" s="334"/>
      <c r="N671" s="334"/>
      <c r="O671" s="241"/>
      <c r="P671" s="241"/>
      <c r="Q671" s="184"/>
    </row>
    <row r="672" spans="1:36" s="175" customFormat="1" ht="15" hidden="1">
      <c r="A672" s="130"/>
      <c r="B672" s="240" t="s">
        <v>343</v>
      </c>
      <c r="C672" s="78"/>
      <c r="D672" s="58"/>
      <c r="E672" s="58"/>
      <c r="F672" s="58"/>
      <c r="G672" s="58"/>
      <c r="H672" s="58"/>
      <c r="I672" s="58"/>
      <c r="J672" s="184"/>
      <c r="K672" s="334" t="str">
        <f>IF(I678="Fail","TEX","!")</f>
        <v>!</v>
      </c>
      <c r="L672" s="334" t="s">
        <v>313</v>
      </c>
      <c r="M672" s="334" t="s">
        <v>91</v>
      </c>
      <c r="N672" s="334" t="s">
        <v>315</v>
      </c>
      <c r="O672" s="241" t="s">
        <v>316</v>
      </c>
      <c r="P672" s="241" t="s">
        <v>312</v>
      </c>
      <c r="Q672" s="184"/>
    </row>
    <row r="673" spans="1:36" s="180" customFormat="1" ht="15.75" hidden="1" thickBot="1">
      <c r="A673" s="130"/>
      <c r="B673" s="84"/>
      <c r="C673" s="78"/>
      <c r="D673" s="58"/>
      <c r="E673" s="58"/>
      <c r="F673" s="58"/>
      <c r="G673" s="58"/>
      <c r="H673" s="58"/>
      <c r="I673" s="58"/>
      <c r="J673" s="184"/>
      <c r="K673" s="281" t="s">
        <v>80</v>
      </c>
      <c r="L673" s="184"/>
      <c r="M673" s="184"/>
      <c r="N673" s="184"/>
      <c r="O673" s="184"/>
      <c r="R673" s="178"/>
      <c r="S673" s="178"/>
      <c r="T673" s="178"/>
      <c r="U673" s="178"/>
      <c r="V673" s="178"/>
      <c r="W673" s="178"/>
      <c r="X673" s="178"/>
      <c r="Y673" s="178"/>
      <c r="Z673" s="178"/>
      <c r="AA673" s="178"/>
      <c r="AB673" s="178"/>
      <c r="AC673" s="178"/>
      <c r="AD673" s="178"/>
      <c r="AE673" s="178"/>
      <c r="AF673" s="178"/>
      <c r="AG673" s="178"/>
      <c r="AH673" s="178"/>
      <c r="AI673" s="178"/>
      <c r="AJ673" s="178"/>
    </row>
    <row r="674" spans="1:36" s="175" customFormat="1" ht="20.25" hidden="1" customHeight="1" thickBot="1">
      <c r="A674" s="282"/>
      <c r="B674" s="283"/>
      <c r="C674" s="283"/>
      <c r="D674" s="287" t="s">
        <v>291</v>
      </c>
      <c r="E674" s="283"/>
      <c r="F674" s="283"/>
      <c r="G674" s="283"/>
      <c r="H674" s="283"/>
      <c r="I674" s="284"/>
      <c r="J674" s="184"/>
      <c r="K674" s="89" t="s">
        <v>80</v>
      </c>
      <c r="L674" s="184"/>
      <c r="M674" s="184"/>
      <c r="N674" s="184"/>
      <c r="O674" s="184"/>
      <c r="P674" s="184"/>
      <c r="Q674" s="184"/>
    </row>
    <row r="675" spans="1:36" s="180" customFormat="1" ht="15" hidden="1">
      <c r="A675" s="130"/>
      <c r="B675" s="84"/>
      <c r="C675" s="78"/>
      <c r="D675" s="58"/>
      <c r="E675" s="58"/>
      <c r="F675" s="58"/>
      <c r="G675" s="58"/>
      <c r="H675" s="58"/>
      <c r="I675" s="58"/>
      <c r="J675" s="184"/>
      <c r="K675" s="281" t="s">
        <v>80</v>
      </c>
      <c r="L675" s="184"/>
      <c r="M675" s="184"/>
      <c r="N675" s="184"/>
      <c r="O675" s="184"/>
      <c r="R675" s="178"/>
      <c r="S675" s="178"/>
      <c r="T675" s="178"/>
      <c r="U675" s="178"/>
      <c r="V675" s="178"/>
      <c r="W675" s="178"/>
      <c r="X675" s="178"/>
      <c r="Y675" s="178"/>
      <c r="Z675" s="178"/>
      <c r="AA675" s="178"/>
      <c r="AB675" s="178"/>
      <c r="AC675" s="178"/>
      <c r="AD675" s="178"/>
      <c r="AE675" s="178"/>
      <c r="AF675" s="178"/>
      <c r="AG675" s="178"/>
      <c r="AH675" s="178"/>
      <c r="AI675" s="178"/>
      <c r="AJ675" s="178"/>
    </row>
    <row r="676" spans="1:36" s="175" customFormat="1" ht="15" hidden="1">
      <c r="A676" s="130"/>
      <c r="B676" s="240" t="s">
        <v>343</v>
      </c>
      <c r="C676" s="78"/>
      <c r="D676" s="58"/>
      <c r="E676" s="58"/>
      <c r="F676" s="58"/>
      <c r="G676" s="58"/>
      <c r="H676" s="58"/>
      <c r="I676" s="58"/>
      <c r="J676" s="184"/>
      <c r="K676" s="281" t="s">
        <v>27</v>
      </c>
      <c r="L676" s="281" t="s">
        <v>313</v>
      </c>
      <c r="M676" s="281" t="s">
        <v>91</v>
      </c>
      <c r="N676" s="281" t="s">
        <v>315</v>
      </c>
      <c r="O676" s="241" t="s">
        <v>316</v>
      </c>
      <c r="P676" s="241" t="s">
        <v>312</v>
      </c>
      <c r="Q676" s="184"/>
    </row>
    <row r="677" spans="1:36" s="175" customFormat="1" ht="15" hidden="1">
      <c r="A677" s="130"/>
      <c r="B677" s="240" t="s">
        <v>463</v>
      </c>
      <c r="C677" s="78">
        <v>1</v>
      </c>
      <c r="D677" s="58"/>
      <c r="E677" s="58"/>
      <c r="F677" s="58"/>
      <c r="G677" s="58"/>
      <c r="H677" s="58"/>
      <c r="I677" s="58"/>
      <c r="J677" s="184"/>
      <c r="K677" s="241" t="str">
        <f>_xlfn.CONCAT("734|GND|REG1|DEC(",C677,")")</f>
        <v>734|GND|REG1|DEC(1)</v>
      </c>
      <c r="L677" s="281"/>
      <c r="M677" s="281"/>
      <c r="N677" s="281"/>
      <c r="O677" s="241"/>
      <c r="P677" s="241"/>
      <c r="Q677" s="184"/>
    </row>
    <row r="678" spans="1:36" s="175" customFormat="1" ht="15" hidden="1">
      <c r="A678" s="130"/>
      <c r="B678" s="240" t="s">
        <v>476</v>
      </c>
      <c r="C678" s="78">
        <v>6</v>
      </c>
      <c r="D678" s="58"/>
      <c r="E678" s="58"/>
      <c r="F678" s="58"/>
      <c r="G678" s="58"/>
      <c r="H678" s="58"/>
      <c r="I678" s="58"/>
      <c r="J678" s="184"/>
      <c r="K678" s="281" t="s">
        <v>27</v>
      </c>
      <c r="L678" s="281" t="s">
        <v>313</v>
      </c>
      <c r="M678" s="281" t="s">
        <v>32</v>
      </c>
      <c r="N678" s="281" t="s">
        <v>315</v>
      </c>
      <c r="O678" s="241">
        <f>C678</f>
        <v>6</v>
      </c>
      <c r="P678" s="241"/>
      <c r="Q678" s="184"/>
    </row>
    <row r="679" spans="1:36" s="380" customFormat="1" ht="15" hidden="1">
      <c r="A679" s="399"/>
      <c r="B679" s="240" t="s">
        <v>477</v>
      </c>
      <c r="C679" s="390">
        <v>32800</v>
      </c>
      <c r="D679" s="387"/>
      <c r="E679" s="387"/>
      <c r="F679" s="387"/>
      <c r="G679" s="387"/>
      <c r="H679" s="387"/>
      <c r="I679" s="387"/>
      <c r="J679" s="384"/>
      <c r="K679" s="241" t="str">
        <f>_xlfn.CONCAT("734|GND|OUT1|FLT(",C679,")")</f>
        <v>734|GND|OUT1|FLT(32800)</v>
      </c>
      <c r="L679" s="410"/>
      <c r="M679" s="410"/>
      <c r="N679" s="410"/>
      <c r="O679" s="241"/>
      <c r="P679" s="241"/>
      <c r="Q679" s="384"/>
    </row>
    <row r="680" spans="1:36" s="380" customFormat="1" ht="15" hidden="1">
      <c r="A680" s="399"/>
      <c r="B680" s="249" t="s">
        <v>466</v>
      </c>
      <c r="C680" s="390">
        <v>45000</v>
      </c>
      <c r="D680" s="387"/>
      <c r="E680" s="387"/>
      <c r="F680" s="387"/>
      <c r="G680" s="387"/>
      <c r="H680" s="387"/>
      <c r="I680" s="387"/>
      <c r="J680" s="384"/>
      <c r="K680" s="410" t="s">
        <v>27</v>
      </c>
      <c r="L680" s="410" t="s">
        <v>42</v>
      </c>
      <c r="M680" s="216" t="s">
        <v>60</v>
      </c>
      <c r="N680" s="247" t="str">
        <f>B680</f>
        <v>Accelerator Initialising…</v>
      </c>
      <c r="O680" s="210">
        <f>C680</f>
        <v>45000</v>
      </c>
      <c r="P680" s="384"/>
      <c r="Q680" s="384"/>
    </row>
    <row r="681" spans="1:36" s="175" customFormat="1" ht="15.75" hidden="1" customHeight="1" thickBot="1">
      <c r="A681" s="130"/>
      <c r="B681" s="240" t="s">
        <v>335</v>
      </c>
      <c r="C681" s="78"/>
      <c r="D681" s="58"/>
      <c r="E681" s="459"/>
      <c r="F681" s="58"/>
      <c r="G681" s="58"/>
      <c r="H681" s="58"/>
      <c r="I681" s="58"/>
      <c r="J681" s="184"/>
      <c r="K681" s="281" t="s">
        <v>27</v>
      </c>
      <c r="L681" s="281" t="s">
        <v>319</v>
      </c>
      <c r="M681" s="281" t="s">
        <v>55</v>
      </c>
      <c r="N681" s="241" t="s">
        <v>310</v>
      </c>
      <c r="O681" s="184"/>
      <c r="P681" s="184"/>
      <c r="Q681" s="184"/>
    </row>
    <row r="682" spans="1:36" s="45" customFormat="1" ht="16.5" hidden="1" customHeight="1" thickBot="1">
      <c r="A682" s="132" cm="1">
        <f t="array" ref="A682">SSATSLineNumbers(A682,0.01)</f>
        <v>4.0599999999999996</v>
      </c>
      <c r="B682" s="244" t="str">
        <f ca="1">ATE_Settings!Y85</f>
        <v>ACC Output Current @ 28uA (uA)</v>
      </c>
      <c r="C682" s="243">
        <v>28</v>
      </c>
      <c r="D682" s="84"/>
      <c r="E682" s="457" t="str">
        <f>IF(E681="","[AUTO]",(E681*T682))</f>
        <v>[AUTO]</v>
      </c>
      <c r="F682" s="86">
        <f ca="1">P682</f>
        <v>27</v>
      </c>
      <c r="G682" s="86">
        <f ca="1">Q682</f>
        <v>29</v>
      </c>
      <c r="H682" s="86" t="str">
        <f ca="1">R682</f>
        <v>uA</v>
      </c>
      <c r="I682" s="59" t="str">
        <f>IF(E682 ="[AUTO]","TBC", IF(AND(E682&gt;=F682,E682&lt;=G682 ),"Pass","Fail"))</f>
        <v>TBC</v>
      </c>
      <c r="J682" s="184"/>
      <c r="K682" s="281" t="s">
        <v>80</v>
      </c>
      <c r="L682" s="281"/>
      <c r="M682" s="281"/>
      <c r="N682" s="281"/>
      <c r="O682" s="184"/>
      <c r="P682" s="245">
        <f ca="1">C682+(INDEX(tblProductScalesMeasures[Min],MATCH(_xlfn.CONCAT(B682),tblProductScalesMeasures[Description],0)))</f>
        <v>27</v>
      </c>
      <c r="Q682" s="245">
        <f ca="1">C682+(INDEX(tblProductScalesMeasures[Max],MATCH(_xlfn.CONCAT(B682),tblProductScalesMeasures[Description],0)))</f>
        <v>29</v>
      </c>
      <c r="R682" s="245" t="str">
        <f ca="1">(INDEX(tblProductScalesMeasures[Unit],MATCH(_xlfn.CONCAT(B682),tblProductScalesMeasures[Description],0)))</f>
        <v>uA</v>
      </c>
      <c r="S682" s="177"/>
      <c r="T682" s="245">
        <f ca="1">IF(COUNTIF(tblExempt[],R682)&gt;0,0,INDEX(tblScaling[Divider],MATCH(_xlfn.CONCAT(IF(ISNUMBER(SEARCH(" ",section_4_heading))=FALSE,SUBSTITUTE(section_4_heading," ",""),"")," ",R682),tblScaling[Description],0)))</f>
        <v>1000000</v>
      </c>
      <c r="U682" s="177"/>
      <c r="V682" s="177"/>
      <c r="W682" s="177"/>
      <c r="X682" s="177"/>
      <c r="Y682" s="177"/>
      <c r="Z682" s="177"/>
      <c r="AA682" s="177"/>
      <c r="AB682" s="177"/>
      <c r="AC682" s="177"/>
      <c r="AD682" s="177"/>
      <c r="AE682" s="177"/>
      <c r="AF682" s="177"/>
      <c r="AG682" s="177"/>
      <c r="AH682" s="177"/>
      <c r="AI682" s="177"/>
      <c r="AJ682" s="177"/>
    </row>
    <row r="683" spans="1:36" s="180" customFormat="1" ht="16.5" hidden="1" customHeight="1" thickBot="1">
      <c r="A683" s="133"/>
      <c r="B683" s="237" t="s">
        <v>70</v>
      </c>
      <c r="C683" s="57"/>
      <c r="D683" s="57"/>
      <c r="E683" s="80"/>
      <c r="F683" s="57"/>
      <c r="G683" s="57"/>
      <c r="H683" s="57"/>
      <c r="I683" s="57"/>
      <c r="J683" s="184"/>
      <c r="K683" s="116" t="s">
        <v>27</v>
      </c>
      <c r="L683" s="116" t="s">
        <v>42</v>
      </c>
      <c r="M683" s="116" t="s">
        <v>129</v>
      </c>
      <c r="N683" s="116" t="str">
        <f ca="1">SUBSTITUTE(CELL("address",K676),"$","")</f>
        <v>K676</v>
      </c>
      <c r="O683" s="116" t="s">
        <v>130</v>
      </c>
      <c r="P683" s="228" t="s">
        <v>75</v>
      </c>
      <c r="Q683" s="250" t="str">
        <f ca="1">INDEX(tblGoSubRoutineStartCell[StartCell],MATCH(B683,tblGoSubRoutineStartCell[GoSub Routine],0))</f>
        <v>K56</v>
      </c>
      <c r="R683" s="184"/>
      <c r="S683" s="178"/>
      <c r="T683" s="178"/>
      <c r="U683" s="178"/>
      <c r="V683" s="178"/>
      <c r="W683" s="178"/>
      <c r="X683" s="178"/>
      <c r="Y683" s="178"/>
      <c r="Z683" s="178"/>
      <c r="AA683" s="178"/>
      <c r="AB683" s="178"/>
      <c r="AC683" s="178"/>
      <c r="AD683" s="178"/>
      <c r="AE683" s="178"/>
      <c r="AF683" s="178"/>
      <c r="AG683" s="178"/>
      <c r="AH683" s="178"/>
      <c r="AI683" s="178"/>
      <c r="AJ683" s="178"/>
    </row>
    <row r="684" spans="1:36" s="45" customFormat="1" ht="16.5" hidden="1" customHeight="1" thickBot="1">
      <c r="A684" s="132" cm="1">
        <f t="array" ref="A684">SSATSLineNumbers(A684,0.01)</f>
        <v>4.07</v>
      </c>
      <c r="B684" s="242" t="s">
        <v>479</v>
      </c>
      <c r="C684" s="66"/>
      <c r="D684" s="84"/>
      <c r="E684" s="437"/>
      <c r="F684" s="113"/>
      <c r="G684" s="113"/>
      <c r="H684" s="113"/>
      <c r="I684" s="113"/>
      <c r="J684" s="184"/>
      <c r="K684" s="241" t="s">
        <v>480</v>
      </c>
      <c r="L684" s="281"/>
      <c r="M684" s="281"/>
      <c r="N684" s="281"/>
      <c r="O684" s="184"/>
      <c r="P684" s="217"/>
      <c r="Q684" s="217"/>
      <c r="R684" s="217"/>
      <c r="S684" s="177"/>
      <c r="T684" s="217"/>
      <c r="U684" s="177"/>
      <c r="V684" s="177"/>
      <c r="W684" s="177"/>
      <c r="X684" s="177"/>
      <c r="Y684" s="177"/>
      <c r="Z684" s="177"/>
      <c r="AA684" s="177"/>
      <c r="AB684" s="177"/>
      <c r="AC684" s="177"/>
      <c r="AD684" s="177"/>
      <c r="AE684" s="177"/>
      <c r="AF684" s="177"/>
      <c r="AG684" s="177"/>
      <c r="AH684" s="177"/>
      <c r="AI684" s="177"/>
      <c r="AJ684" s="177"/>
    </row>
    <row r="685" spans="1:36" s="180" customFormat="1" ht="15.75" hidden="1" thickBot="1">
      <c r="A685" s="132" cm="1">
        <f t="array" ref="A685">SSATSLineNumbers(A685,0.01)</f>
        <v>4.08</v>
      </c>
      <c r="B685" s="244" t="str">
        <f ca="1">ATE_Settings!Y86</f>
        <v>ACC Current Monitor Error (%)</v>
      </c>
      <c r="C685" s="66"/>
      <c r="D685" s="206"/>
      <c r="E685" s="454" t="str">
        <f>IF(OR(E682="[AUTO]",E684=""),"[AUTO]",((E682-E684)/E684)*100)</f>
        <v>[AUTO]</v>
      </c>
      <c r="F685" s="207">
        <f ca="1">Q685</f>
        <v>-1</v>
      </c>
      <c r="G685" s="86">
        <f ca="1">R685</f>
        <v>1</v>
      </c>
      <c r="H685" s="86" t="str">
        <f ca="1">S685</f>
        <v>%</v>
      </c>
      <c r="I685" s="59" t="str">
        <f>IF(E685 ="[AUTO]","TBC", IF(AND(E685&gt;=F685,E685&lt;=G685 ),"Pass","Fail"))</f>
        <v>TBC</v>
      </c>
      <c r="J685" s="184"/>
      <c r="K685" s="115" t="s">
        <v>80</v>
      </c>
      <c r="L685" s="281"/>
      <c r="M685" s="184"/>
      <c r="N685" s="184"/>
      <c r="O685" s="184"/>
      <c r="P685" s="184"/>
      <c r="Q685" s="204">
        <f ca="1">C685+(INDEX(tblProductScalesMeasures[Min],MATCH(_xlfn.CONCAT(B685),tblProductScalesMeasures[Description],0)))</f>
        <v>-1</v>
      </c>
      <c r="R685" s="204">
        <f ca="1">C685+(INDEX(tblProductScalesMeasures[Max],MATCH(_xlfn.CONCAT(B685),tblProductScalesMeasures[Description],0)))</f>
        <v>1</v>
      </c>
      <c r="S685" s="205" t="str">
        <f ca="1">(INDEX(tblProductScalesMeasures[Unit],MATCH(_xlfn.CONCAT(B685),tblProductScalesMeasures[Description],0)))</f>
        <v>%</v>
      </c>
      <c r="T685" s="203"/>
      <c r="U685" s="205">
        <f ca="1">IF(COUNTIF(tblExempt[],S685)&gt;0,0,INDEX(tblScaling[Divider],MATCH(_xlfn.CONCAT(IF(ISNUMBER(SEARCH(" ",section_4_heading))=FALSE,SUBSTITUTE(section_4_heading," ",""),"")," ",S685),tblScaling[Description],0)))</f>
        <v>0</v>
      </c>
      <c r="V685" s="178"/>
      <c r="W685" s="178"/>
      <c r="X685" s="178"/>
      <c r="Y685" s="178"/>
      <c r="Z685" s="178"/>
      <c r="AA685" s="178"/>
      <c r="AB685" s="178"/>
      <c r="AC685" s="178"/>
      <c r="AD685" s="178"/>
      <c r="AE685" s="178"/>
      <c r="AF685" s="178"/>
      <c r="AG685" s="178"/>
      <c r="AH685" s="178"/>
      <c r="AI685" s="178"/>
      <c r="AJ685" s="178"/>
    </row>
    <row r="686" spans="1:36" s="180" customFormat="1" ht="16.5" hidden="1" customHeight="1" thickBot="1">
      <c r="A686" s="133"/>
      <c r="B686" s="237" t="s">
        <v>70</v>
      </c>
      <c r="C686" s="57"/>
      <c r="D686" s="57"/>
      <c r="E686" s="80"/>
      <c r="F686" s="57"/>
      <c r="G686" s="57"/>
      <c r="H686" s="57"/>
      <c r="I686" s="57"/>
      <c r="J686" s="184"/>
      <c r="K686" s="116" t="s">
        <v>27</v>
      </c>
      <c r="L686" s="116" t="s">
        <v>42</v>
      </c>
      <c r="M686" s="116" t="s">
        <v>129</v>
      </c>
      <c r="N686" s="116" t="str">
        <f ca="1">SUBSTITUTE(CELL("address",K684),"$","")</f>
        <v>K684</v>
      </c>
      <c r="O686" s="116" t="s">
        <v>130</v>
      </c>
      <c r="P686" s="228" t="s">
        <v>75</v>
      </c>
      <c r="Q686" s="250" t="str">
        <f ca="1">INDEX(tblGoSubRoutineStartCell[StartCell],MATCH(B686,tblGoSubRoutineStartCell[GoSub Routine],0))</f>
        <v>K56</v>
      </c>
      <c r="R686" s="184"/>
      <c r="S686" s="178"/>
      <c r="T686" s="178"/>
      <c r="U686" s="178"/>
      <c r="V686" s="178"/>
      <c r="W686" s="178"/>
      <c r="X686" s="178"/>
      <c r="Y686" s="178"/>
      <c r="Z686" s="178"/>
      <c r="AA686" s="178"/>
      <c r="AB686" s="178"/>
      <c r="AC686" s="178"/>
      <c r="AD686" s="178"/>
      <c r="AE686" s="178"/>
      <c r="AF686" s="178"/>
      <c r="AG686" s="178"/>
      <c r="AH686" s="178"/>
      <c r="AI686" s="178"/>
      <c r="AJ686" s="178"/>
    </row>
    <row r="687" spans="1:36" s="175" customFormat="1" ht="15" hidden="1">
      <c r="A687" s="130"/>
      <c r="B687" s="240" t="s">
        <v>477</v>
      </c>
      <c r="C687" s="78">
        <v>34550</v>
      </c>
      <c r="D687" s="58"/>
      <c r="E687" s="58"/>
      <c r="F687" s="58"/>
      <c r="G687" s="58"/>
      <c r="H687" s="58"/>
      <c r="I687" s="58"/>
      <c r="J687" s="184"/>
      <c r="K687" s="241" t="str">
        <f>_xlfn.CONCAT("734|GND|OUT1|FLT(",C687,")")</f>
        <v>734|GND|OUT1|FLT(34550)</v>
      </c>
      <c r="L687" s="281"/>
      <c r="M687" s="281"/>
      <c r="N687" s="281"/>
      <c r="O687" s="241"/>
      <c r="P687" s="241"/>
      <c r="Q687" s="184"/>
    </row>
    <row r="688" spans="1:36" s="175" customFormat="1" ht="15" hidden="1">
      <c r="A688" s="130"/>
      <c r="B688" s="249" t="s">
        <v>466</v>
      </c>
      <c r="C688" s="78">
        <v>10000</v>
      </c>
      <c r="D688" s="58"/>
      <c r="E688" s="58"/>
      <c r="F688" s="58"/>
      <c r="G688" s="58"/>
      <c r="H688" s="58"/>
      <c r="I688" s="58"/>
      <c r="J688" s="184"/>
      <c r="K688" s="281" t="s">
        <v>27</v>
      </c>
      <c r="L688" s="281" t="s">
        <v>42</v>
      </c>
      <c r="M688" s="216" t="s">
        <v>60</v>
      </c>
      <c r="N688" s="247" t="str">
        <f>B688</f>
        <v>Accelerator Initialising…</v>
      </c>
      <c r="O688" s="210">
        <f>C688</f>
        <v>10000</v>
      </c>
      <c r="P688" s="184"/>
      <c r="Q688" s="184"/>
    </row>
    <row r="689" spans="1:36" s="175" customFormat="1" ht="15.75" hidden="1" thickBot="1">
      <c r="A689" s="130"/>
      <c r="B689" s="240" t="s">
        <v>471</v>
      </c>
      <c r="C689" s="78">
        <v>3</v>
      </c>
      <c r="D689" s="58"/>
      <c r="E689" s="455"/>
      <c r="F689" s="58"/>
      <c r="G689" s="58"/>
      <c r="H689" s="58"/>
      <c r="I689" s="58"/>
      <c r="J689" s="184"/>
      <c r="K689" s="281" t="s">
        <v>27</v>
      </c>
      <c r="L689" s="281" t="s">
        <v>318</v>
      </c>
      <c r="M689" s="281" t="s">
        <v>55</v>
      </c>
      <c r="N689" s="281" t="s">
        <v>33</v>
      </c>
      <c r="O689" s="241">
        <f>C689</f>
        <v>3</v>
      </c>
      <c r="P689" s="241"/>
      <c r="Q689" s="184"/>
    </row>
    <row r="690" spans="1:36" s="175" customFormat="1" ht="15" hidden="1" customHeight="1" thickBot="1">
      <c r="A690" s="132" cm="1">
        <f t="array" ref="A690">SSATSLineNumbers(A690,0.01)</f>
        <v>4.09</v>
      </c>
      <c r="B690" s="244" t="s">
        <v>474</v>
      </c>
      <c r="C690" s="66">
        <v>34550</v>
      </c>
      <c r="D690" s="84"/>
      <c r="E690" s="457" t="str">
        <f>IF(E689="","[AUTO]",E689*T690)</f>
        <v>[AUTO]</v>
      </c>
      <c r="F690" s="86">
        <f ca="1">P690</f>
        <v>34450</v>
      </c>
      <c r="G690" s="86">
        <f ca="1">Q690</f>
        <v>34650</v>
      </c>
      <c r="H690" s="86" t="str">
        <f ca="1">R690</f>
        <v>V</v>
      </c>
      <c r="I690" s="59" t="str">
        <f>IF(E690 ="[AUTO]","TBC", IF(AND(E690&gt;=F690,E690&lt;=G690 ),"Pass","Fail"))</f>
        <v>TBC</v>
      </c>
      <c r="J690" s="184"/>
      <c r="K690" s="281" t="s">
        <v>80</v>
      </c>
      <c r="L690" s="184"/>
      <c r="M690" s="184"/>
      <c r="N690" s="184"/>
      <c r="O690" s="184"/>
      <c r="P690" s="245">
        <f ca="1">C690+(INDEX(tblProductScalesMeasures[Min],MATCH(_xlfn.CONCAT(B690),tblProductScalesMeasures[Description],0)))</f>
        <v>34450</v>
      </c>
      <c r="Q690" s="245">
        <f ca="1">C690+(INDEX(tblProductScalesMeasures[Max],MATCH(_xlfn.CONCAT(B690),tblProductScalesMeasures[Description],0)))</f>
        <v>34650</v>
      </c>
      <c r="R690" s="245" t="str">
        <f ca="1">(INDEX(tblProductScalesMeasures[Unit],MATCH(_xlfn.CONCAT(B690),tblProductScalesMeasures[Description],0)))</f>
        <v>V</v>
      </c>
      <c r="S690" s="177"/>
      <c r="T690" s="245">
        <f ca="1">IF(COUNTIF(tblExempt[],R690)&gt;0,0,INDEX(tblScaling[Divider],MATCH(_xlfn.CONCAT(IF(ISNUMBER(SEARCH(" ",section_4_heading))=FALSE,SUBSTITUTE(section_4_heading," ",""),"")," ",R690),tblScaling[Description],0)))</f>
        <v>10000</v>
      </c>
    </row>
    <row r="691" spans="1:36" s="180" customFormat="1" ht="16.5" hidden="1" customHeight="1" thickBot="1">
      <c r="A691" s="133"/>
      <c r="B691" s="237" t="s">
        <v>70</v>
      </c>
      <c r="C691" s="57"/>
      <c r="D691" s="57"/>
      <c r="E691" s="80"/>
      <c r="F691" s="57"/>
      <c r="G691" s="57"/>
      <c r="H691" s="57"/>
      <c r="I691" s="57"/>
      <c r="J691" s="184"/>
      <c r="K691" s="116" t="s">
        <v>27</v>
      </c>
      <c r="L691" s="116" t="s">
        <v>42</v>
      </c>
      <c r="M691" s="116" t="s">
        <v>129</v>
      </c>
      <c r="N691" s="116" t="str">
        <f ca="1">SUBSTITUTE(CELL("address",K689),"$","")</f>
        <v>K689</v>
      </c>
      <c r="O691" s="116" t="s">
        <v>130</v>
      </c>
      <c r="P691" s="228" t="s">
        <v>75</v>
      </c>
      <c r="Q691" s="250" t="str">
        <f ca="1">INDEX(tblGoSubRoutineStartCell[StartCell],MATCH(B691,tblGoSubRoutineStartCell[GoSub Routine],0))</f>
        <v>K56</v>
      </c>
      <c r="R691" s="184"/>
      <c r="S691" s="178"/>
      <c r="T691" s="178"/>
      <c r="U691" s="178"/>
      <c r="V691" s="178"/>
      <c r="W691" s="178"/>
      <c r="X691" s="178"/>
      <c r="Y691" s="178"/>
      <c r="Z691" s="178"/>
      <c r="AA691" s="178"/>
      <c r="AB691" s="178"/>
      <c r="AC691" s="178"/>
      <c r="AD691" s="178"/>
      <c r="AE691" s="178"/>
      <c r="AF691" s="178"/>
      <c r="AG691" s="178"/>
      <c r="AH691" s="178"/>
      <c r="AI691" s="178"/>
      <c r="AJ691" s="178"/>
    </row>
    <row r="692" spans="1:36" s="45" customFormat="1" ht="16.5" hidden="1" customHeight="1" thickBot="1">
      <c r="A692" s="131"/>
      <c r="B692" s="244" t="s">
        <v>747</v>
      </c>
      <c r="C692" s="66"/>
      <c r="D692" s="84"/>
      <c r="E692" s="437"/>
      <c r="F692" s="113"/>
      <c r="G692" s="113"/>
      <c r="H692" s="113"/>
      <c r="I692" s="113"/>
      <c r="J692" s="184"/>
      <c r="K692" s="241" t="s">
        <v>478</v>
      </c>
      <c r="L692" s="281"/>
      <c r="M692" s="281"/>
      <c r="R692" s="177"/>
      <c r="S692" s="177"/>
      <c r="T692" s="177"/>
      <c r="U692" s="177"/>
      <c r="V692" s="177"/>
      <c r="W692" s="177"/>
      <c r="X692" s="177"/>
      <c r="Y692" s="177"/>
      <c r="Z692" s="177"/>
      <c r="AA692" s="177"/>
      <c r="AB692" s="177"/>
      <c r="AC692" s="177"/>
      <c r="AD692" s="177"/>
      <c r="AE692" s="177"/>
      <c r="AF692" s="177"/>
      <c r="AG692" s="177"/>
      <c r="AH692" s="177"/>
      <c r="AI692" s="177"/>
      <c r="AJ692" s="177"/>
    </row>
    <row r="693" spans="1:36" s="180" customFormat="1" ht="15.75" hidden="1" thickBot="1">
      <c r="A693" s="132" cm="1">
        <f t="array" ref="A693">SSATSLineNumbers(A693,0.01)</f>
        <v>4.0999999999999996</v>
      </c>
      <c r="B693" s="244" t="str">
        <f ca="1">ATE_Settings!Y84</f>
        <v>ACC Voltage Monitor Error (%)</v>
      </c>
      <c r="C693" s="66"/>
      <c r="D693" s="206"/>
      <c r="E693" s="454" t="str" cm="1">
        <f t="array" ref="E693">SSATSPercent_Error(E690,E692)</f>
        <v>[AUTO]</v>
      </c>
      <c r="F693" s="207">
        <f ca="1">P693</f>
        <v>-1</v>
      </c>
      <c r="G693" s="86">
        <f ca="1">Q693</f>
        <v>1</v>
      </c>
      <c r="H693" s="86" t="str">
        <f ca="1">R693</f>
        <v>%</v>
      </c>
      <c r="I693" s="59" t="str">
        <f>IF(E693 ="[AUTO]","TBC", IF(AND(E693&gt;=F693,E693&lt;=G693 ),"Pass","Fail"))</f>
        <v>TBC</v>
      </c>
      <c r="J693" s="184"/>
      <c r="K693" s="115" t="s">
        <v>80</v>
      </c>
      <c r="L693" s="184"/>
      <c r="M693" s="184"/>
      <c r="N693" s="184"/>
      <c r="O693" s="184"/>
      <c r="P693" s="204">
        <f ca="1">C693+(INDEX(tblProductScalesMeasures[Min],MATCH(_xlfn.CONCAT(B693),tblProductScalesMeasures[Description],0)))</f>
        <v>-1</v>
      </c>
      <c r="Q693" s="204">
        <f ca="1">C693+(INDEX(tblProductScalesMeasures[Max],MATCH(_xlfn.CONCAT(B693),tblProductScalesMeasures[Description],0)))</f>
        <v>1</v>
      </c>
      <c r="R693" s="205" t="str">
        <f ca="1">(INDEX(tblProductScalesMeasures[Unit],MATCH(_xlfn.CONCAT(B693),tblProductScalesMeasures[Description],0)))</f>
        <v>%</v>
      </c>
      <c r="S693" s="203"/>
      <c r="T693" s="205">
        <f ca="1">IF(COUNTIF(tblExempt[],R693)&gt;0,0,INDEX(tblScaling[Divider],MATCH(_xlfn.CONCAT(IF(ISNUMBER(SEARCH(" ",section_4_heading))=FALSE,SUBSTITUTE(section_4_heading," ",""),"")," ",R693),tblScaling[Description],0)))</f>
        <v>0</v>
      </c>
      <c r="U693" s="178"/>
      <c r="V693" s="178"/>
      <c r="W693" s="178"/>
      <c r="X693" s="178"/>
      <c r="Y693" s="178"/>
      <c r="Z693" s="178"/>
      <c r="AA693" s="178"/>
      <c r="AB693" s="178"/>
      <c r="AC693" s="178"/>
      <c r="AD693" s="178"/>
      <c r="AE693" s="178"/>
      <c r="AF693" s="178"/>
      <c r="AG693" s="178"/>
      <c r="AH693" s="178"/>
      <c r="AI693" s="178"/>
      <c r="AJ693" s="178"/>
    </row>
    <row r="694" spans="1:36" s="180" customFormat="1" ht="16.5" hidden="1" customHeight="1" thickBot="1">
      <c r="A694" s="133"/>
      <c r="B694" s="237" t="s">
        <v>70</v>
      </c>
      <c r="C694" s="57"/>
      <c r="D694" s="57"/>
      <c r="E694" s="80"/>
      <c r="F694" s="57"/>
      <c r="G694" s="57"/>
      <c r="H694" s="57"/>
      <c r="I694" s="57"/>
      <c r="J694" s="184"/>
      <c r="K694" s="116" t="s">
        <v>27</v>
      </c>
      <c r="L694" s="116" t="s">
        <v>42</v>
      </c>
      <c r="M694" s="116" t="s">
        <v>129</v>
      </c>
      <c r="N694" s="116" t="str">
        <f ca="1">SUBSTITUTE(CELL("address",K692),"$","")</f>
        <v>K692</v>
      </c>
      <c r="O694" s="116" t="s">
        <v>130</v>
      </c>
      <c r="P694" s="228" t="s">
        <v>75</v>
      </c>
      <c r="Q694" s="250" t="str">
        <f ca="1">INDEX(tblGoSubRoutineStartCell[StartCell],MATCH(B694,tblGoSubRoutineStartCell[GoSub Routine],0))</f>
        <v>K56</v>
      </c>
      <c r="R694" s="184"/>
      <c r="S694" s="178"/>
      <c r="T694" s="178"/>
      <c r="U694" s="178"/>
      <c r="V694" s="178"/>
      <c r="W694" s="178"/>
      <c r="X694" s="178"/>
      <c r="Y694" s="178"/>
      <c r="Z694" s="178"/>
      <c r="AA694" s="178"/>
      <c r="AB694" s="178"/>
      <c r="AC694" s="178"/>
      <c r="AD694" s="178"/>
      <c r="AE694" s="178"/>
      <c r="AF694" s="178"/>
      <c r="AG694" s="178"/>
      <c r="AH694" s="178"/>
      <c r="AI694" s="178"/>
      <c r="AJ694" s="178"/>
    </row>
    <row r="695" spans="1:36" s="380" customFormat="1" ht="17.25" hidden="1" customHeight="1">
      <c r="A695" s="399"/>
      <c r="B695" s="240" t="s">
        <v>703</v>
      </c>
      <c r="C695" s="390"/>
      <c r="D695" s="387"/>
      <c r="E695" s="387"/>
      <c r="F695" s="387"/>
      <c r="G695" s="387"/>
      <c r="H695" s="387"/>
      <c r="I695" s="387"/>
      <c r="J695" s="384"/>
      <c r="K695" s="385" t="s">
        <v>27</v>
      </c>
      <c r="L695" s="385" t="s">
        <v>98</v>
      </c>
      <c r="M695" s="385" t="s">
        <v>324</v>
      </c>
      <c r="N695" s="385" t="s">
        <v>325</v>
      </c>
      <c r="O695" s="241" t="s">
        <v>326</v>
      </c>
      <c r="P695" s="241" t="str">
        <f>ATE_Settings!AK10</f>
        <v>\\shvukfs2\Eng\FIB Series\FIB35P_734 (FEI)\Test Equipment\FIB35P_734 SSATS\Final Test\Scope_Settings\82097_Acc_HF.txt</v>
      </c>
      <c r="R695" s="384"/>
    </row>
    <row r="696" spans="1:36" s="380" customFormat="1" ht="15" hidden="1">
      <c r="A696" s="399"/>
      <c r="B696" s="246" t="s">
        <v>340</v>
      </c>
      <c r="C696" s="390">
        <v>3000</v>
      </c>
      <c r="D696" s="387"/>
      <c r="E696" s="387"/>
      <c r="F696" s="387"/>
      <c r="G696" s="387"/>
      <c r="H696" s="387"/>
      <c r="I696" s="387"/>
      <c r="J696" s="384"/>
      <c r="K696" s="385" t="s">
        <v>27</v>
      </c>
      <c r="L696" s="385" t="s">
        <v>42</v>
      </c>
      <c r="M696" s="216" t="s">
        <v>60</v>
      </c>
      <c r="N696" s="247" t="str">
        <f>B696</f>
        <v>Initialsing Scope…</v>
      </c>
      <c r="O696" s="210">
        <f>C696</f>
        <v>3000</v>
      </c>
      <c r="P696" s="384"/>
      <c r="Q696" s="384"/>
    </row>
    <row r="697" spans="1:36" s="380" customFormat="1" ht="15" hidden="1">
      <c r="A697" s="399"/>
      <c r="B697" s="240" t="s">
        <v>702</v>
      </c>
      <c r="C697" s="390"/>
      <c r="D697" s="387"/>
      <c r="E697" s="387"/>
      <c r="F697" s="387"/>
      <c r="G697" s="387"/>
      <c r="H697" s="387"/>
      <c r="I697" s="387"/>
      <c r="J697" s="384"/>
      <c r="K697" s="395" t="s">
        <v>27</v>
      </c>
      <c r="L697" s="395" t="s">
        <v>98</v>
      </c>
      <c r="M697" s="396" t="s">
        <v>156</v>
      </c>
      <c r="N697" s="396" t="s">
        <v>141</v>
      </c>
      <c r="O697" s="384" t="s">
        <v>701</v>
      </c>
      <c r="P697" s="384"/>
      <c r="Q697" s="384"/>
    </row>
    <row r="698" spans="1:36" s="380" customFormat="1" ht="15.75" hidden="1" thickBot="1">
      <c r="A698" s="399"/>
      <c r="B698" s="244" t="s">
        <v>746</v>
      </c>
      <c r="C698" s="390"/>
      <c r="D698" s="387"/>
      <c r="E698" s="456"/>
      <c r="F698" s="387"/>
      <c r="G698" s="387"/>
      <c r="H698" s="387"/>
      <c r="I698" s="387"/>
      <c r="J698" s="384"/>
      <c r="K698" s="395" t="s">
        <v>27</v>
      </c>
      <c r="L698" s="395" t="s">
        <v>98</v>
      </c>
      <c r="M698" s="396" t="s">
        <v>55</v>
      </c>
      <c r="N698" s="396" t="s">
        <v>141</v>
      </c>
      <c r="O698" s="396" t="s">
        <v>700</v>
      </c>
      <c r="P698" s="384"/>
      <c r="Q698" s="384"/>
    </row>
    <row r="699" spans="1:36" s="391" customFormat="1" ht="16.5" hidden="1" customHeight="1" thickBot="1">
      <c r="A699" s="400" cm="1">
        <f t="array" ref="A699">SSATSLineNumbers(A699,0.01)</f>
        <v>4.1100000000000003</v>
      </c>
      <c r="B699" s="244" t="str">
        <f ca="1">ATE_Settings!Y88</f>
        <v>ACC Ripple (mV pk-pk)</v>
      </c>
      <c r="C699" s="202"/>
      <c r="D699" s="402" t="s">
        <v>296</v>
      </c>
      <c r="E699" s="462" t="str">
        <f>IF(E698="","[AUTO]",E698*1000)</f>
        <v>[AUTO]</v>
      </c>
      <c r="F699" s="403">
        <f ca="1">Q699</f>
        <v>3</v>
      </c>
      <c r="G699" s="394">
        <f ca="1">R699</f>
        <v>200</v>
      </c>
      <c r="H699" s="394" t="str">
        <f ca="1">S699</f>
        <v>mV pk-pk</v>
      </c>
      <c r="I699" s="388" t="str">
        <f>IF(E699 ="[AUTO]","TBC", IF(AND(E699&gt;=F699,E699&lt;=G699 ),"Pass","Fail"))</f>
        <v>TBC</v>
      </c>
      <c r="J699" s="384"/>
      <c r="K699" s="391" t="s">
        <v>80</v>
      </c>
      <c r="P699" s="226"/>
      <c r="Q699" s="245">
        <f ca="1">C699+(INDEX(tblProductScalesMeasures[Min],MATCH(_xlfn.CONCAT(B699),tblProductScalesMeasures[Description],0)))</f>
        <v>3</v>
      </c>
      <c r="R699" s="245">
        <f ca="1">C699+(INDEX(tblProductScalesMeasures[Max],MATCH(_xlfn.CONCAT(B699),tblProductScalesMeasures[Description],0)))</f>
        <v>200</v>
      </c>
      <c r="S699" s="245" t="str">
        <f ca="1">(INDEX(tblProductScalesMeasures[Unit],MATCH(_xlfn.CONCAT(B699),tblProductScalesMeasures[Description],0)))</f>
        <v>mV pk-pk</v>
      </c>
      <c r="V699" s="381"/>
      <c r="W699" s="245" t="e">
        <f>IF(COUNTIF(tblExempt[],T699)&gt;0,0,INDEX(tblScaling[Divider],MATCH(_xlfn.CONCAT(IF(ISNUMBER(SEARCH(" ",section_2_heading))=TRUE,SUBSTITUTE(section_2_heading," ",""),"")," ",T699),tblScaling[Description],0)))</f>
        <v>#N/A</v>
      </c>
      <c r="X699" s="382"/>
      <c r="Y699" s="382"/>
      <c r="Z699" s="382"/>
      <c r="AA699" s="382"/>
      <c r="AB699" s="382"/>
      <c r="AC699" s="382"/>
      <c r="AD699" s="382"/>
      <c r="AE699" s="382"/>
      <c r="AF699" s="382"/>
      <c r="AG699" s="382"/>
      <c r="AH699" s="382"/>
      <c r="AI699" s="382"/>
      <c r="AJ699" s="382"/>
    </row>
    <row r="700" spans="1:36" s="391" customFormat="1" ht="16.5" hidden="1" customHeight="1" thickBot="1">
      <c r="A700" s="401"/>
      <c r="B700" s="398" t="s">
        <v>70</v>
      </c>
      <c r="C700" s="386"/>
      <c r="D700" s="386"/>
      <c r="E700" s="392"/>
      <c r="F700" s="386"/>
      <c r="G700" s="386"/>
      <c r="H700" s="386"/>
      <c r="I700" s="386"/>
      <c r="J700" s="384"/>
      <c r="K700" s="397" t="s">
        <v>27</v>
      </c>
      <c r="L700" s="397" t="s">
        <v>42</v>
      </c>
      <c r="M700" s="397" t="s">
        <v>129</v>
      </c>
      <c r="N700" s="397" t="str">
        <f ca="1">SUBSTITUTE(CELL("address",K695),"$","")</f>
        <v>K695</v>
      </c>
      <c r="O700" s="397" t="s">
        <v>130</v>
      </c>
      <c r="P700" s="228" t="s">
        <v>75</v>
      </c>
      <c r="Q700" s="250" t="str">
        <f ca="1">INDEX(tblGoSubRoutineStartCell[StartCell],MATCH(B700,tblGoSubRoutineStartCell[GoSub Routine],0))</f>
        <v>K56</v>
      </c>
      <c r="R700" s="384"/>
      <c r="S700" s="382"/>
      <c r="T700" s="382"/>
      <c r="V700" s="382"/>
      <c r="W700" s="382"/>
      <c r="X700" s="382"/>
      <c r="Y700" s="382"/>
      <c r="Z700" s="382"/>
      <c r="AA700" s="382"/>
      <c r="AB700" s="382"/>
      <c r="AC700" s="382"/>
      <c r="AD700" s="382"/>
      <c r="AE700" s="382"/>
      <c r="AF700" s="382"/>
      <c r="AG700" s="382"/>
      <c r="AH700" s="382"/>
      <c r="AI700" s="382"/>
      <c r="AJ700" s="382"/>
    </row>
    <row r="701" spans="1:36" s="380" customFormat="1" ht="17.25" hidden="1" customHeight="1">
      <c r="A701" s="399"/>
      <c r="B701" s="240" t="s">
        <v>704</v>
      </c>
      <c r="C701" s="390"/>
      <c r="D701" s="387"/>
      <c r="E701" s="387"/>
      <c r="F701" s="387"/>
      <c r="G701" s="387"/>
      <c r="H701" s="387"/>
      <c r="I701" s="387"/>
      <c r="J701" s="384"/>
      <c r="K701" s="385" t="s">
        <v>27</v>
      </c>
      <c r="L701" s="385" t="s">
        <v>98</v>
      </c>
      <c r="M701" s="385" t="s">
        <v>324</v>
      </c>
      <c r="N701" s="385" t="s">
        <v>325</v>
      </c>
      <c r="O701" s="241" t="s">
        <v>326</v>
      </c>
      <c r="P701" s="241" t="str">
        <f>ATE_Settings!AK11</f>
        <v>\\shvukfs2\Eng\FIB Series\FIB35P_734 (FEI)\Test Equipment\FIB35P_734 SSATS\Final Test\Scope_Settings\82097_Acc_LF.txt</v>
      </c>
      <c r="Q701" s="384"/>
    </row>
    <row r="702" spans="1:36" s="380" customFormat="1" ht="15" hidden="1">
      <c r="A702" s="399"/>
      <c r="B702" s="246" t="s">
        <v>340</v>
      </c>
      <c r="C702" s="390">
        <v>7000</v>
      </c>
      <c r="D702" s="387"/>
      <c r="E702" s="387"/>
      <c r="F702" s="387"/>
      <c r="G702" s="387"/>
      <c r="H702" s="387"/>
      <c r="I702" s="387"/>
      <c r="J702" s="384"/>
      <c r="K702" s="385" t="s">
        <v>27</v>
      </c>
      <c r="L702" s="385" t="s">
        <v>42</v>
      </c>
      <c r="M702" s="216" t="s">
        <v>60</v>
      </c>
      <c r="N702" s="247" t="str">
        <f>B702</f>
        <v>Initialsing Scope…</v>
      </c>
      <c r="O702" s="210">
        <f>C702</f>
        <v>7000</v>
      </c>
      <c r="P702" s="384"/>
      <c r="Q702" s="384"/>
    </row>
    <row r="703" spans="1:36" s="380" customFormat="1" ht="15" hidden="1">
      <c r="A703" s="399"/>
      <c r="B703" s="240" t="s">
        <v>702</v>
      </c>
      <c r="C703" s="390"/>
      <c r="D703" s="387"/>
      <c r="E703" s="387"/>
      <c r="F703" s="387"/>
      <c r="G703" s="387"/>
      <c r="H703" s="387"/>
      <c r="I703" s="387"/>
      <c r="J703" s="384"/>
      <c r="K703" s="395" t="s">
        <v>27</v>
      </c>
      <c r="L703" s="395" t="s">
        <v>98</v>
      </c>
      <c r="M703" s="396" t="s">
        <v>156</v>
      </c>
      <c r="N703" s="396" t="s">
        <v>141</v>
      </c>
      <c r="O703" s="384" t="s">
        <v>701</v>
      </c>
      <c r="P703" s="384"/>
      <c r="Q703" s="384"/>
    </row>
    <row r="704" spans="1:36" s="380" customFormat="1" ht="15.75" hidden="1" thickBot="1">
      <c r="A704" s="399"/>
      <c r="B704" s="244" t="s">
        <v>746</v>
      </c>
      <c r="C704" s="390"/>
      <c r="D704" s="387"/>
      <c r="E704" s="456"/>
      <c r="F704" s="387"/>
      <c r="G704" s="387"/>
      <c r="H704" s="387"/>
      <c r="I704" s="387"/>
      <c r="J704" s="384"/>
      <c r="K704" s="395" t="s">
        <v>27</v>
      </c>
      <c r="L704" s="395" t="s">
        <v>98</v>
      </c>
      <c r="M704" s="396" t="s">
        <v>55</v>
      </c>
      <c r="N704" s="396" t="s">
        <v>141</v>
      </c>
      <c r="O704" s="396" t="s">
        <v>700</v>
      </c>
      <c r="P704" s="384"/>
      <c r="Q704" s="384"/>
    </row>
    <row r="705" spans="1:36" s="391" customFormat="1" ht="16.5" hidden="1" customHeight="1" thickBot="1">
      <c r="A705" s="400" cm="1">
        <f t="array" ref="A705">SSATSLineNumbers(A705,0.01)</f>
        <v>4.12</v>
      </c>
      <c r="B705" s="244" t="str">
        <f ca="1">B699</f>
        <v>ACC Ripple (mV pk-pk)</v>
      </c>
      <c r="C705" s="202"/>
      <c r="D705" s="402" t="s">
        <v>362</v>
      </c>
      <c r="E705" s="462" t="str">
        <f>IF(E704="","[AUTO]",E704*1000)</f>
        <v>[AUTO]</v>
      </c>
      <c r="F705" s="403">
        <f ca="1">Q705</f>
        <v>3</v>
      </c>
      <c r="G705" s="394">
        <f ca="1">R705</f>
        <v>200</v>
      </c>
      <c r="H705" s="394" t="str">
        <f ca="1">S705</f>
        <v>mV pk-pk</v>
      </c>
      <c r="I705" s="388" t="str">
        <f>IF(E705 ="[AUTO]","TBC", IF(AND(E705&gt;=F705,E705&lt;=G705 ),"Pass","Fail"))</f>
        <v>TBC</v>
      </c>
      <c r="J705" s="384"/>
      <c r="K705" s="417" t="s">
        <v>80</v>
      </c>
      <c r="P705" s="275"/>
      <c r="Q705" s="245">
        <f ca="1">C705+(INDEX(tblProductScalesMeasures[Min],MATCH(_xlfn.CONCAT(B705),tblProductScalesMeasures[Description],0)))</f>
        <v>3</v>
      </c>
      <c r="R705" s="245">
        <f ca="1">C705+(INDEX(tblProductScalesMeasures[Max],MATCH(_xlfn.CONCAT(B705),tblProductScalesMeasures[Description],0)))</f>
        <v>200</v>
      </c>
      <c r="S705" s="245" t="str">
        <f ca="1">(INDEX(tblProductScalesMeasures[Unit],MATCH(_xlfn.CONCAT(B705),tblProductScalesMeasures[Description],0)))</f>
        <v>mV pk-pk</v>
      </c>
      <c r="V705" s="381"/>
      <c r="W705" s="245" t="e">
        <f>IF(COUNTIF(tblExempt[],T705)&gt;0,0,INDEX(tblScaling[Divider],MATCH(_xlfn.CONCAT(IF(ISNUMBER(SEARCH(" ",section_2_heading))=TRUE,SUBSTITUTE(section_2_heading," ",""),"")," ",T705),tblScaling[Description],0)))</f>
        <v>#N/A</v>
      </c>
      <c r="X705" s="382"/>
      <c r="Y705" s="382"/>
      <c r="Z705" s="382"/>
      <c r="AA705" s="382"/>
      <c r="AB705" s="382"/>
      <c r="AC705" s="382"/>
      <c r="AD705" s="382"/>
      <c r="AE705" s="382"/>
      <c r="AF705" s="382"/>
      <c r="AG705" s="382"/>
      <c r="AH705" s="382"/>
      <c r="AI705" s="382"/>
      <c r="AJ705" s="382"/>
    </row>
    <row r="706" spans="1:36" s="391" customFormat="1" ht="16.5" hidden="1" customHeight="1" thickBot="1">
      <c r="A706" s="401"/>
      <c r="B706" s="398" t="s">
        <v>70</v>
      </c>
      <c r="C706" s="386"/>
      <c r="D706" s="386"/>
      <c r="E706" s="392"/>
      <c r="F706" s="386"/>
      <c r="G706" s="386"/>
      <c r="H706" s="386"/>
      <c r="I706" s="386"/>
      <c r="J706" s="384"/>
      <c r="K706" s="397" t="s">
        <v>27</v>
      </c>
      <c r="L706" s="397" t="s">
        <v>42</v>
      </c>
      <c r="M706" s="397" t="s">
        <v>129</v>
      </c>
      <c r="N706" s="397" t="str">
        <f ca="1">SUBSTITUTE(CELL("address",K701),"$","")</f>
        <v>K701</v>
      </c>
      <c r="O706" s="397" t="s">
        <v>130</v>
      </c>
      <c r="P706" s="228" t="s">
        <v>75</v>
      </c>
      <c r="Q706" s="250" t="str">
        <f ca="1">INDEX(tblGoSubRoutineStartCell[StartCell],MATCH(B706,tblGoSubRoutineStartCell[GoSub Routine],0))</f>
        <v>K56</v>
      </c>
      <c r="R706" s="384"/>
      <c r="S706" s="382"/>
      <c r="T706" s="382"/>
      <c r="V706" s="382"/>
      <c r="W706" s="382"/>
      <c r="X706" s="382"/>
      <c r="Y706" s="382"/>
      <c r="Z706" s="382"/>
      <c r="AA706" s="382"/>
      <c r="AB706" s="382"/>
      <c r="AC706" s="382"/>
      <c r="AD706" s="382"/>
      <c r="AE706" s="382"/>
      <c r="AF706" s="382"/>
      <c r="AG706" s="382"/>
      <c r="AH706" s="382"/>
      <c r="AI706" s="382"/>
      <c r="AJ706" s="382"/>
    </row>
    <row r="707" spans="1:36" s="175" customFormat="1" ht="15" hidden="1">
      <c r="A707" s="130"/>
      <c r="B707" s="240" t="s">
        <v>465</v>
      </c>
      <c r="C707" s="78">
        <v>0</v>
      </c>
      <c r="D707" s="58"/>
      <c r="E707" s="58"/>
      <c r="F707" s="58"/>
      <c r="G707" s="58"/>
      <c r="H707" s="58"/>
      <c r="I707" s="58"/>
      <c r="J707" s="184"/>
      <c r="K707" s="241" t="str">
        <f>_xlfn.CONCAT("734|GND|OUT1|FLT(",C707,")")</f>
        <v>734|GND|OUT1|FLT(0)</v>
      </c>
      <c r="L707" s="334"/>
      <c r="M707" s="334"/>
      <c r="N707" s="334"/>
      <c r="O707" s="241"/>
      <c r="P707" s="241"/>
      <c r="Q707" s="184"/>
    </row>
    <row r="708" spans="1:36" s="175" customFormat="1" ht="15" hidden="1">
      <c r="A708" s="130"/>
      <c r="B708" s="246" t="s">
        <v>594</v>
      </c>
      <c r="C708" s="78">
        <v>45000</v>
      </c>
      <c r="D708" s="58"/>
      <c r="E708" s="58"/>
      <c r="F708" s="58"/>
      <c r="G708" s="58"/>
      <c r="H708" s="58"/>
      <c r="I708" s="58"/>
      <c r="J708" s="184"/>
      <c r="K708" s="334" t="s">
        <v>27</v>
      </c>
      <c r="L708" s="334" t="s">
        <v>42</v>
      </c>
      <c r="M708" s="216" t="s">
        <v>60</v>
      </c>
      <c r="N708" s="247" t="str">
        <f>B708</f>
        <v>RAMPING DOWN DO NOT SKIP</v>
      </c>
      <c r="O708" s="210">
        <f>C708</f>
        <v>45000</v>
      </c>
      <c r="P708" s="184"/>
      <c r="Q708" s="184"/>
    </row>
    <row r="709" spans="1:36" s="175" customFormat="1" ht="15" hidden="1">
      <c r="A709" s="130"/>
      <c r="B709" s="240" t="s">
        <v>552</v>
      </c>
      <c r="C709" s="78">
        <v>0</v>
      </c>
      <c r="D709" s="58"/>
      <c r="E709" s="58"/>
      <c r="F709" s="58"/>
      <c r="G709" s="58"/>
      <c r="H709" s="58"/>
      <c r="I709" s="58"/>
      <c r="J709" s="184"/>
      <c r="K709" s="241" t="str">
        <f>IF(I716="Fail",_xlfn.CONCAT("734|GND|REG1|DEC(",C709,")"),"!")</f>
        <v>!</v>
      </c>
      <c r="L709" s="334"/>
      <c r="M709" s="334"/>
      <c r="N709" s="334"/>
      <c r="O709" s="241"/>
      <c r="P709" s="241"/>
      <c r="Q709" s="184"/>
    </row>
    <row r="710" spans="1:36" s="175" customFormat="1" ht="15" hidden="1">
      <c r="A710" s="130"/>
      <c r="B710" s="240" t="s">
        <v>343</v>
      </c>
      <c r="C710" s="78"/>
      <c r="D710" s="58"/>
      <c r="E710" s="58"/>
      <c r="F710" s="58"/>
      <c r="G710" s="58"/>
      <c r="H710" s="58"/>
      <c r="I710" s="58"/>
      <c r="J710" s="184"/>
      <c r="K710" s="334" t="str">
        <f>IF(I716="Fail","TEX","!")</f>
        <v>!</v>
      </c>
      <c r="L710" s="334" t="s">
        <v>313</v>
      </c>
      <c r="M710" s="334" t="s">
        <v>91</v>
      </c>
      <c r="N710" s="334" t="s">
        <v>315</v>
      </c>
      <c r="O710" s="241" t="s">
        <v>316</v>
      </c>
      <c r="P710" s="241" t="s">
        <v>312</v>
      </c>
      <c r="Q710" s="184"/>
    </row>
    <row r="711" spans="1:36" s="180" customFormat="1" ht="15.75" hidden="1" thickBot="1">
      <c r="A711" s="130"/>
      <c r="B711" s="84"/>
      <c r="C711" s="78"/>
      <c r="D711" s="58"/>
      <c r="E711" s="58"/>
      <c r="F711" s="58"/>
      <c r="G711" s="58"/>
      <c r="H711" s="58"/>
      <c r="I711" s="58"/>
      <c r="J711" s="184"/>
      <c r="K711" s="281" t="s">
        <v>80</v>
      </c>
      <c r="L711" s="184"/>
      <c r="M711" s="184"/>
      <c r="N711" s="184"/>
      <c r="O711" s="184"/>
      <c r="R711" s="178"/>
      <c r="S711" s="178"/>
      <c r="T711" s="178"/>
      <c r="U711" s="178"/>
      <c r="V711" s="178"/>
      <c r="W711" s="178"/>
      <c r="X711" s="178"/>
      <c r="Y711" s="178"/>
      <c r="Z711" s="178"/>
      <c r="AA711" s="178"/>
      <c r="AB711" s="178"/>
      <c r="AC711" s="178"/>
      <c r="AD711" s="178"/>
      <c r="AE711" s="178"/>
      <c r="AF711" s="178"/>
      <c r="AG711" s="178"/>
      <c r="AH711" s="178"/>
      <c r="AI711" s="178"/>
      <c r="AJ711" s="178"/>
    </row>
    <row r="712" spans="1:36" s="175" customFormat="1" ht="20.25" hidden="1" customHeight="1" thickBot="1">
      <c r="A712" s="282"/>
      <c r="B712" s="283"/>
      <c r="C712" s="283"/>
      <c r="D712" s="287" t="s">
        <v>147</v>
      </c>
      <c r="E712" s="283"/>
      <c r="F712" s="283"/>
      <c r="G712" s="283"/>
      <c r="H712" s="283"/>
      <c r="I712" s="284"/>
      <c r="J712" s="184"/>
      <c r="K712" s="89" t="s">
        <v>80</v>
      </c>
      <c r="L712" s="184"/>
      <c r="M712" s="184"/>
      <c r="N712" s="184"/>
      <c r="O712" s="184"/>
      <c r="P712" s="184"/>
      <c r="Q712" s="184"/>
    </row>
    <row r="713" spans="1:36" s="180" customFormat="1" ht="15.75" hidden="1" thickBot="1">
      <c r="A713" s="130"/>
      <c r="B713" s="84"/>
      <c r="C713" s="78"/>
      <c r="D713" s="58"/>
      <c r="E713" s="58"/>
      <c r="F713" s="58"/>
      <c r="G713" s="58"/>
      <c r="H713" s="58"/>
      <c r="I713" s="58"/>
      <c r="J713" s="184"/>
      <c r="K713" s="281" t="s">
        <v>80</v>
      </c>
      <c r="L713" s="184"/>
      <c r="M713" s="184"/>
      <c r="N713" s="184"/>
      <c r="O713" s="184"/>
      <c r="R713" s="178"/>
      <c r="S713" s="178"/>
      <c r="T713" s="178"/>
      <c r="U713" s="178"/>
      <c r="V713" s="178"/>
      <c r="W713" s="178"/>
      <c r="X713" s="178"/>
      <c r="Y713" s="178"/>
      <c r="Z713" s="178"/>
      <c r="AA713" s="178"/>
      <c r="AB713" s="178"/>
      <c r="AC713" s="178"/>
      <c r="AD713" s="178"/>
      <c r="AE713" s="178"/>
      <c r="AF713" s="178"/>
      <c r="AG713" s="178"/>
      <c r="AH713" s="178"/>
      <c r="AI713" s="178"/>
      <c r="AJ713" s="178"/>
    </row>
    <row r="714" spans="1:36" s="175" customFormat="1" ht="15.75" hidden="1" thickBot="1">
      <c r="A714" s="130"/>
      <c r="B714" s="280" t="s">
        <v>188</v>
      </c>
      <c r="C714" s="58"/>
      <c r="D714" s="58"/>
      <c r="E714" s="58"/>
      <c r="F714" s="58"/>
      <c r="G714" s="58"/>
      <c r="H714" s="58"/>
      <c r="I714" s="58"/>
      <c r="J714" s="184"/>
      <c r="K714" s="289" t="s">
        <v>77</v>
      </c>
      <c r="L714" s="281" t="s">
        <v>75</v>
      </c>
      <c r="M714" s="238" t="str">
        <f ca="1">INDEX(tblGoSubRoutineStartCell[StartCell],MATCH(B714,tblGoSubRoutineStartCell[GoSub Routine],0))</f>
        <v>K121</v>
      </c>
      <c r="N714" s="184"/>
      <c r="O714" s="184"/>
      <c r="P714" s="184"/>
      <c r="Q714" s="184"/>
    </row>
    <row r="715" spans="1:36" s="175" customFormat="1" ht="15" hidden="1">
      <c r="A715" s="130"/>
      <c r="B715" s="240" t="s">
        <v>463</v>
      </c>
      <c r="C715" s="78">
        <v>1</v>
      </c>
      <c r="D715" s="58"/>
      <c r="E715" s="58"/>
      <c r="F715" s="58"/>
      <c r="G715" s="58"/>
      <c r="H715" s="58"/>
      <c r="I715" s="58"/>
      <c r="J715" s="184"/>
      <c r="K715" s="241" t="s">
        <v>590</v>
      </c>
      <c r="L715" s="281"/>
      <c r="M715" s="281"/>
      <c r="N715" s="281"/>
      <c r="O715" s="241"/>
      <c r="P715" s="241"/>
      <c r="Q715" s="184"/>
    </row>
    <row r="716" spans="1:36" s="175" customFormat="1" ht="15" hidden="1">
      <c r="A716" s="130"/>
      <c r="B716" s="240" t="s">
        <v>343</v>
      </c>
      <c r="C716" s="78"/>
      <c r="D716" s="58"/>
      <c r="E716" s="58"/>
      <c r="F716" s="58"/>
      <c r="G716" s="58"/>
      <c r="H716" s="58"/>
      <c r="I716" s="58"/>
      <c r="J716" s="184"/>
      <c r="K716" s="281" t="s">
        <v>27</v>
      </c>
      <c r="L716" s="281" t="s">
        <v>313</v>
      </c>
      <c r="M716" s="281" t="s">
        <v>91</v>
      </c>
      <c r="N716" s="281" t="s">
        <v>315</v>
      </c>
      <c r="O716" s="241" t="s">
        <v>316</v>
      </c>
      <c r="P716" s="241" t="s">
        <v>312</v>
      </c>
      <c r="Q716" s="184"/>
    </row>
    <row r="717" spans="1:36" s="175" customFormat="1" ht="15" hidden="1">
      <c r="A717" s="130"/>
      <c r="B717" s="240" t="s">
        <v>476</v>
      </c>
      <c r="C717" s="78">
        <v>6</v>
      </c>
      <c r="D717" s="58"/>
      <c r="E717" s="58"/>
      <c r="F717" s="58"/>
      <c r="G717" s="58"/>
      <c r="H717" s="58"/>
      <c r="I717" s="58"/>
      <c r="J717" s="184"/>
      <c r="K717" s="289" t="s">
        <v>27</v>
      </c>
      <c r="L717" s="281" t="s">
        <v>313</v>
      </c>
      <c r="M717" s="281" t="s">
        <v>32</v>
      </c>
      <c r="N717" s="281" t="s">
        <v>315</v>
      </c>
      <c r="O717" s="241">
        <f>C717</f>
        <v>6</v>
      </c>
      <c r="P717" s="241"/>
      <c r="Q717" s="184"/>
    </row>
    <row r="718" spans="1:36" s="175" customFormat="1" ht="15" hidden="1">
      <c r="A718" s="130"/>
      <c r="B718" s="240" t="s">
        <v>477</v>
      </c>
      <c r="C718" s="78">
        <v>34550</v>
      </c>
      <c r="D718" s="58"/>
      <c r="E718" s="58"/>
      <c r="F718" s="58"/>
      <c r="G718" s="58"/>
      <c r="H718" s="58"/>
      <c r="I718" s="58"/>
      <c r="J718" s="184"/>
      <c r="K718" s="241" t="s">
        <v>591</v>
      </c>
      <c r="L718" s="281"/>
      <c r="M718" s="281"/>
      <c r="N718" s="281"/>
      <c r="O718" s="241"/>
      <c r="P718" s="241"/>
      <c r="Q718" s="184"/>
    </row>
    <row r="719" spans="1:36" s="175" customFormat="1" ht="15" hidden="1">
      <c r="A719" s="130"/>
      <c r="B719" s="249" t="s">
        <v>466</v>
      </c>
      <c r="C719" s="78">
        <v>45000</v>
      </c>
      <c r="D719" s="58"/>
      <c r="E719" s="58"/>
      <c r="F719" s="58"/>
      <c r="G719" s="58"/>
      <c r="H719" s="58"/>
      <c r="I719" s="58"/>
      <c r="J719" s="184"/>
      <c r="K719" s="281" t="s">
        <v>27</v>
      </c>
      <c r="L719" s="281" t="s">
        <v>42</v>
      </c>
      <c r="M719" s="216" t="s">
        <v>60</v>
      </c>
      <c r="N719" s="247" t="str">
        <f>B719</f>
        <v>Accelerator Initialising…</v>
      </c>
      <c r="O719" s="210">
        <f>C719</f>
        <v>45000</v>
      </c>
      <c r="P719" s="184"/>
      <c r="Q719" s="184"/>
    </row>
    <row r="720" spans="1:36" s="175" customFormat="1" ht="15.75" hidden="1" thickBot="1">
      <c r="A720" s="130"/>
      <c r="B720" s="240" t="s">
        <v>471</v>
      </c>
      <c r="C720" s="78">
        <v>3</v>
      </c>
      <c r="D720" s="58"/>
      <c r="E720" s="455"/>
      <c r="F720" s="58"/>
      <c r="G720" s="58"/>
      <c r="H720" s="58"/>
      <c r="I720" s="58"/>
      <c r="J720" s="184"/>
      <c r="K720" s="288" t="s">
        <v>27</v>
      </c>
      <c r="L720" s="288" t="s">
        <v>318</v>
      </c>
      <c r="M720" s="288" t="s">
        <v>55</v>
      </c>
      <c r="N720" s="288" t="s">
        <v>33</v>
      </c>
      <c r="O720" s="241">
        <f>C720</f>
        <v>3</v>
      </c>
      <c r="P720" s="241"/>
      <c r="Q720" s="184"/>
    </row>
    <row r="721" spans="1:36" s="175" customFormat="1" ht="15" hidden="1" customHeight="1" thickBot="1">
      <c r="A721" s="132" cm="1">
        <f t="array" ref="A721">SSATSLineNumbers(A721,0.01)</f>
        <v>4.13</v>
      </c>
      <c r="B721" s="244" t="s">
        <v>744</v>
      </c>
      <c r="C721" s="66">
        <v>34550</v>
      </c>
      <c r="D721" s="84"/>
      <c r="E721" s="457" t="str">
        <f>IF(E720="","[AUTO]",E720*T721)</f>
        <v>[AUTO]</v>
      </c>
      <c r="F721" s="86">
        <f t="shared" ref="F721:H721" ca="1" si="11">P721</f>
        <v>34450</v>
      </c>
      <c r="G721" s="86">
        <f t="shared" ca="1" si="11"/>
        <v>34650</v>
      </c>
      <c r="H721" s="86" t="str">
        <f t="shared" ca="1" si="11"/>
        <v>V</v>
      </c>
      <c r="I721" s="59" t="str">
        <f>IF(E721 ="[AUTO]","TBC", IF(AND(E721&gt;=F721,E721&lt;=G721 ),"Pass","Fail"))</f>
        <v>TBC</v>
      </c>
      <c r="J721" s="184"/>
      <c r="K721" s="281" t="s">
        <v>80</v>
      </c>
      <c r="L721" s="184"/>
      <c r="M721" s="184"/>
      <c r="N721" s="184"/>
      <c r="O721" s="184"/>
      <c r="P721" s="245">
        <f ca="1">C721+(INDEX(tblProductScalesMeasures[Min],MATCH(_xlfn.CONCAT(B721),tblProductScalesMeasures[Description],0)))</f>
        <v>34450</v>
      </c>
      <c r="Q721" s="245">
        <f ca="1">C721+(INDEX(tblProductScalesMeasures[Max],MATCH(_xlfn.CONCAT(B721),tblProductScalesMeasures[Description],0)))</f>
        <v>34650</v>
      </c>
      <c r="R721" s="245" t="str">
        <f ca="1">(INDEX(tblProductScalesMeasures[Unit],MATCH(_xlfn.CONCAT(B721),tblProductScalesMeasures[Description],0)))</f>
        <v>V</v>
      </c>
      <c r="S721" s="177"/>
      <c r="T721" s="245">
        <f ca="1">IF(COUNTIF(tblExempt[],R721)&gt;0,0,INDEX(tblScaling[Divider],MATCH(_xlfn.CONCAT(IF(ISNUMBER(SEARCH(" ",section_3_heading))=TRUE,SUBSTITUTE(section_3_heading," ",""),"")," ",R721),tblScaling[Description],0)))</f>
        <v>10000</v>
      </c>
    </row>
    <row r="722" spans="1:36" s="175" customFormat="1" ht="15" hidden="1">
      <c r="A722" s="130"/>
      <c r="B722" s="240" t="s">
        <v>343</v>
      </c>
      <c r="C722" s="78"/>
      <c r="D722" s="58"/>
      <c r="E722" s="58"/>
      <c r="F722" s="58"/>
      <c r="G722" s="58"/>
      <c r="H722" s="58"/>
      <c r="I722" s="58"/>
      <c r="J722" s="184"/>
      <c r="K722" s="281" t="s">
        <v>27</v>
      </c>
      <c r="L722" s="281" t="s">
        <v>313</v>
      </c>
      <c r="M722" s="281" t="s">
        <v>91</v>
      </c>
      <c r="N722" s="281" t="s">
        <v>315</v>
      </c>
      <c r="O722" s="241" t="s">
        <v>316</v>
      </c>
      <c r="P722" s="241" t="s">
        <v>312</v>
      </c>
      <c r="Q722" s="184"/>
    </row>
    <row r="723" spans="1:36" s="175" customFormat="1" ht="15" hidden="1">
      <c r="A723" s="130"/>
      <c r="B723" s="249" t="s">
        <v>589</v>
      </c>
      <c r="C723" s="78">
        <v>5000</v>
      </c>
      <c r="D723" s="58"/>
      <c r="E723" s="58"/>
      <c r="F723" s="58"/>
      <c r="G723" s="58"/>
      <c r="H723" s="58"/>
      <c r="I723" s="58"/>
      <c r="J723" s="184"/>
      <c r="K723" s="281" t="s">
        <v>27</v>
      </c>
      <c r="L723" s="281" t="s">
        <v>42</v>
      </c>
      <c r="M723" s="216" t="s">
        <v>60</v>
      </c>
      <c r="N723" s="247" t="str">
        <f>B723</f>
        <v>Going Off Load…</v>
      </c>
      <c r="O723" s="210">
        <f>C723</f>
        <v>5000</v>
      </c>
      <c r="P723" s="184"/>
      <c r="Q723" s="184"/>
    </row>
    <row r="724" spans="1:36" s="175" customFormat="1" ht="15.75" hidden="1" thickBot="1">
      <c r="A724" s="130"/>
      <c r="B724" s="240" t="s">
        <v>471</v>
      </c>
      <c r="C724" s="78">
        <v>3</v>
      </c>
      <c r="D724" s="58"/>
      <c r="E724" s="455"/>
      <c r="F724" s="58"/>
      <c r="G724" s="58"/>
      <c r="H724" s="58"/>
      <c r="I724" s="58"/>
      <c r="J724" s="184"/>
      <c r="K724" s="288" t="s">
        <v>27</v>
      </c>
      <c r="L724" s="288" t="s">
        <v>318</v>
      </c>
      <c r="M724" s="288" t="s">
        <v>55</v>
      </c>
      <c r="N724" s="288" t="s">
        <v>33</v>
      </c>
      <c r="O724" s="241">
        <f>C724</f>
        <v>3</v>
      </c>
      <c r="P724" s="241"/>
      <c r="Q724" s="184"/>
    </row>
    <row r="725" spans="1:36" s="175" customFormat="1" ht="15" hidden="1" customHeight="1" thickBot="1">
      <c r="A725" s="132" cm="1">
        <f t="array" ref="A725">SSATSLineNumbers(A725,0.01)</f>
        <v>4.1399999999999997</v>
      </c>
      <c r="B725" s="244" t="s">
        <v>744</v>
      </c>
      <c r="C725" s="78">
        <v>34550</v>
      </c>
      <c r="D725" s="84"/>
      <c r="E725" s="457" t="str">
        <f>IF(E724="","[AUTO]",E724*T725)</f>
        <v>[AUTO]</v>
      </c>
      <c r="F725" s="86">
        <f t="shared" ref="F725:H726" ca="1" si="12">P725</f>
        <v>34450</v>
      </c>
      <c r="G725" s="86">
        <f t="shared" ca="1" si="12"/>
        <v>34650</v>
      </c>
      <c r="H725" s="86" t="str">
        <f t="shared" ca="1" si="12"/>
        <v>V</v>
      </c>
      <c r="I725" s="59" t="str">
        <f>IF(E725 ="[AUTO]","TBC", IF(AND(E725&gt;=F725,E725&lt;=G725 ),"Pass","Fail"))</f>
        <v>TBC</v>
      </c>
      <c r="J725" s="184"/>
      <c r="K725" s="281" t="s">
        <v>80</v>
      </c>
      <c r="P725" s="245">
        <f ca="1">C725+(INDEX(tblProductScalesMeasures[Min],MATCH(_xlfn.CONCAT(B725),tblProductScalesMeasures[Description],0)))</f>
        <v>34450</v>
      </c>
      <c r="Q725" s="245">
        <f ca="1">C725+(INDEX(tblProductScalesMeasures[Max],MATCH(_xlfn.CONCAT(B725),tblProductScalesMeasures[Description],0)))</f>
        <v>34650</v>
      </c>
      <c r="R725" s="245" t="str">
        <f ca="1">(INDEX(tblProductScalesMeasures[Unit],MATCH(_xlfn.CONCAT(B725),tblProductScalesMeasures[Description],0)))</f>
        <v>V</v>
      </c>
      <c r="S725" s="177"/>
      <c r="T725" s="245">
        <f ca="1">IF(COUNTIF(tblExempt[],R725)&gt;0,0,INDEX(tblScaling[Divider],MATCH(_xlfn.CONCAT(IF(ISNUMBER(SEARCH(" ",section_3_heading))=TRUE,SUBSTITUTE(section_3_heading," ",""),"")," ",R725),tblScaling[Description],0)))</f>
        <v>10000</v>
      </c>
    </row>
    <row r="726" spans="1:36" s="45" customFormat="1" ht="16.5" hidden="1" customHeight="1" thickBot="1">
      <c r="A726" s="132" cm="1">
        <f t="array" ref="A726">SSATSLineNumbers(A726,0.01)</f>
        <v>4.1500000000000004</v>
      </c>
      <c r="B726" s="244" t="str">
        <f ca="1">ATE_Settings!Y87</f>
        <v>ACC Load Regulation (V)</v>
      </c>
      <c r="C726" s="243"/>
      <c r="D726" s="84"/>
      <c r="E726" s="457" t="str">
        <f>IF(OR(E721="[AUTO]",E725="[AUTO]")=TRUE,"[AUTO]",E725-E721)</f>
        <v>[AUTO]</v>
      </c>
      <c r="F726" s="86">
        <f t="shared" ca="1" si="12"/>
        <v>-3.5</v>
      </c>
      <c r="G726" s="86">
        <f t="shared" ca="1" si="12"/>
        <v>3.5</v>
      </c>
      <c r="H726" s="86" t="str">
        <f t="shared" ca="1" si="12"/>
        <v>V</v>
      </c>
      <c r="I726" s="59" t="str">
        <f>IF(E726 ="[AUTO]","TBC", IF(AND(E726&gt;=F726,E726&lt;=G726 ),"Pass","Fail"))</f>
        <v>TBC</v>
      </c>
      <c r="J726" s="184"/>
      <c r="K726" s="281" t="s">
        <v>80</v>
      </c>
      <c r="L726" s="281"/>
      <c r="M726" s="281"/>
      <c r="N726" s="281"/>
      <c r="O726" s="184"/>
      <c r="P726" s="245">
        <f ca="1">C726+(INDEX(tblProductScalesMeasures[Min],MATCH(_xlfn.CONCAT(B726),tblProductScalesMeasures[Description],0)))</f>
        <v>-3.5</v>
      </c>
      <c r="Q726" s="245">
        <f ca="1">C726+(INDEX(tblProductScalesMeasures[Max],MATCH(_xlfn.CONCAT(B726),tblProductScalesMeasures[Description],0)))</f>
        <v>3.5</v>
      </c>
      <c r="R726" s="245" t="str">
        <f ca="1">(INDEX(tblProductScalesMeasures[Unit],MATCH(_xlfn.CONCAT(B726),tblProductScalesMeasures[Description],0)))</f>
        <v>V</v>
      </c>
      <c r="S726" s="177"/>
      <c r="T726" s="245">
        <f ca="1">IF(COUNTIF(tblExempt[],R726)&gt;0,0,INDEX(tblScaling[Divider],MATCH(_xlfn.CONCAT(IF(ISNUMBER(SEARCH(" ",section_3_heading))=TRUE,SUBSTITUTE(section_3_heading," ",""),"")," ",R726),tblScaling[Description],0)))</f>
        <v>10000</v>
      </c>
      <c r="U726" s="177"/>
      <c r="V726" s="177"/>
      <c r="W726" s="177"/>
      <c r="X726" s="177"/>
      <c r="Y726" s="177"/>
      <c r="Z726" s="177"/>
      <c r="AA726" s="177"/>
      <c r="AB726" s="177"/>
      <c r="AC726" s="177"/>
      <c r="AD726" s="177"/>
      <c r="AE726" s="177"/>
      <c r="AF726" s="177"/>
      <c r="AG726" s="177"/>
      <c r="AH726" s="177"/>
      <c r="AI726" s="177"/>
      <c r="AJ726" s="177"/>
    </row>
    <row r="727" spans="1:36" s="180" customFormat="1" ht="16.5" hidden="1" customHeight="1" thickBot="1">
      <c r="A727" s="133"/>
      <c r="B727" s="237" t="s">
        <v>70</v>
      </c>
      <c r="C727" s="57"/>
      <c r="D727" s="57"/>
      <c r="E727" s="80"/>
      <c r="F727" s="57"/>
      <c r="G727" s="57"/>
      <c r="H727" s="57"/>
      <c r="I727" s="57"/>
      <c r="J727" s="184"/>
      <c r="K727" s="116" t="s">
        <v>27</v>
      </c>
      <c r="L727" s="116" t="s">
        <v>42</v>
      </c>
      <c r="M727" s="116" t="s">
        <v>129</v>
      </c>
      <c r="N727" s="116" t="str">
        <f ca="1">SUBSTITUTE(CELL("address",K714),"$","")</f>
        <v>K714</v>
      </c>
      <c r="O727" s="116" t="s">
        <v>130</v>
      </c>
      <c r="P727" s="228" t="s">
        <v>75</v>
      </c>
      <c r="Q727" s="250" t="str">
        <f ca="1">INDEX(tblGoSubRoutineStartCell[StartCell],MATCH(B727,tblGoSubRoutineStartCell[GoSub Routine],0))</f>
        <v>K56</v>
      </c>
      <c r="R727" s="184"/>
      <c r="S727" s="178"/>
      <c r="T727" s="178"/>
      <c r="U727" s="178"/>
      <c r="V727" s="178"/>
      <c r="W727" s="178"/>
      <c r="X727" s="178"/>
      <c r="Y727" s="178"/>
      <c r="Z727" s="178"/>
      <c r="AA727" s="178"/>
      <c r="AB727" s="178"/>
      <c r="AC727" s="178"/>
      <c r="AD727" s="178"/>
      <c r="AE727" s="178"/>
      <c r="AF727" s="178"/>
      <c r="AG727" s="178"/>
      <c r="AH727" s="178"/>
      <c r="AI727" s="178"/>
      <c r="AJ727" s="178"/>
    </row>
    <row r="728" spans="1:36" s="175" customFormat="1" ht="15" hidden="1">
      <c r="A728" s="130"/>
      <c r="B728" s="240" t="s">
        <v>465</v>
      </c>
      <c r="C728" s="78">
        <v>0</v>
      </c>
      <c r="D728" s="58"/>
      <c r="E728" s="58"/>
      <c r="F728" s="58"/>
      <c r="G728" s="58"/>
      <c r="H728" s="58"/>
      <c r="I728" s="58"/>
      <c r="J728" s="184"/>
      <c r="K728" s="241" t="str">
        <f>_xlfn.CONCAT("734|GND|OUT1|FLT(",C728,")")</f>
        <v>734|GND|OUT1|FLT(0)</v>
      </c>
      <c r="L728" s="281"/>
      <c r="M728" s="281"/>
      <c r="N728" s="281"/>
      <c r="O728" s="241"/>
      <c r="P728" s="241"/>
      <c r="Q728" s="184"/>
    </row>
    <row r="729" spans="1:36" s="180" customFormat="1" ht="15.75" hidden="1" thickBot="1">
      <c r="A729" s="130"/>
      <c r="B729" s="84"/>
      <c r="C729" s="78"/>
      <c r="D729" s="58"/>
      <c r="E729" s="58"/>
      <c r="F729" s="58"/>
      <c r="G729" s="58"/>
      <c r="H729" s="58"/>
      <c r="I729" s="58"/>
      <c r="J729" s="184"/>
      <c r="K729" s="281" t="s">
        <v>80</v>
      </c>
      <c r="U729" s="178"/>
      <c r="V729" s="178"/>
      <c r="W729" s="178"/>
      <c r="X729" s="178"/>
      <c r="Y729" s="178"/>
      <c r="Z729" s="178"/>
      <c r="AA729" s="178"/>
      <c r="AB729" s="178"/>
      <c r="AC729" s="178"/>
      <c r="AD729" s="178"/>
      <c r="AE729" s="178"/>
      <c r="AF729" s="178"/>
      <c r="AG729" s="178"/>
      <c r="AH729" s="178"/>
      <c r="AI729" s="178"/>
      <c r="AJ729" s="178"/>
    </row>
    <row r="730" spans="1:36" s="45" customFormat="1" ht="18.75" hidden="1" thickBot="1">
      <c r="A730" s="134"/>
      <c r="B730" s="54" t="s">
        <v>70</v>
      </c>
      <c r="C730" s="55"/>
      <c r="D730" s="55"/>
      <c r="E730" s="55"/>
      <c r="F730" s="55"/>
      <c r="G730" s="55"/>
      <c r="H730" s="55"/>
      <c r="I730" s="56"/>
      <c r="K730" s="277" t="s">
        <v>77</v>
      </c>
      <c r="L730" s="277" t="s">
        <v>75</v>
      </c>
      <c r="M730" s="301" t="str">
        <f ca="1">INDEX(tblGoSubRoutineStartCell[StartCell],MATCH(B730,tblGoSubRoutineStartCell[GoSub Routine],0))</f>
        <v>K56</v>
      </c>
      <c r="R730" s="177"/>
      <c r="S730" s="177"/>
      <c r="T730" s="177"/>
      <c r="U730" s="177"/>
      <c r="V730" s="177"/>
      <c r="W730" s="177"/>
      <c r="X730" s="177"/>
      <c r="Y730" s="177"/>
      <c r="Z730" s="177"/>
      <c r="AA730" s="177"/>
      <c r="AB730" s="177"/>
      <c r="AC730" s="177"/>
      <c r="AD730" s="177"/>
      <c r="AE730" s="177"/>
      <c r="AF730" s="177"/>
      <c r="AG730" s="177"/>
      <c r="AH730" s="177"/>
      <c r="AI730" s="177"/>
      <c r="AJ730" s="177"/>
    </row>
    <row r="731" spans="1:36" s="45" customFormat="1" ht="12.75" hidden="1" customHeight="1">
      <c r="A731" s="504" t="str">
        <f>_xlfn.CONCAT(section_4_heading," Overall Verdict")</f>
        <v>Accelerator Overall Verdict</v>
      </c>
      <c r="B731" s="505"/>
      <c r="C731" s="505"/>
      <c r="D731" s="505"/>
      <c r="E731" s="505"/>
      <c r="F731" s="505"/>
      <c r="G731" s="506"/>
      <c r="H731" s="513" t="str" cm="1">
        <f t="array" ref="H731">_xlfn.IFS(COUNTIF(section_4_results,"TBC")&gt;0,"Incomplete",COUNT(IF(ISERROR(section_4_results),1,""))&gt;0,"VALUE ERROR",COUNTIF(section_4_results,"Fail")&gt;0,"Fail",COUNTIF(unit_type,"")&gt;0,"NO UNIT TYPE",COUNTIF(serial_number,"")&gt;0,"NO SERIAL NUMBER",COUNTIF(tester_name,"")&gt;0,"NO TESTER ID",TRUE,"Pass")</f>
        <v>Incomplete</v>
      </c>
      <c r="I731" s="514"/>
      <c r="K731" s="50"/>
      <c r="R731" s="177"/>
      <c r="S731" s="177"/>
      <c r="T731" s="177"/>
      <c r="U731" s="177"/>
      <c r="V731" s="177"/>
      <c r="W731" s="177"/>
      <c r="X731" s="177"/>
      <c r="Y731" s="177"/>
      <c r="Z731" s="177"/>
      <c r="AA731" s="177"/>
      <c r="AB731" s="177"/>
      <c r="AC731" s="177"/>
      <c r="AD731" s="177"/>
      <c r="AE731" s="177"/>
      <c r="AF731" s="177"/>
      <c r="AG731" s="177"/>
      <c r="AH731" s="177"/>
      <c r="AI731" s="177"/>
      <c r="AJ731" s="177"/>
    </row>
    <row r="732" spans="1:36" s="45" customFormat="1" ht="12.75" hidden="1" customHeight="1">
      <c r="A732" s="507"/>
      <c r="B732" s="508"/>
      <c r="C732" s="508"/>
      <c r="D732" s="508"/>
      <c r="E732" s="508"/>
      <c r="F732" s="508"/>
      <c r="G732" s="509"/>
      <c r="H732" s="515"/>
      <c r="I732" s="516"/>
      <c r="K732" s="50"/>
      <c r="R732" s="177"/>
      <c r="S732" s="177"/>
      <c r="T732" s="177"/>
      <c r="U732" s="177"/>
      <c r="V732" s="177"/>
      <c r="W732" s="177"/>
      <c r="X732" s="177"/>
      <c r="Y732" s="177"/>
      <c r="Z732" s="177"/>
      <c r="AA732" s="177"/>
      <c r="AB732" s="177"/>
      <c r="AC732" s="177"/>
      <c r="AD732" s="177"/>
      <c r="AE732" s="177"/>
      <c r="AF732" s="177"/>
      <c r="AG732" s="177"/>
      <c r="AH732" s="177"/>
      <c r="AI732" s="177"/>
      <c r="AJ732" s="177"/>
    </row>
    <row r="733" spans="1:36" s="45" customFormat="1" ht="13.5" hidden="1" customHeight="1" thickBot="1">
      <c r="A733" s="510"/>
      <c r="B733" s="511"/>
      <c r="C733" s="511"/>
      <c r="D733" s="511"/>
      <c r="E733" s="511"/>
      <c r="F733" s="511"/>
      <c r="G733" s="512"/>
      <c r="H733" s="517"/>
      <c r="I733" s="518"/>
      <c r="K733" s="50"/>
      <c r="R733" s="177"/>
      <c r="S733" s="177"/>
      <c r="T733" s="177"/>
      <c r="U733" s="177"/>
      <c r="V733" s="177"/>
      <c r="W733" s="177"/>
      <c r="X733" s="177"/>
      <c r="Y733" s="177"/>
      <c r="Z733" s="177"/>
      <c r="AA733" s="177"/>
      <c r="AB733" s="177"/>
      <c r="AC733" s="177"/>
      <c r="AD733" s="177"/>
      <c r="AE733" s="177"/>
      <c r="AF733" s="177"/>
      <c r="AG733" s="177"/>
      <c r="AH733" s="177"/>
      <c r="AI733" s="177"/>
      <c r="AJ733" s="177"/>
    </row>
    <row r="734" spans="1:36" s="45" customFormat="1" ht="24" hidden="1" thickBot="1">
      <c r="A734" s="320">
        <v>5</v>
      </c>
      <c r="B734" s="648" t="s">
        <v>111</v>
      </c>
      <c r="C734" s="649"/>
      <c r="D734" s="649"/>
      <c r="E734" s="649"/>
      <c r="F734" s="649"/>
      <c r="G734" s="649"/>
      <c r="H734" s="649"/>
      <c r="I734" s="650"/>
      <c r="K734" s="50"/>
      <c r="R734" s="177"/>
      <c r="S734" s="177"/>
      <c r="T734" s="177"/>
      <c r="U734" s="177"/>
      <c r="V734" s="177"/>
      <c r="W734" s="177"/>
      <c r="X734" s="177"/>
      <c r="Y734" s="177"/>
      <c r="Z734" s="177"/>
      <c r="AA734" s="177"/>
      <c r="AB734" s="177"/>
      <c r="AC734" s="177"/>
      <c r="AD734" s="177"/>
      <c r="AE734" s="177"/>
      <c r="AF734" s="177"/>
      <c r="AG734" s="177"/>
      <c r="AH734" s="177"/>
      <c r="AI734" s="177"/>
      <c r="AJ734" s="177"/>
    </row>
    <row r="735" spans="1:36" s="45" customFormat="1" hidden="1">
      <c r="A735" s="468" t="s">
        <v>363</v>
      </c>
      <c r="B735" s="469"/>
      <c r="C735" s="469"/>
      <c r="D735" s="469"/>
      <c r="E735" s="469"/>
      <c r="F735" s="469"/>
      <c r="G735" s="469"/>
      <c r="H735" s="469"/>
      <c r="I735" s="470"/>
      <c r="K735" s="50"/>
      <c r="R735" s="177"/>
      <c r="S735" s="177"/>
      <c r="T735" s="177"/>
      <c r="U735" s="177"/>
      <c r="V735" s="177"/>
      <c r="W735" s="177"/>
      <c r="X735" s="177"/>
      <c r="Y735" s="177"/>
      <c r="Z735" s="177"/>
      <c r="AA735" s="177"/>
      <c r="AB735" s="177"/>
      <c r="AC735" s="177"/>
      <c r="AD735" s="177"/>
      <c r="AE735" s="177"/>
      <c r="AF735" s="177"/>
      <c r="AG735" s="177"/>
      <c r="AH735" s="177"/>
      <c r="AI735" s="177"/>
      <c r="AJ735" s="177"/>
    </row>
    <row r="736" spans="1:36" s="45" customFormat="1" hidden="1">
      <c r="A736" s="471"/>
      <c r="B736" s="472"/>
      <c r="C736" s="472"/>
      <c r="D736" s="472"/>
      <c r="E736" s="472"/>
      <c r="F736" s="472"/>
      <c r="G736" s="472"/>
      <c r="H736" s="472"/>
      <c r="I736" s="473"/>
      <c r="K736" s="50"/>
      <c r="R736" s="177"/>
      <c r="S736" s="177"/>
      <c r="T736" s="177"/>
      <c r="U736" s="177"/>
      <c r="V736" s="177"/>
      <c r="W736" s="177"/>
      <c r="X736" s="177"/>
      <c r="Y736" s="177"/>
      <c r="Z736" s="177"/>
      <c r="AA736" s="177"/>
      <c r="AB736" s="177"/>
      <c r="AC736" s="177"/>
      <c r="AD736" s="177"/>
      <c r="AE736" s="177"/>
      <c r="AF736" s="177"/>
      <c r="AG736" s="177"/>
      <c r="AH736" s="177"/>
      <c r="AI736" s="177"/>
      <c r="AJ736" s="177"/>
    </row>
    <row r="737" spans="1:36" s="45" customFormat="1" hidden="1">
      <c r="A737" s="471"/>
      <c r="B737" s="472"/>
      <c r="C737" s="472"/>
      <c r="D737" s="472"/>
      <c r="E737" s="472"/>
      <c r="F737" s="472"/>
      <c r="G737" s="472"/>
      <c r="H737" s="472"/>
      <c r="I737" s="473"/>
      <c r="K737" s="50"/>
      <c r="R737" s="177"/>
      <c r="S737" s="177"/>
      <c r="T737" s="177"/>
      <c r="U737" s="177"/>
      <c r="V737" s="177"/>
      <c r="W737" s="177"/>
      <c r="X737" s="177"/>
      <c r="Y737" s="177"/>
      <c r="Z737" s="177"/>
      <c r="AA737" s="177"/>
      <c r="AB737" s="177"/>
      <c r="AC737" s="177"/>
      <c r="AD737" s="177"/>
      <c r="AE737" s="177"/>
      <c r="AF737" s="177"/>
      <c r="AG737" s="177"/>
      <c r="AH737" s="177"/>
      <c r="AI737" s="177"/>
      <c r="AJ737" s="177"/>
    </row>
    <row r="738" spans="1:36" s="45" customFormat="1" hidden="1">
      <c r="A738" s="471"/>
      <c r="B738" s="472"/>
      <c r="C738" s="472"/>
      <c r="D738" s="472"/>
      <c r="E738" s="472"/>
      <c r="F738" s="472"/>
      <c r="G738" s="472"/>
      <c r="H738" s="472"/>
      <c r="I738" s="473"/>
      <c r="K738" s="50"/>
      <c r="R738" s="177"/>
      <c r="S738" s="177"/>
      <c r="T738" s="177"/>
      <c r="U738" s="177"/>
      <c r="V738" s="177"/>
      <c r="W738" s="177"/>
      <c r="X738" s="177"/>
      <c r="Y738" s="177"/>
      <c r="Z738" s="177"/>
      <c r="AA738" s="177"/>
      <c r="AB738" s="177"/>
      <c r="AC738" s="177"/>
      <c r="AD738" s="177"/>
      <c r="AE738" s="177"/>
      <c r="AF738" s="177"/>
      <c r="AG738" s="177"/>
      <c r="AH738" s="177"/>
      <c r="AI738" s="177"/>
      <c r="AJ738" s="177"/>
    </row>
    <row r="739" spans="1:36" s="45" customFormat="1" hidden="1">
      <c r="A739" s="471"/>
      <c r="B739" s="472"/>
      <c r="C739" s="472"/>
      <c r="D739" s="472"/>
      <c r="E739" s="472"/>
      <c r="F739" s="472"/>
      <c r="G739" s="472"/>
      <c r="H739" s="472"/>
      <c r="I739" s="473"/>
      <c r="K739" s="50"/>
      <c r="R739" s="177"/>
      <c r="S739" s="177"/>
      <c r="T739" s="177"/>
      <c r="U739" s="177"/>
      <c r="V739" s="177"/>
      <c r="W739" s="177"/>
      <c r="X739" s="177"/>
      <c r="Y739" s="177"/>
      <c r="Z739" s="177"/>
      <c r="AA739" s="177"/>
      <c r="AB739" s="177"/>
      <c r="AC739" s="177"/>
      <c r="AD739" s="177"/>
      <c r="AE739" s="177"/>
      <c r="AF739" s="177"/>
      <c r="AG739" s="177"/>
      <c r="AH739" s="177"/>
      <c r="AI739" s="177"/>
      <c r="AJ739" s="177"/>
    </row>
    <row r="740" spans="1:36" s="45" customFormat="1" hidden="1">
      <c r="A740" s="471"/>
      <c r="B740" s="472"/>
      <c r="C740" s="472"/>
      <c r="D740" s="472"/>
      <c r="E740" s="472"/>
      <c r="F740" s="472"/>
      <c r="G740" s="472"/>
      <c r="H740" s="472"/>
      <c r="I740" s="473"/>
      <c r="K740" s="50"/>
      <c r="R740" s="177"/>
      <c r="S740" s="177"/>
      <c r="T740" s="177"/>
      <c r="U740" s="177"/>
      <c r="V740" s="177"/>
      <c r="W740" s="177"/>
      <c r="X740" s="177"/>
      <c r="Y740" s="177"/>
      <c r="Z740" s="177"/>
      <c r="AA740" s="177"/>
      <c r="AB740" s="177"/>
      <c r="AC740" s="177"/>
      <c r="AD740" s="177"/>
      <c r="AE740" s="177"/>
      <c r="AF740" s="177"/>
      <c r="AG740" s="177"/>
      <c r="AH740" s="177"/>
      <c r="AI740" s="177"/>
      <c r="AJ740" s="177"/>
    </row>
    <row r="741" spans="1:36" s="45" customFormat="1" hidden="1">
      <c r="A741" s="471"/>
      <c r="B741" s="472"/>
      <c r="C741" s="472"/>
      <c r="D741" s="472"/>
      <c r="E741" s="472"/>
      <c r="F741" s="472"/>
      <c r="G741" s="472"/>
      <c r="H741" s="472"/>
      <c r="I741" s="473"/>
      <c r="K741" s="50"/>
      <c r="R741" s="177"/>
      <c r="S741" s="177"/>
      <c r="T741" s="177"/>
      <c r="U741" s="177"/>
      <c r="V741" s="177"/>
      <c r="W741" s="177"/>
      <c r="X741" s="177"/>
      <c r="Y741" s="177"/>
      <c r="Z741" s="177"/>
      <c r="AA741" s="177"/>
      <c r="AB741" s="177"/>
      <c r="AC741" s="177"/>
      <c r="AD741" s="177"/>
      <c r="AE741" s="177"/>
      <c r="AF741" s="177"/>
      <c r="AG741" s="177"/>
      <c r="AH741" s="177"/>
      <c r="AI741" s="177"/>
      <c r="AJ741" s="177"/>
    </row>
    <row r="742" spans="1:36" s="45" customFormat="1" hidden="1">
      <c r="A742" s="471"/>
      <c r="B742" s="472"/>
      <c r="C742" s="472"/>
      <c r="D742" s="472"/>
      <c r="E742" s="472"/>
      <c r="F742" s="472"/>
      <c r="G742" s="472"/>
      <c r="H742" s="472"/>
      <c r="I742" s="473"/>
      <c r="K742" s="50"/>
      <c r="R742" s="177"/>
      <c r="S742" s="177"/>
      <c r="T742" s="177"/>
      <c r="U742" s="177"/>
      <c r="V742" s="177"/>
      <c r="W742" s="177"/>
      <c r="X742" s="177"/>
      <c r="Y742" s="177"/>
      <c r="Z742" s="177"/>
      <c r="AA742" s="177"/>
      <c r="AB742" s="177"/>
      <c r="AC742" s="177"/>
      <c r="AD742" s="177"/>
      <c r="AE742" s="177"/>
      <c r="AF742" s="177"/>
      <c r="AG742" s="177"/>
      <c r="AH742" s="177"/>
      <c r="AI742" s="177"/>
      <c r="AJ742" s="177"/>
    </row>
    <row r="743" spans="1:36" s="45" customFormat="1" hidden="1">
      <c r="A743" s="471"/>
      <c r="B743" s="472"/>
      <c r="C743" s="472"/>
      <c r="D743" s="472"/>
      <c r="E743" s="472"/>
      <c r="F743" s="472"/>
      <c r="G743" s="472"/>
      <c r="H743" s="472"/>
      <c r="I743" s="473"/>
      <c r="K743" s="50"/>
      <c r="R743" s="177"/>
      <c r="S743" s="177"/>
      <c r="T743" s="177"/>
      <c r="U743" s="177"/>
      <c r="V743" s="177"/>
      <c r="W743" s="177"/>
      <c r="X743" s="177"/>
      <c r="Y743" s="177"/>
      <c r="Z743" s="177"/>
      <c r="AA743" s="177"/>
      <c r="AB743" s="177"/>
      <c r="AC743" s="177"/>
      <c r="AD743" s="177"/>
      <c r="AE743" s="177"/>
      <c r="AF743" s="177"/>
      <c r="AG743" s="177"/>
      <c r="AH743" s="177"/>
      <c r="AI743" s="177"/>
      <c r="AJ743" s="177"/>
    </row>
    <row r="744" spans="1:36" s="45" customFormat="1" hidden="1">
      <c r="A744" s="471"/>
      <c r="B744" s="472"/>
      <c r="C744" s="472"/>
      <c r="D744" s="472"/>
      <c r="E744" s="472"/>
      <c r="F744" s="472"/>
      <c r="G744" s="472"/>
      <c r="H744" s="472"/>
      <c r="I744" s="473"/>
      <c r="K744" s="50"/>
      <c r="R744" s="177"/>
      <c r="S744" s="177"/>
      <c r="T744" s="177"/>
      <c r="U744" s="177"/>
      <c r="V744" s="177"/>
      <c r="W744" s="177"/>
      <c r="X744" s="177"/>
      <c r="Y744" s="177"/>
      <c r="Z744" s="177"/>
      <c r="AA744" s="177"/>
      <c r="AB744" s="177"/>
      <c r="AC744" s="177"/>
      <c r="AD744" s="177"/>
      <c r="AE744" s="177"/>
      <c r="AF744" s="177"/>
      <c r="AG744" s="177"/>
      <c r="AH744" s="177"/>
      <c r="AI744" s="177"/>
      <c r="AJ744" s="177"/>
    </row>
    <row r="745" spans="1:36" s="45" customFormat="1" hidden="1">
      <c r="A745" s="471"/>
      <c r="B745" s="472"/>
      <c r="C745" s="472"/>
      <c r="D745" s="472"/>
      <c r="E745" s="472"/>
      <c r="F745" s="472"/>
      <c r="G745" s="472"/>
      <c r="H745" s="472"/>
      <c r="I745" s="473"/>
      <c r="K745" s="50"/>
      <c r="R745" s="177"/>
      <c r="S745" s="177"/>
      <c r="T745" s="177"/>
      <c r="U745" s="177"/>
      <c r="V745" s="177"/>
      <c r="W745" s="177"/>
      <c r="X745" s="177"/>
      <c r="Y745" s="177"/>
      <c r="Z745" s="177"/>
      <c r="AA745" s="177"/>
      <c r="AB745" s="177"/>
      <c r="AC745" s="177"/>
      <c r="AD745" s="177"/>
      <c r="AE745" s="177"/>
      <c r="AF745" s="177"/>
      <c r="AG745" s="177"/>
      <c r="AH745" s="177"/>
      <c r="AI745" s="177"/>
      <c r="AJ745" s="177"/>
    </row>
    <row r="746" spans="1:36" s="45" customFormat="1" hidden="1">
      <c r="A746" s="471"/>
      <c r="B746" s="472"/>
      <c r="C746" s="472"/>
      <c r="D746" s="472"/>
      <c r="E746" s="472"/>
      <c r="F746" s="472"/>
      <c r="G746" s="472"/>
      <c r="H746" s="472"/>
      <c r="I746" s="473"/>
      <c r="K746" s="50"/>
      <c r="R746" s="177"/>
      <c r="S746" s="177"/>
      <c r="T746" s="177"/>
      <c r="U746" s="177"/>
      <c r="V746" s="177"/>
      <c r="W746" s="177"/>
      <c r="X746" s="177"/>
      <c r="Y746" s="177"/>
      <c r="Z746" s="177"/>
      <c r="AA746" s="177"/>
      <c r="AB746" s="177"/>
      <c r="AC746" s="177"/>
      <c r="AD746" s="177"/>
      <c r="AE746" s="177"/>
      <c r="AF746" s="177"/>
      <c r="AG746" s="177"/>
      <c r="AH746" s="177"/>
      <c r="AI746" s="177"/>
      <c r="AJ746" s="177"/>
    </row>
    <row r="747" spans="1:36" s="45" customFormat="1" hidden="1">
      <c r="A747" s="471"/>
      <c r="B747" s="472"/>
      <c r="C747" s="472"/>
      <c r="D747" s="472"/>
      <c r="E747" s="472"/>
      <c r="F747" s="472"/>
      <c r="G747" s="472"/>
      <c r="H747" s="472"/>
      <c r="I747" s="473"/>
      <c r="K747" s="50"/>
      <c r="R747" s="177"/>
      <c r="S747" s="177"/>
      <c r="T747" s="177"/>
      <c r="U747" s="177"/>
      <c r="V747" s="177"/>
      <c r="W747" s="177"/>
      <c r="X747" s="177"/>
      <c r="Y747" s="177"/>
      <c r="Z747" s="177"/>
      <c r="AA747" s="177"/>
      <c r="AB747" s="177"/>
      <c r="AC747" s="177"/>
      <c r="AD747" s="177"/>
      <c r="AE747" s="177"/>
      <c r="AF747" s="177"/>
      <c r="AG747" s="177"/>
      <c r="AH747" s="177"/>
      <c r="AI747" s="177"/>
      <c r="AJ747" s="177"/>
    </row>
    <row r="748" spans="1:36" s="45" customFormat="1" hidden="1">
      <c r="A748" s="471"/>
      <c r="B748" s="472"/>
      <c r="C748" s="472"/>
      <c r="D748" s="472"/>
      <c r="E748" s="472"/>
      <c r="F748" s="472"/>
      <c r="G748" s="472"/>
      <c r="H748" s="472"/>
      <c r="I748" s="473"/>
      <c r="K748" s="50"/>
      <c r="R748" s="177"/>
      <c r="S748" s="177"/>
      <c r="T748" s="177"/>
      <c r="U748" s="177"/>
      <c r="V748" s="177"/>
      <c r="W748" s="177"/>
      <c r="X748" s="177"/>
      <c r="Y748" s="177"/>
      <c r="Z748" s="177"/>
      <c r="AA748" s="177"/>
      <c r="AB748" s="177"/>
      <c r="AC748" s="177"/>
      <c r="AD748" s="177"/>
      <c r="AE748" s="177"/>
      <c r="AF748" s="177"/>
      <c r="AG748" s="177"/>
      <c r="AH748" s="177"/>
      <c r="AI748" s="177"/>
      <c r="AJ748" s="177"/>
    </row>
    <row r="749" spans="1:36" s="45" customFormat="1" hidden="1">
      <c r="A749" s="471"/>
      <c r="B749" s="472"/>
      <c r="C749" s="472"/>
      <c r="D749" s="472"/>
      <c r="E749" s="472"/>
      <c r="F749" s="472"/>
      <c r="G749" s="472"/>
      <c r="H749" s="472"/>
      <c r="I749" s="473"/>
      <c r="K749" s="50"/>
      <c r="R749" s="177"/>
      <c r="S749" s="177"/>
      <c r="T749" s="177"/>
      <c r="U749" s="177"/>
      <c r="V749" s="177"/>
      <c r="W749" s="177"/>
      <c r="X749" s="177"/>
      <c r="Y749" s="177"/>
      <c r="Z749" s="177"/>
      <c r="AA749" s="177"/>
      <c r="AB749" s="177"/>
      <c r="AC749" s="177"/>
      <c r="AD749" s="177"/>
      <c r="AE749" s="177"/>
      <c r="AF749" s="177"/>
      <c r="AG749" s="177"/>
      <c r="AH749" s="177"/>
      <c r="AI749" s="177"/>
      <c r="AJ749" s="177"/>
    </row>
    <row r="750" spans="1:36" s="45" customFormat="1" hidden="1">
      <c r="A750" s="471"/>
      <c r="B750" s="472"/>
      <c r="C750" s="472"/>
      <c r="D750" s="472"/>
      <c r="E750" s="472"/>
      <c r="F750" s="472"/>
      <c r="G750" s="472"/>
      <c r="H750" s="472"/>
      <c r="I750" s="473"/>
      <c r="K750" s="50"/>
      <c r="R750" s="177"/>
      <c r="S750" s="177"/>
      <c r="T750" s="177"/>
      <c r="U750" s="177"/>
      <c r="V750" s="177"/>
      <c r="W750" s="177"/>
      <c r="X750" s="177"/>
      <c r="Y750" s="177"/>
      <c r="Z750" s="177"/>
      <c r="AA750" s="177"/>
      <c r="AB750" s="177"/>
      <c r="AC750" s="177"/>
      <c r="AD750" s="177"/>
      <c r="AE750" s="177"/>
      <c r="AF750" s="177"/>
      <c r="AG750" s="177"/>
      <c r="AH750" s="177"/>
      <c r="AI750" s="177"/>
      <c r="AJ750" s="177"/>
    </row>
    <row r="751" spans="1:36" s="45" customFormat="1" hidden="1">
      <c r="A751" s="471"/>
      <c r="B751" s="472"/>
      <c r="C751" s="472"/>
      <c r="D751" s="472"/>
      <c r="E751" s="472"/>
      <c r="F751" s="472"/>
      <c r="G751" s="472"/>
      <c r="H751" s="472"/>
      <c r="I751" s="473"/>
      <c r="K751" s="50"/>
      <c r="R751" s="177"/>
      <c r="S751" s="177"/>
      <c r="T751" s="177"/>
      <c r="U751" s="177"/>
      <c r="V751" s="177"/>
      <c r="W751" s="177"/>
      <c r="X751" s="177"/>
      <c r="Y751" s="177"/>
      <c r="Z751" s="177"/>
      <c r="AA751" s="177"/>
      <c r="AB751" s="177"/>
      <c r="AC751" s="177"/>
      <c r="AD751" s="177"/>
      <c r="AE751" s="177"/>
      <c r="AF751" s="177"/>
      <c r="AG751" s="177"/>
      <c r="AH751" s="177"/>
      <c r="AI751" s="177"/>
      <c r="AJ751" s="177"/>
    </row>
    <row r="752" spans="1:36" s="45" customFormat="1" hidden="1">
      <c r="A752" s="471"/>
      <c r="B752" s="472"/>
      <c r="C752" s="472"/>
      <c r="D752" s="472"/>
      <c r="E752" s="472"/>
      <c r="F752" s="472"/>
      <c r="G752" s="472"/>
      <c r="H752" s="472"/>
      <c r="I752" s="473"/>
      <c r="K752" s="50"/>
      <c r="R752" s="177"/>
      <c r="S752" s="177"/>
      <c r="T752" s="177"/>
      <c r="U752" s="177"/>
      <c r="V752" s="177"/>
      <c r="W752" s="177"/>
      <c r="X752" s="177"/>
      <c r="Y752" s="177"/>
      <c r="Z752" s="177"/>
      <c r="AA752" s="177"/>
      <c r="AB752" s="177"/>
      <c r="AC752" s="177"/>
      <c r="AD752" s="177"/>
      <c r="AE752" s="177"/>
      <c r="AF752" s="177"/>
      <c r="AG752" s="177"/>
      <c r="AH752" s="177"/>
      <c r="AI752" s="177"/>
      <c r="AJ752" s="177"/>
    </row>
    <row r="753" spans="1:36" s="45" customFormat="1" hidden="1">
      <c r="A753" s="471"/>
      <c r="B753" s="472"/>
      <c r="C753" s="472"/>
      <c r="D753" s="472"/>
      <c r="E753" s="472"/>
      <c r="F753" s="472"/>
      <c r="G753" s="472"/>
      <c r="H753" s="472"/>
      <c r="I753" s="473"/>
      <c r="K753" s="50"/>
      <c r="R753" s="177"/>
      <c r="S753" s="177"/>
      <c r="T753" s="177"/>
      <c r="U753" s="177"/>
      <c r="V753" s="177"/>
      <c r="W753" s="177"/>
      <c r="X753" s="177"/>
      <c r="Y753" s="177"/>
      <c r="Z753" s="177"/>
      <c r="AA753" s="177"/>
      <c r="AB753" s="177"/>
      <c r="AC753" s="177"/>
      <c r="AD753" s="177"/>
      <c r="AE753" s="177"/>
      <c r="AF753" s="177"/>
      <c r="AG753" s="177"/>
      <c r="AH753" s="177"/>
      <c r="AI753" s="177"/>
      <c r="AJ753" s="177"/>
    </row>
    <row r="754" spans="1:36" s="45" customFormat="1" hidden="1">
      <c r="A754" s="471"/>
      <c r="B754" s="472"/>
      <c r="C754" s="472"/>
      <c r="D754" s="472"/>
      <c r="E754" s="472"/>
      <c r="F754" s="472"/>
      <c r="G754" s="472"/>
      <c r="H754" s="472"/>
      <c r="I754" s="473"/>
      <c r="K754" s="50"/>
      <c r="R754" s="177"/>
      <c r="S754" s="177"/>
      <c r="T754" s="177"/>
      <c r="U754" s="177"/>
      <c r="V754" s="177"/>
      <c r="W754" s="177"/>
      <c r="X754" s="177"/>
      <c r="Y754" s="177"/>
      <c r="Z754" s="177"/>
      <c r="AA754" s="177"/>
      <c r="AB754" s="177"/>
      <c r="AC754" s="177"/>
      <c r="AD754" s="177"/>
      <c r="AE754" s="177"/>
      <c r="AF754" s="177"/>
      <c r="AG754" s="177"/>
      <c r="AH754" s="177"/>
      <c r="AI754" s="177"/>
      <c r="AJ754" s="177"/>
    </row>
    <row r="755" spans="1:36" s="45" customFormat="1" ht="14.25" hidden="1" customHeight="1">
      <c r="A755" s="471"/>
      <c r="B755" s="472"/>
      <c r="C755" s="472"/>
      <c r="D755" s="472"/>
      <c r="E755" s="472"/>
      <c r="F755" s="472"/>
      <c r="G755" s="472"/>
      <c r="H755" s="472"/>
      <c r="I755" s="473"/>
      <c r="K755" s="50"/>
      <c r="R755" s="177"/>
      <c r="S755" s="177"/>
      <c r="T755" s="177"/>
      <c r="U755" s="177"/>
      <c r="V755" s="177"/>
      <c r="W755" s="177"/>
      <c r="X755" s="177"/>
      <c r="Y755" s="177"/>
      <c r="Z755" s="177"/>
      <c r="AA755" s="177"/>
      <c r="AB755" s="177"/>
      <c r="AC755" s="177"/>
      <c r="AD755" s="177"/>
      <c r="AE755" s="177"/>
      <c r="AF755" s="177"/>
      <c r="AG755" s="177"/>
      <c r="AH755" s="177"/>
      <c r="AI755" s="177"/>
      <c r="AJ755" s="177"/>
    </row>
    <row r="756" spans="1:36" s="45" customFormat="1" hidden="1">
      <c r="A756" s="471"/>
      <c r="B756" s="472"/>
      <c r="C756" s="472"/>
      <c r="D756" s="472"/>
      <c r="E756" s="472"/>
      <c r="F756" s="472"/>
      <c r="G756" s="472"/>
      <c r="H756" s="472"/>
      <c r="I756" s="473"/>
      <c r="K756" s="50"/>
      <c r="R756" s="177"/>
      <c r="S756" s="177"/>
      <c r="T756" s="177"/>
      <c r="U756" s="177"/>
      <c r="V756" s="177"/>
      <c r="W756" s="177"/>
      <c r="X756" s="177"/>
      <c r="Y756" s="177"/>
      <c r="Z756" s="177"/>
      <c r="AA756" s="177"/>
      <c r="AB756" s="177"/>
      <c r="AC756" s="177"/>
      <c r="AD756" s="177"/>
      <c r="AE756" s="177"/>
      <c r="AF756" s="177"/>
      <c r="AG756" s="177"/>
      <c r="AH756" s="177"/>
      <c r="AI756" s="177"/>
      <c r="AJ756" s="177"/>
    </row>
    <row r="757" spans="1:36" s="45" customFormat="1" hidden="1">
      <c r="A757" s="471"/>
      <c r="B757" s="472"/>
      <c r="C757" s="472"/>
      <c r="D757" s="472"/>
      <c r="E757" s="472"/>
      <c r="F757" s="472"/>
      <c r="G757" s="472"/>
      <c r="H757" s="472"/>
      <c r="I757" s="473"/>
      <c r="K757" s="50"/>
      <c r="R757" s="177"/>
      <c r="S757" s="177"/>
      <c r="T757" s="177"/>
      <c r="U757" s="177"/>
      <c r="V757" s="177"/>
      <c r="W757" s="177"/>
      <c r="X757" s="177"/>
      <c r="Y757" s="177"/>
      <c r="Z757" s="177"/>
      <c r="AA757" s="177"/>
      <c r="AB757" s="177"/>
      <c r="AC757" s="177"/>
      <c r="AD757" s="177"/>
      <c r="AE757" s="177"/>
      <c r="AF757" s="177"/>
      <c r="AG757" s="177"/>
      <c r="AH757" s="177"/>
      <c r="AI757" s="177"/>
      <c r="AJ757" s="177"/>
    </row>
    <row r="758" spans="1:36" s="45" customFormat="1" hidden="1">
      <c r="A758" s="471"/>
      <c r="B758" s="472"/>
      <c r="C758" s="472"/>
      <c r="D758" s="472"/>
      <c r="E758" s="472"/>
      <c r="F758" s="472"/>
      <c r="G758" s="472"/>
      <c r="H758" s="472"/>
      <c r="I758" s="473"/>
      <c r="K758" s="50"/>
      <c r="R758" s="177"/>
      <c r="S758" s="177"/>
      <c r="T758" s="177"/>
      <c r="U758" s="177"/>
      <c r="V758" s="177"/>
      <c r="W758" s="177"/>
      <c r="X758" s="177"/>
      <c r="Y758" s="177"/>
      <c r="Z758" s="177"/>
      <c r="AA758" s="177"/>
      <c r="AB758" s="177"/>
      <c r="AC758" s="177"/>
      <c r="AD758" s="177"/>
      <c r="AE758" s="177"/>
      <c r="AF758" s="177"/>
      <c r="AG758" s="177"/>
      <c r="AH758" s="177"/>
      <c r="AI758" s="177"/>
      <c r="AJ758" s="177"/>
    </row>
    <row r="759" spans="1:36" s="45" customFormat="1" hidden="1">
      <c r="A759" s="471"/>
      <c r="B759" s="472"/>
      <c r="C759" s="472"/>
      <c r="D759" s="472"/>
      <c r="E759" s="472"/>
      <c r="F759" s="472"/>
      <c r="G759" s="472"/>
      <c r="H759" s="472"/>
      <c r="I759" s="473"/>
      <c r="K759" s="50"/>
      <c r="R759" s="177"/>
      <c r="S759" s="177"/>
      <c r="T759" s="177"/>
      <c r="U759" s="177"/>
      <c r="V759" s="177"/>
      <c r="W759" s="177"/>
      <c r="X759" s="177"/>
      <c r="Y759" s="177"/>
      <c r="Z759" s="177"/>
      <c r="AA759" s="177"/>
      <c r="AB759" s="177"/>
      <c r="AC759" s="177"/>
      <c r="AD759" s="177"/>
      <c r="AE759" s="177"/>
      <c r="AF759" s="177"/>
      <c r="AG759" s="177"/>
      <c r="AH759" s="177"/>
      <c r="AI759" s="177"/>
      <c r="AJ759" s="177"/>
    </row>
    <row r="760" spans="1:36" s="45" customFormat="1" hidden="1">
      <c r="A760" s="471"/>
      <c r="B760" s="472"/>
      <c r="C760" s="472"/>
      <c r="D760" s="472"/>
      <c r="E760" s="472"/>
      <c r="F760" s="472"/>
      <c r="G760" s="472"/>
      <c r="H760" s="472"/>
      <c r="I760" s="473"/>
      <c r="K760" s="50"/>
      <c r="R760" s="177"/>
      <c r="S760" s="177"/>
      <c r="T760" s="177"/>
      <c r="U760" s="177"/>
      <c r="V760" s="177"/>
      <c r="W760" s="177"/>
      <c r="X760" s="177"/>
      <c r="Y760" s="177"/>
      <c r="Z760" s="177"/>
      <c r="AA760" s="177"/>
      <c r="AB760" s="177"/>
      <c r="AC760" s="177"/>
      <c r="AD760" s="177"/>
      <c r="AE760" s="177"/>
      <c r="AF760" s="177"/>
      <c r="AG760" s="177"/>
      <c r="AH760" s="177"/>
      <c r="AI760" s="177"/>
      <c r="AJ760" s="177"/>
    </row>
    <row r="761" spans="1:36" s="45" customFormat="1" hidden="1">
      <c r="A761" s="471"/>
      <c r="B761" s="472"/>
      <c r="C761" s="472"/>
      <c r="D761" s="472"/>
      <c r="E761" s="472"/>
      <c r="F761" s="472"/>
      <c r="G761" s="472"/>
      <c r="H761" s="472"/>
      <c r="I761" s="473"/>
      <c r="K761" s="50"/>
      <c r="R761" s="177"/>
      <c r="S761" s="177"/>
      <c r="T761" s="177"/>
      <c r="U761" s="177"/>
      <c r="V761" s="177"/>
      <c r="W761" s="177"/>
      <c r="X761" s="177"/>
      <c r="Y761" s="177"/>
      <c r="Z761" s="177"/>
      <c r="AA761" s="177"/>
      <c r="AB761" s="177"/>
      <c r="AC761" s="177"/>
      <c r="AD761" s="177"/>
      <c r="AE761" s="177"/>
      <c r="AF761" s="177"/>
      <c r="AG761" s="177"/>
      <c r="AH761" s="177"/>
      <c r="AI761" s="177"/>
      <c r="AJ761" s="177"/>
    </row>
    <row r="762" spans="1:36" s="45" customFormat="1" hidden="1">
      <c r="A762" s="471"/>
      <c r="B762" s="472"/>
      <c r="C762" s="472"/>
      <c r="D762" s="472"/>
      <c r="E762" s="472"/>
      <c r="F762" s="472"/>
      <c r="G762" s="472"/>
      <c r="H762" s="472"/>
      <c r="I762" s="473"/>
      <c r="K762" s="50"/>
      <c r="R762" s="177"/>
      <c r="S762" s="177"/>
      <c r="T762" s="177"/>
      <c r="U762" s="177"/>
      <c r="V762" s="177"/>
      <c r="W762" s="177"/>
      <c r="X762" s="177"/>
      <c r="Y762" s="177"/>
      <c r="Z762" s="177"/>
      <c r="AA762" s="177"/>
      <c r="AB762" s="177"/>
      <c r="AC762" s="177"/>
      <c r="AD762" s="177"/>
      <c r="AE762" s="177"/>
      <c r="AF762" s="177"/>
      <c r="AG762" s="177"/>
      <c r="AH762" s="177"/>
      <c r="AI762" s="177"/>
      <c r="AJ762" s="177"/>
    </row>
    <row r="763" spans="1:36" s="45" customFormat="1" hidden="1">
      <c r="A763" s="471"/>
      <c r="B763" s="472"/>
      <c r="C763" s="472"/>
      <c r="D763" s="472"/>
      <c r="E763" s="472"/>
      <c r="F763" s="472"/>
      <c r="G763" s="472"/>
      <c r="H763" s="472"/>
      <c r="I763" s="473"/>
      <c r="K763" s="50"/>
      <c r="R763" s="177"/>
      <c r="S763" s="177"/>
      <c r="T763" s="177"/>
      <c r="U763" s="177"/>
      <c r="V763" s="177"/>
      <c r="W763" s="177"/>
      <c r="X763" s="177"/>
      <c r="Y763" s="177"/>
      <c r="Z763" s="177"/>
      <c r="AA763" s="177"/>
      <c r="AB763" s="177"/>
      <c r="AC763" s="177"/>
      <c r="AD763" s="177"/>
      <c r="AE763" s="177"/>
      <c r="AF763" s="177"/>
      <c r="AG763" s="177"/>
      <c r="AH763" s="177"/>
      <c r="AI763" s="177"/>
      <c r="AJ763" s="177"/>
    </row>
    <row r="764" spans="1:36" s="45" customFormat="1" hidden="1">
      <c r="A764" s="471"/>
      <c r="B764" s="472"/>
      <c r="C764" s="472"/>
      <c r="D764" s="472"/>
      <c r="E764" s="472"/>
      <c r="F764" s="472"/>
      <c r="G764" s="472"/>
      <c r="H764" s="472"/>
      <c r="I764" s="473"/>
      <c r="K764" s="50"/>
      <c r="R764" s="177"/>
      <c r="S764" s="177"/>
      <c r="T764" s="177"/>
      <c r="U764" s="177"/>
      <c r="V764" s="177"/>
      <c r="W764" s="177"/>
      <c r="X764" s="177"/>
      <c r="Y764" s="177"/>
      <c r="Z764" s="177"/>
      <c r="AA764" s="177"/>
      <c r="AB764" s="177"/>
      <c r="AC764" s="177"/>
      <c r="AD764" s="177"/>
      <c r="AE764" s="177"/>
      <c r="AF764" s="177"/>
      <c r="AG764" s="177"/>
      <c r="AH764" s="177"/>
      <c r="AI764" s="177"/>
      <c r="AJ764" s="177"/>
    </row>
    <row r="765" spans="1:36" s="45" customFormat="1" hidden="1">
      <c r="A765" s="471"/>
      <c r="B765" s="472"/>
      <c r="C765" s="472"/>
      <c r="D765" s="472"/>
      <c r="E765" s="472"/>
      <c r="F765" s="472"/>
      <c r="G765" s="472"/>
      <c r="H765" s="472"/>
      <c r="I765" s="473"/>
      <c r="K765" s="50"/>
      <c r="R765" s="177"/>
      <c r="S765" s="177"/>
      <c r="T765" s="177"/>
      <c r="U765" s="177"/>
      <c r="V765" s="177"/>
      <c r="W765" s="177"/>
      <c r="X765" s="177"/>
      <c r="Y765" s="177"/>
      <c r="Z765" s="177"/>
      <c r="AA765" s="177"/>
      <c r="AB765" s="177"/>
      <c r="AC765" s="177"/>
      <c r="AD765" s="177"/>
      <c r="AE765" s="177"/>
      <c r="AF765" s="177"/>
      <c r="AG765" s="177"/>
      <c r="AH765" s="177"/>
      <c r="AI765" s="177"/>
      <c r="AJ765" s="177"/>
    </row>
    <row r="766" spans="1:36" s="45" customFormat="1" hidden="1">
      <c r="A766" s="471"/>
      <c r="B766" s="472"/>
      <c r="C766" s="472"/>
      <c r="D766" s="472"/>
      <c r="E766" s="472"/>
      <c r="F766" s="472"/>
      <c r="G766" s="472"/>
      <c r="H766" s="472"/>
      <c r="I766" s="473"/>
      <c r="K766" s="50"/>
      <c r="R766" s="177"/>
      <c r="S766" s="177"/>
      <c r="T766" s="177"/>
      <c r="U766" s="177"/>
      <c r="V766" s="177"/>
      <c r="W766" s="177"/>
      <c r="X766" s="177"/>
      <c r="Y766" s="177"/>
      <c r="Z766" s="177"/>
      <c r="AA766" s="177"/>
      <c r="AB766" s="177"/>
      <c r="AC766" s="177"/>
      <c r="AD766" s="177"/>
      <c r="AE766" s="177"/>
      <c r="AF766" s="177"/>
      <c r="AG766" s="177"/>
      <c r="AH766" s="177"/>
      <c r="AI766" s="177"/>
      <c r="AJ766" s="177"/>
    </row>
    <row r="767" spans="1:36" s="45" customFormat="1" hidden="1">
      <c r="A767" s="471"/>
      <c r="B767" s="472"/>
      <c r="C767" s="472"/>
      <c r="D767" s="472"/>
      <c r="E767" s="472"/>
      <c r="F767" s="472"/>
      <c r="G767" s="472"/>
      <c r="H767" s="472"/>
      <c r="I767" s="473"/>
      <c r="K767" s="50"/>
      <c r="R767" s="177"/>
      <c r="S767" s="177"/>
      <c r="T767" s="177"/>
      <c r="U767" s="177"/>
      <c r="V767" s="177"/>
      <c r="W767" s="177"/>
      <c r="X767" s="177"/>
      <c r="Y767" s="177"/>
      <c r="Z767" s="177"/>
      <c r="AA767" s="177"/>
      <c r="AB767" s="177"/>
      <c r="AC767" s="177"/>
      <c r="AD767" s="177"/>
      <c r="AE767" s="177"/>
      <c r="AF767" s="177"/>
      <c r="AG767" s="177"/>
      <c r="AH767" s="177"/>
      <c r="AI767" s="177"/>
      <c r="AJ767" s="177"/>
    </row>
    <row r="768" spans="1:36" s="45" customFormat="1" hidden="1">
      <c r="A768" s="471"/>
      <c r="B768" s="472"/>
      <c r="C768" s="472"/>
      <c r="D768" s="472"/>
      <c r="E768" s="472"/>
      <c r="F768" s="472"/>
      <c r="G768" s="472"/>
      <c r="H768" s="472"/>
      <c r="I768" s="473"/>
      <c r="K768" s="50"/>
      <c r="R768" s="177"/>
      <c r="S768" s="177"/>
      <c r="T768" s="177"/>
      <c r="U768" s="177"/>
      <c r="V768" s="177"/>
      <c r="W768" s="177"/>
      <c r="X768" s="177"/>
      <c r="Y768" s="177"/>
      <c r="Z768" s="177"/>
      <c r="AA768" s="177"/>
      <c r="AB768" s="177"/>
      <c r="AC768" s="177"/>
      <c r="AD768" s="177"/>
      <c r="AE768" s="177"/>
      <c r="AF768" s="177"/>
      <c r="AG768" s="177"/>
      <c r="AH768" s="177"/>
      <c r="AI768" s="177"/>
      <c r="AJ768" s="177"/>
    </row>
    <row r="769" spans="1:36" s="45" customFormat="1" ht="13.5" hidden="1" thickBot="1">
      <c r="A769" s="554"/>
      <c r="B769" s="555"/>
      <c r="C769" s="555"/>
      <c r="D769" s="555"/>
      <c r="E769" s="555"/>
      <c r="F769" s="555"/>
      <c r="G769" s="555"/>
      <c r="H769" s="555"/>
      <c r="I769" s="556"/>
      <c r="K769" s="50"/>
      <c r="R769" s="177"/>
      <c r="S769" s="177"/>
      <c r="T769" s="177"/>
      <c r="U769" s="177"/>
      <c r="V769" s="177"/>
      <c r="W769" s="177"/>
      <c r="X769" s="177"/>
      <c r="Y769" s="177"/>
      <c r="Z769" s="177"/>
      <c r="AA769" s="177"/>
      <c r="AB769" s="177"/>
      <c r="AC769" s="177"/>
      <c r="AD769" s="177"/>
      <c r="AE769" s="177"/>
      <c r="AF769" s="177"/>
      <c r="AG769" s="177"/>
      <c r="AH769" s="177"/>
      <c r="AI769" s="177"/>
      <c r="AJ769" s="177"/>
    </row>
    <row r="770" spans="1:36" s="45" customFormat="1" ht="15.75" hidden="1" customHeight="1">
      <c r="A770" s="636" t="s">
        <v>687</v>
      </c>
      <c r="B770" s="637"/>
      <c r="C770" s="637"/>
      <c r="D770" s="637"/>
      <c r="E770" s="637"/>
      <c r="F770" s="637"/>
      <c r="G770" s="637"/>
      <c r="H770" s="637"/>
      <c r="I770" s="638"/>
      <c r="K770" s="50"/>
      <c r="R770" s="177"/>
      <c r="S770" s="177"/>
      <c r="T770" s="177"/>
      <c r="U770" s="177"/>
      <c r="V770" s="177"/>
      <c r="W770" s="177"/>
      <c r="X770" s="177"/>
      <c r="Y770" s="177"/>
      <c r="Z770" s="177"/>
      <c r="AA770" s="177"/>
      <c r="AB770" s="177"/>
      <c r="AC770" s="177"/>
      <c r="AD770" s="177"/>
      <c r="AE770" s="177"/>
      <c r="AF770" s="177"/>
      <c r="AG770" s="177"/>
      <c r="AH770" s="177"/>
      <c r="AI770" s="177"/>
      <c r="AJ770" s="177"/>
    </row>
    <row r="771" spans="1:36" s="45" customFormat="1" ht="15.75" hidden="1" customHeight="1">
      <c r="A771" s="639"/>
      <c r="B771" s="640"/>
      <c r="C771" s="640"/>
      <c r="D771" s="640"/>
      <c r="E771" s="640"/>
      <c r="F771" s="640"/>
      <c r="G771" s="640"/>
      <c r="H771" s="640"/>
      <c r="I771" s="641"/>
      <c r="K771" s="50"/>
      <c r="R771" s="177"/>
      <c r="S771" s="177"/>
      <c r="T771" s="177"/>
      <c r="U771" s="177"/>
      <c r="V771" s="177"/>
      <c r="W771" s="177"/>
      <c r="X771" s="177"/>
      <c r="Y771" s="177"/>
      <c r="Z771" s="177"/>
      <c r="AA771" s="177"/>
      <c r="AB771" s="177"/>
      <c r="AC771" s="177"/>
      <c r="AD771" s="177"/>
      <c r="AE771" s="177"/>
      <c r="AF771" s="177"/>
      <c r="AG771" s="177"/>
      <c r="AH771" s="177"/>
      <c r="AI771" s="177"/>
      <c r="AJ771" s="177"/>
    </row>
    <row r="772" spans="1:36" s="45" customFormat="1" ht="15" hidden="1" customHeight="1">
      <c r="A772" s="639"/>
      <c r="B772" s="640"/>
      <c r="C772" s="640"/>
      <c r="D772" s="640"/>
      <c r="E772" s="640"/>
      <c r="F772" s="640"/>
      <c r="G772" s="640"/>
      <c r="H772" s="640"/>
      <c r="I772" s="641"/>
      <c r="K772" s="50"/>
      <c r="R772" s="177"/>
      <c r="S772" s="177"/>
      <c r="T772" s="177"/>
      <c r="U772" s="177"/>
      <c r="V772" s="177"/>
      <c r="W772" s="177"/>
      <c r="X772" s="177"/>
      <c r="Y772" s="177"/>
      <c r="Z772" s="177"/>
      <c r="AA772" s="177"/>
      <c r="AB772" s="177"/>
      <c r="AC772" s="177"/>
      <c r="AD772" s="177"/>
      <c r="AE772" s="177"/>
      <c r="AF772" s="177"/>
      <c r="AG772" s="177"/>
      <c r="AH772" s="177"/>
      <c r="AI772" s="177"/>
      <c r="AJ772" s="177"/>
    </row>
    <row r="773" spans="1:36" s="45" customFormat="1" ht="15" hidden="1" customHeight="1">
      <c r="A773" s="639"/>
      <c r="B773" s="640"/>
      <c r="C773" s="640"/>
      <c r="D773" s="640"/>
      <c r="E773" s="640"/>
      <c r="F773" s="640"/>
      <c r="G773" s="640"/>
      <c r="H773" s="640"/>
      <c r="I773" s="641"/>
      <c r="K773" s="50"/>
      <c r="R773" s="177"/>
      <c r="S773" s="177"/>
      <c r="T773" s="177"/>
      <c r="U773" s="177"/>
      <c r="V773" s="177"/>
      <c r="W773" s="177"/>
      <c r="X773" s="177"/>
      <c r="Y773" s="177"/>
      <c r="Z773" s="177"/>
      <c r="AA773" s="177"/>
      <c r="AB773" s="177"/>
      <c r="AC773" s="177"/>
      <c r="AD773" s="177"/>
      <c r="AE773" s="177"/>
      <c r="AF773" s="177"/>
      <c r="AG773" s="177"/>
      <c r="AH773" s="177"/>
      <c r="AI773" s="177"/>
      <c r="AJ773" s="177"/>
    </row>
    <row r="774" spans="1:36" s="45" customFormat="1" ht="15" hidden="1" customHeight="1">
      <c r="A774" s="639"/>
      <c r="B774" s="640"/>
      <c r="C774" s="640"/>
      <c r="D774" s="640"/>
      <c r="E774" s="640"/>
      <c r="F774" s="640"/>
      <c r="G774" s="640"/>
      <c r="H774" s="640"/>
      <c r="I774" s="641"/>
      <c r="K774" s="50"/>
      <c r="R774" s="177"/>
      <c r="S774" s="177"/>
      <c r="T774" s="177"/>
      <c r="U774" s="177"/>
      <c r="V774" s="177"/>
      <c r="W774" s="177"/>
      <c r="X774" s="177"/>
      <c r="Y774" s="177"/>
      <c r="Z774" s="177"/>
      <c r="AA774" s="177"/>
      <c r="AB774" s="177"/>
      <c r="AC774" s="177"/>
      <c r="AD774" s="177"/>
      <c r="AE774" s="177"/>
      <c r="AF774" s="177"/>
      <c r="AG774" s="177"/>
      <c r="AH774" s="177"/>
      <c r="AI774" s="177"/>
      <c r="AJ774" s="177"/>
    </row>
    <row r="775" spans="1:36" s="45" customFormat="1" ht="15" hidden="1" customHeight="1">
      <c r="A775" s="639"/>
      <c r="B775" s="640"/>
      <c r="C775" s="640"/>
      <c r="D775" s="640"/>
      <c r="E775" s="640"/>
      <c r="F775" s="640"/>
      <c r="G775" s="640"/>
      <c r="H775" s="640"/>
      <c r="I775" s="641"/>
      <c r="K775" s="50"/>
      <c r="R775" s="177"/>
      <c r="S775" s="177"/>
      <c r="T775" s="177"/>
      <c r="U775" s="177"/>
      <c r="V775" s="177"/>
      <c r="W775" s="177"/>
      <c r="X775" s="177"/>
      <c r="Y775" s="177"/>
      <c r="Z775" s="177"/>
      <c r="AA775" s="177"/>
      <c r="AB775" s="177"/>
      <c r="AC775" s="177"/>
      <c r="AD775" s="177"/>
      <c r="AE775" s="177"/>
      <c r="AF775" s="177"/>
      <c r="AG775" s="177"/>
      <c r="AH775" s="177"/>
      <c r="AI775" s="177"/>
      <c r="AJ775" s="177"/>
    </row>
    <row r="776" spans="1:36" s="45" customFormat="1" ht="15" hidden="1" customHeight="1">
      <c r="A776" s="639"/>
      <c r="B776" s="640"/>
      <c r="C776" s="640"/>
      <c r="D776" s="640"/>
      <c r="E776" s="640"/>
      <c r="F776" s="640"/>
      <c r="G776" s="640"/>
      <c r="H776" s="640"/>
      <c r="I776" s="641"/>
      <c r="K776" s="50"/>
      <c r="R776" s="177"/>
      <c r="S776" s="177"/>
      <c r="T776" s="177"/>
      <c r="U776" s="177"/>
      <c r="V776" s="177"/>
      <c r="W776" s="177"/>
      <c r="X776" s="177"/>
      <c r="Y776" s="177"/>
      <c r="Z776" s="177"/>
      <c r="AA776" s="177"/>
      <c r="AB776" s="177"/>
      <c r="AC776" s="177"/>
      <c r="AD776" s="177"/>
      <c r="AE776" s="177"/>
      <c r="AF776" s="177"/>
      <c r="AG776" s="177"/>
      <c r="AH776" s="177"/>
      <c r="AI776" s="177"/>
      <c r="AJ776" s="177"/>
    </row>
    <row r="777" spans="1:36" s="45" customFormat="1" ht="15" hidden="1" customHeight="1">
      <c r="A777" s="639"/>
      <c r="B777" s="640"/>
      <c r="C777" s="640"/>
      <c r="D777" s="640"/>
      <c r="E777" s="640"/>
      <c r="F777" s="640"/>
      <c r="G777" s="640"/>
      <c r="H777" s="640"/>
      <c r="I777" s="641"/>
      <c r="K777" s="50"/>
      <c r="R777" s="177"/>
      <c r="S777" s="177"/>
      <c r="T777" s="177"/>
      <c r="U777" s="177"/>
      <c r="V777" s="177"/>
      <c r="W777" s="177"/>
      <c r="X777" s="177"/>
      <c r="Y777" s="177"/>
      <c r="Z777" s="177"/>
      <c r="AA777" s="177"/>
      <c r="AB777" s="177"/>
      <c r="AC777" s="177"/>
      <c r="AD777" s="177"/>
      <c r="AE777" s="177"/>
      <c r="AF777" s="177"/>
      <c r="AG777" s="177"/>
      <c r="AH777" s="177"/>
      <c r="AI777" s="177"/>
      <c r="AJ777" s="177"/>
    </row>
    <row r="778" spans="1:36" s="45" customFormat="1" ht="15" hidden="1" customHeight="1">
      <c r="A778" s="639"/>
      <c r="B778" s="640"/>
      <c r="C778" s="640"/>
      <c r="D778" s="640"/>
      <c r="E778" s="640"/>
      <c r="F778" s="640"/>
      <c r="G778" s="640"/>
      <c r="H778" s="640"/>
      <c r="I778" s="641"/>
      <c r="K778" s="50"/>
      <c r="R778" s="177"/>
      <c r="S778" s="177"/>
      <c r="T778" s="177"/>
      <c r="U778" s="177"/>
      <c r="V778" s="177"/>
      <c r="W778" s="177"/>
      <c r="X778" s="177"/>
      <c r="Y778" s="177"/>
      <c r="Z778" s="177"/>
      <c r="AA778" s="177"/>
      <c r="AB778" s="177"/>
      <c r="AC778" s="177"/>
      <c r="AD778" s="177"/>
      <c r="AE778" s="177"/>
      <c r="AF778" s="177"/>
      <c r="AG778" s="177"/>
      <c r="AH778" s="177"/>
      <c r="AI778" s="177"/>
      <c r="AJ778" s="177"/>
    </row>
    <row r="779" spans="1:36" s="45" customFormat="1" ht="15" hidden="1" customHeight="1">
      <c r="A779" s="639"/>
      <c r="B779" s="640"/>
      <c r="C779" s="640"/>
      <c r="D779" s="640"/>
      <c r="E779" s="640"/>
      <c r="F779" s="640"/>
      <c r="G779" s="640"/>
      <c r="H779" s="640"/>
      <c r="I779" s="641"/>
      <c r="K779" s="50"/>
      <c r="R779" s="177"/>
      <c r="S779" s="177"/>
      <c r="T779" s="177"/>
      <c r="U779" s="177"/>
      <c r="V779" s="177"/>
      <c r="W779" s="177"/>
      <c r="X779" s="177"/>
      <c r="Y779" s="177"/>
      <c r="Z779" s="177"/>
      <c r="AA779" s="177"/>
      <c r="AB779" s="177"/>
      <c r="AC779" s="177"/>
      <c r="AD779" s="177"/>
      <c r="AE779" s="177"/>
      <c r="AF779" s="177"/>
      <c r="AG779" s="177"/>
      <c r="AH779" s="177"/>
      <c r="AI779" s="177"/>
      <c r="AJ779" s="177"/>
    </row>
    <row r="780" spans="1:36" s="45" customFormat="1" ht="15" hidden="1" customHeight="1">
      <c r="A780" s="639"/>
      <c r="B780" s="640"/>
      <c r="C780" s="640"/>
      <c r="D780" s="640"/>
      <c r="E780" s="640"/>
      <c r="F780" s="640"/>
      <c r="G780" s="640"/>
      <c r="H780" s="640"/>
      <c r="I780" s="641"/>
      <c r="K780" s="50"/>
      <c r="R780" s="177"/>
      <c r="S780" s="177"/>
      <c r="T780" s="177"/>
      <c r="U780" s="177"/>
      <c r="V780" s="177"/>
      <c r="W780" s="177"/>
      <c r="X780" s="177"/>
      <c r="Y780" s="177"/>
      <c r="Z780" s="177"/>
      <c r="AA780" s="177"/>
      <c r="AB780" s="177"/>
      <c r="AC780" s="177"/>
      <c r="AD780" s="177"/>
      <c r="AE780" s="177"/>
      <c r="AF780" s="177"/>
      <c r="AG780" s="177"/>
      <c r="AH780" s="177"/>
      <c r="AI780" s="177"/>
      <c r="AJ780" s="177"/>
    </row>
    <row r="781" spans="1:36" s="45" customFormat="1" ht="118.5" hidden="1" customHeight="1" thickBot="1">
      <c r="A781" s="642"/>
      <c r="B781" s="643"/>
      <c r="C781" s="643"/>
      <c r="D781" s="643"/>
      <c r="E781" s="643"/>
      <c r="F781" s="643"/>
      <c r="G781" s="643"/>
      <c r="H781" s="643"/>
      <c r="I781" s="644"/>
      <c r="K781" s="50"/>
      <c r="R781" s="177"/>
      <c r="S781" s="177"/>
      <c r="T781" s="177"/>
      <c r="U781" s="177"/>
      <c r="V781" s="177"/>
      <c r="W781" s="177"/>
      <c r="X781" s="177"/>
      <c r="Y781" s="177"/>
      <c r="Z781" s="177"/>
      <c r="AA781" s="177"/>
      <c r="AB781" s="177"/>
      <c r="AC781" s="177"/>
      <c r="AD781" s="177"/>
      <c r="AE781" s="177"/>
      <c r="AF781" s="177"/>
      <c r="AG781" s="177"/>
      <c r="AH781" s="177"/>
      <c r="AI781" s="177"/>
      <c r="AJ781" s="177"/>
    </row>
    <row r="782" spans="1:36" s="180" customFormat="1" ht="45.75" hidden="1" customHeight="1" thickBot="1">
      <c r="A782" s="95"/>
      <c r="B782" s="94" t="s">
        <v>11</v>
      </c>
      <c r="C782" s="94" t="s">
        <v>30</v>
      </c>
      <c r="D782" s="94" t="s">
        <v>31</v>
      </c>
      <c r="E782" s="94" t="s">
        <v>136</v>
      </c>
      <c r="F782" s="94" t="s">
        <v>12</v>
      </c>
      <c r="G782" s="94" t="s">
        <v>13</v>
      </c>
      <c r="H782" s="94" t="s">
        <v>14</v>
      </c>
      <c r="I782" s="94" t="s">
        <v>157</v>
      </c>
      <c r="J782" s="123"/>
      <c r="K782" s="344" t="str">
        <f>IF(I102&lt;&gt;"Pass","","DO_ALL")</f>
        <v/>
      </c>
      <c r="L782" s="184"/>
      <c r="M782" s="184"/>
      <c r="N782" s="184"/>
      <c r="O782" s="184"/>
      <c r="R782" s="178"/>
      <c r="S782" s="178"/>
      <c r="T782" s="178"/>
      <c r="U782" s="178"/>
      <c r="V782" s="178"/>
      <c r="W782" s="178"/>
      <c r="X782" s="178"/>
      <c r="Y782" s="178"/>
      <c r="Z782" s="178"/>
      <c r="AA782" s="178"/>
      <c r="AB782" s="178"/>
      <c r="AC782" s="178"/>
      <c r="AD782" s="178"/>
      <c r="AE782" s="178"/>
      <c r="AF782" s="178"/>
      <c r="AG782" s="178"/>
      <c r="AH782" s="178"/>
      <c r="AI782" s="178"/>
      <c r="AJ782" s="178"/>
    </row>
    <row r="783" spans="1:36" s="180" customFormat="1" ht="15.75" hidden="1" thickBot="1">
      <c r="A783" s="130"/>
      <c r="B783" s="84"/>
      <c r="C783" s="78"/>
      <c r="D783" s="58"/>
      <c r="E783" s="58"/>
      <c r="F783" s="58"/>
      <c r="G783" s="58"/>
      <c r="H783" s="58"/>
      <c r="I783" s="58"/>
      <c r="J783" s="184"/>
      <c r="K783" s="291" t="s">
        <v>80</v>
      </c>
      <c r="L783" s="184"/>
      <c r="M783" s="184"/>
      <c r="N783" s="184"/>
      <c r="O783" s="184"/>
      <c r="R783" s="178"/>
      <c r="S783" s="178"/>
      <c r="T783" s="178"/>
      <c r="U783" s="178"/>
      <c r="V783" s="178"/>
      <c r="W783" s="178"/>
      <c r="X783" s="178"/>
      <c r="Y783" s="178"/>
      <c r="Z783" s="178"/>
      <c r="AA783" s="178"/>
      <c r="AB783" s="178"/>
      <c r="AC783" s="178"/>
      <c r="AD783" s="178"/>
      <c r="AE783" s="178"/>
      <c r="AF783" s="178"/>
      <c r="AG783" s="178"/>
      <c r="AH783" s="178"/>
      <c r="AI783" s="178"/>
      <c r="AJ783" s="178"/>
    </row>
    <row r="784" spans="1:36" s="175" customFormat="1" ht="15.75" hidden="1" thickBot="1">
      <c r="A784" s="130"/>
      <c r="B784" s="290" t="s">
        <v>186</v>
      </c>
      <c r="C784" s="58"/>
      <c r="D784" s="58"/>
      <c r="E784" s="58"/>
      <c r="F784" s="58"/>
      <c r="G784" s="58"/>
      <c r="H784" s="58"/>
      <c r="I784" s="58"/>
      <c r="J784" s="291"/>
      <c r="K784" s="291" t="s">
        <v>77</v>
      </c>
      <c r="L784" s="291" t="s">
        <v>75</v>
      </c>
      <c r="M784" s="238" t="str">
        <f ca="1">INDEX(tblGoSubRoutineStartCell[StartCell],MATCH(B784,tblGoSubRoutineStartCell[GoSub Routine],0))</f>
        <v>K104</v>
      </c>
      <c r="N784" s="184"/>
      <c r="O784" s="184"/>
      <c r="P784" s="184"/>
      <c r="Q784" s="184"/>
    </row>
    <row r="785" spans="1:36" s="175" customFormat="1" ht="15.75" hidden="1" thickBot="1">
      <c r="A785" s="130"/>
      <c r="B785" s="290" t="s">
        <v>188</v>
      </c>
      <c r="C785" s="58"/>
      <c r="D785" s="58"/>
      <c r="E785" s="58"/>
      <c r="F785" s="58"/>
      <c r="G785" s="58"/>
      <c r="H785" s="58"/>
      <c r="I785" s="58"/>
      <c r="J785" s="291"/>
      <c r="K785" s="291" t="s">
        <v>77</v>
      </c>
      <c r="L785" s="291" t="s">
        <v>75</v>
      </c>
      <c r="M785" s="238" t="str">
        <f ca="1">INDEX(tblGoSubRoutineStartCell[StartCell],MATCH(B785,tblGoSubRoutineStartCell[GoSub Routine],0))</f>
        <v>K121</v>
      </c>
      <c r="N785" s="184"/>
      <c r="O785" s="184"/>
      <c r="P785" s="184"/>
      <c r="Q785" s="184"/>
    </row>
    <row r="786" spans="1:36" s="380" customFormat="1" ht="40.5" hidden="1" customHeight="1">
      <c r="A786" s="131"/>
      <c r="B786" s="249" t="s">
        <v>713</v>
      </c>
      <c r="C786" s="113"/>
      <c r="D786" s="113"/>
      <c r="E786" s="113"/>
      <c r="F786" s="113"/>
      <c r="G786" s="113"/>
      <c r="H786" s="113"/>
      <c r="I786" s="113"/>
      <c r="J786" s="384"/>
      <c r="K786" s="405" t="s">
        <v>82</v>
      </c>
      <c r="L786" s="89" t="str">
        <f>B786</f>
        <v>Make sure Load IMon Rotary Switch is Set to EXT
ENSURE A BUNG HAS BEEN FITTED TO THE EXTRACTOR OUTPUT TO PREVENT ARCING.</v>
      </c>
      <c r="M786" s="384"/>
      <c r="N786" s="384"/>
      <c r="O786" s="384"/>
      <c r="P786" s="384"/>
      <c r="Q786" s="384"/>
    </row>
    <row r="787" spans="1:36" s="175" customFormat="1" ht="40.5" hidden="1" customHeight="1">
      <c r="A787" s="131"/>
      <c r="B787" s="442" t="s">
        <v>453</v>
      </c>
      <c r="C787" s="113"/>
      <c r="D787" s="113"/>
      <c r="E787" s="113"/>
      <c r="F787" s="113"/>
      <c r="G787" s="113"/>
      <c r="H787" s="113"/>
      <c r="I787" s="113"/>
      <c r="J787" s="184"/>
      <c r="K787" s="291" t="s">
        <v>82</v>
      </c>
      <c r="L787" s="89" t="str">
        <f>B787</f>
        <v>PLEASE ENSURE UUT IS SWITCH ON VIA FRONT PANEL!</v>
      </c>
      <c r="M787" s="184"/>
      <c r="N787" s="184"/>
      <c r="O787" s="184"/>
      <c r="P787" s="184"/>
      <c r="Q787" s="184"/>
    </row>
    <row r="788" spans="1:36" s="180" customFormat="1" ht="15.75" hidden="1" thickBot="1">
      <c r="A788" s="130"/>
      <c r="B788" s="443"/>
      <c r="C788" s="78"/>
      <c r="D788" s="58"/>
      <c r="E788" s="58"/>
      <c r="F788" s="58"/>
      <c r="G788" s="58"/>
      <c r="H788" s="58"/>
      <c r="I788" s="58"/>
      <c r="J788" s="184"/>
      <c r="K788" s="301" t="s">
        <v>80</v>
      </c>
      <c r="L788" s="184"/>
      <c r="M788" s="184"/>
      <c r="N788" s="184"/>
      <c r="O788" s="184"/>
      <c r="R788" s="178"/>
      <c r="S788" s="178"/>
      <c r="T788" s="178"/>
      <c r="U788" s="178"/>
      <c r="V788" s="178"/>
      <c r="W788" s="178"/>
      <c r="X788" s="178"/>
      <c r="Y788" s="178"/>
      <c r="Z788" s="178"/>
      <c r="AA788" s="178"/>
      <c r="AB788" s="178"/>
      <c r="AC788" s="178"/>
      <c r="AD788" s="178"/>
      <c r="AE788" s="178"/>
      <c r="AF788" s="178"/>
      <c r="AG788" s="178"/>
      <c r="AH788" s="178"/>
      <c r="AI788" s="178"/>
      <c r="AJ788" s="178"/>
    </row>
    <row r="789" spans="1:36" s="175" customFormat="1" ht="20.25" hidden="1" customHeight="1" thickBot="1">
      <c r="A789" s="326"/>
      <c r="B789" s="327"/>
      <c r="C789" s="327"/>
      <c r="D789" s="329" t="s">
        <v>288</v>
      </c>
      <c r="E789" s="327"/>
      <c r="F789" s="327"/>
      <c r="G789" s="327"/>
      <c r="H789" s="327"/>
      <c r="I789" s="328"/>
      <c r="J789" s="184"/>
      <c r="K789" s="89" t="s">
        <v>80</v>
      </c>
      <c r="L789" s="184"/>
      <c r="M789" s="184"/>
      <c r="N789" s="184"/>
      <c r="O789" s="184"/>
      <c r="P789" s="184"/>
      <c r="Q789" s="184"/>
    </row>
    <row r="790" spans="1:36" s="180" customFormat="1" ht="15.75" hidden="1" thickBot="1">
      <c r="A790" s="130"/>
      <c r="B790" s="84"/>
      <c r="C790" s="78"/>
      <c r="D790" s="58"/>
      <c r="E790" s="58"/>
      <c r="F790" s="58"/>
      <c r="G790" s="58"/>
      <c r="H790" s="58"/>
      <c r="I790" s="58"/>
      <c r="J790" s="184"/>
      <c r="K790" s="291" t="s">
        <v>80</v>
      </c>
      <c r="L790" s="184"/>
      <c r="M790" s="184"/>
      <c r="N790" s="184"/>
      <c r="O790" s="184"/>
      <c r="R790" s="178"/>
      <c r="S790" s="178"/>
      <c r="T790" s="178"/>
      <c r="U790" s="178"/>
      <c r="V790" s="178"/>
      <c r="W790" s="178"/>
      <c r="X790" s="178"/>
      <c r="Y790" s="178"/>
      <c r="Z790" s="178"/>
      <c r="AA790" s="178"/>
      <c r="AB790" s="178"/>
      <c r="AC790" s="178"/>
      <c r="AD790" s="178"/>
      <c r="AE790" s="178"/>
      <c r="AF790" s="178"/>
      <c r="AG790" s="178"/>
      <c r="AH790" s="178"/>
      <c r="AI790" s="178"/>
      <c r="AJ790" s="178"/>
    </row>
    <row r="791" spans="1:36" s="175" customFormat="1" ht="15.75" hidden="1" thickBot="1">
      <c r="A791" s="130"/>
      <c r="B791" s="290" t="s">
        <v>488</v>
      </c>
      <c r="C791" s="58"/>
      <c r="D791" s="58"/>
      <c r="E791" s="58"/>
      <c r="F791" s="58"/>
      <c r="G791" s="58"/>
      <c r="H791" s="58"/>
      <c r="I791" s="58"/>
      <c r="J791" s="291"/>
      <c r="K791" s="291" t="s">
        <v>77</v>
      </c>
      <c r="L791" s="291" t="s">
        <v>75</v>
      </c>
      <c r="M791" s="238" t="str">
        <f ca="1">INDEX(tblGoSubRoutineStartCell[StartCell],MATCH(B791,tblGoSubRoutineStartCell[GoSub Routine],0))</f>
        <v>K233</v>
      </c>
      <c r="N791" s="184"/>
      <c r="O791" s="184"/>
      <c r="P791" s="184"/>
      <c r="Q791" s="184"/>
    </row>
    <row r="792" spans="1:36" s="45" customFormat="1" ht="15" hidden="1">
      <c r="A792" s="271"/>
      <c r="B792" s="240" t="s">
        <v>483</v>
      </c>
      <c r="C792" s="272"/>
      <c r="D792" s="272"/>
      <c r="E792" s="272"/>
      <c r="F792" s="272"/>
      <c r="G792" s="272"/>
      <c r="H792" s="272"/>
      <c r="I792" s="272"/>
      <c r="K792" s="291" t="s">
        <v>27</v>
      </c>
      <c r="L792" s="291" t="s">
        <v>318</v>
      </c>
      <c r="M792" s="291" t="s">
        <v>455</v>
      </c>
      <c r="N792" s="291" t="s">
        <v>33</v>
      </c>
      <c r="O792" s="241">
        <v>4</v>
      </c>
      <c r="R792" s="177"/>
      <c r="S792" s="177"/>
      <c r="T792" s="177"/>
      <c r="U792" s="177"/>
      <c r="V792" s="177"/>
      <c r="W792" s="177"/>
      <c r="X792" s="177"/>
      <c r="Y792" s="177"/>
      <c r="Z792" s="177"/>
      <c r="AA792" s="177"/>
      <c r="AB792" s="177"/>
      <c r="AC792" s="177"/>
      <c r="AD792" s="177"/>
      <c r="AE792" s="177"/>
      <c r="AF792" s="177"/>
      <c r="AG792" s="177"/>
      <c r="AH792" s="177"/>
      <c r="AI792" s="177"/>
      <c r="AJ792" s="177"/>
    </row>
    <row r="793" spans="1:36" s="175" customFormat="1" ht="15" hidden="1">
      <c r="A793" s="130"/>
      <c r="B793" s="240" t="s">
        <v>343</v>
      </c>
      <c r="C793" s="78"/>
      <c r="D793" s="58"/>
      <c r="E793" s="58"/>
      <c r="F793" s="58"/>
      <c r="G793" s="58"/>
      <c r="H793" s="58"/>
      <c r="I793" s="58"/>
      <c r="J793" s="184"/>
      <c r="K793" s="291" t="s">
        <v>27</v>
      </c>
      <c r="L793" s="291" t="s">
        <v>313</v>
      </c>
      <c r="M793" s="291" t="s">
        <v>91</v>
      </c>
      <c r="N793" s="291" t="s">
        <v>315</v>
      </c>
      <c r="O793" s="241" t="s">
        <v>316</v>
      </c>
      <c r="P793" s="241" t="s">
        <v>312</v>
      </c>
      <c r="Q793" s="184"/>
    </row>
    <row r="794" spans="1:36" s="380" customFormat="1" ht="15" hidden="1">
      <c r="A794" s="399"/>
      <c r="B794" s="240" t="s">
        <v>720</v>
      </c>
      <c r="C794" s="390" t="s">
        <v>719</v>
      </c>
      <c r="D794" s="387"/>
      <c r="E794" s="387"/>
      <c r="F794" s="387"/>
      <c r="G794" s="387"/>
      <c r="H794" s="387"/>
      <c r="I794" s="387"/>
      <c r="J794" s="384"/>
      <c r="K794" s="420" t="s">
        <v>27</v>
      </c>
      <c r="L794" s="420" t="s">
        <v>313</v>
      </c>
      <c r="M794" s="420" t="s">
        <v>32</v>
      </c>
      <c r="N794" s="420" t="s">
        <v>315</v>
      </c>
      <c r="O794" s="241" t="str">
        <f>C794</f>
        <v>14,15</v>
      </c>
      <c r="P794" s="241"/>
      <c r="Q794" s="384"/>
    </row>
    <row r="795" spans="1:36" s="175" customFormat="1" ht="15" hidden="1">
      <c r="A795" s="130"/>
      <c r="B795" s="240" t="s">
        <v>484</v>
      </c>
      <c r="C795" s="78">
        <v>9</v>
      </c>
      <c r="D795" s="58"/>
      <c r="E795" s="58"/>
      <c r="F795" s="58"/>
      <c r="G795" s="58"/>
      <c r="H795" s="58"/>
      <c r="I795" s="58"/>
      <c r="J795" s="184"/>
      <c r="K795" s="241" t="str">
        <f>_xlfn.CONCAT("734|GND|REG1|DEC(",C795,")")</f>
        <v>734|GND|REG1|DEC(9)</v>
      </c>
      <c r="L795" s="291"/>
      <c r="M795" s="291"/>
      <c r="N795" s="291"/>
      <c r="O795" s="241"/>
      <c r="P795" s="241"/>
      <c r="Q795" s="184"/>
    </row>
    <row r="796" spans="1:36" s="175" customFormat="1" ht="15" hidden="1">
      <c r="A796" s="130"/>
      <c r="B796" s="246" t="s">
        <v>489</v>
      </c>
      <c r="C796" s="78">
        <v>2000</v>
      </c>
      <c r="D796" s="58"/>
      <c r="E796" s="58"/>
      <c r="F796" s="58"/>
      <c r="G796" s="58"/>
      <c r="H796" s="58"/>
      <c r="I796" s="58"/>
      <c r="J796" s="184"/>
      <c r="K796" s="291" t="s">
        <v>27</v>
      </c>
      <c r="L796" s="291" t="s">
        <v>42</v>
      </c>
      <c r="M796" s="216" t="s">
        <v>60</v>
      </c>
      <c r="N796" s="247" t="str">
        <f>B796</f>
        <v>Extractor Initialising…</v>
      </c>
      <c r="O796" s="210">
        <f>C796</f>
        <v>2000</v>
      </c>
      <c r="P796" s="184"/>
      <c r="Q796" s="184"/>
    </row>
    <row r="797" spans="1:36" s="175" customFormat="1" ht="15.75" hidden="1" customHeight="1" thickBot="1">
      <c r="A797" s="130"/>
      <c r="B797" s="240" t="s">
        <v>335</v>
      </c>
      <c r="C797" s="78"/>
      <c r="D797" s="58"/>
      <c r="E797" s="459"/>
      <c r="F797" s="58"/>
      <c r="G797" s="58"/>
      <c r="H797" s="58"/>
      <c r="I797" s="58"/>
      <c r="J797" s="184"/>
      <c r="K797" s="291" t="s">
        <v>27</v>
      </c>
      <c r="L797" s="291" t="s">
        <v>319</v>
      </c>
      <c r="M797" s="291" t="s">
        <v>55</v>
      </c>
      <c r="N797" s="241" t="s">
        <v>310</v>
      </c>
      <c r="O797" s="184"/>
      <c r="P797" s="184"/>
      <c r="Q797" s="184"/>
    </row>
    <row r="798" spans="1:36" s="175" customFormat="1" ht="15" hidden="1" customHeight="1" thickBot="1">
      <c r="A798" s="132" cm="1">
        <f t="array" ref="A798">SSATSLineNumbers(A798,0.01)</f>
        <v>5.01</v>
      </c>
      <c r="B798" s="244" t="s">
        <v>504</v>
      </c>
      <c r="C798" s="66">
        <v>0</v>
      </c>
      <c r="D798" s="84"/>
      <c r="E798" s="457" t="str">
        <f>IF(E797="","[AUTO]",(E797*T798))</f>
        <v>[AUTO]</v>
      </c>
      <c r="F798" s="86">
        <f ca="1">P798</f>
        <v>-0.3</v>
      </c>
      <c r="G798" s="86">
        <f ca="1">Q798</f>
        <v>0.3</v>
      </c>
      <c r="H798" s="86" t="str">
        <f ca="1">R798</f>
        <v>uA</v>
      </c>
      <c r="I798" s="59" t="str">
        <f>IF(E798 ="[AUTO]","TBC", IF(AND(E798&gt;=F798,E798&lt;=G798 ),"Pass","Fail"))</f>
        <v>TBC</v>
      </c>
      <c r="J798" s="184"/>
      <c r="K798" s="291" t="s">
        <v>80</v>
      </c>
      <c r="L798" s="184"/>
      <c r="M798" s="184"/>
      <c r="N798" s="184"/>
      <c r="O798" s="184"/>
      <c r="P798" s="245">
        <f ca="1">C798+(INDEX(tblProductScalesMeasures[Min],MATCH(_xlfn.CONCAT(B798),tblProductScalesMeasures[Description],0)))</f>
        <v>-0.3</v>
      </c>
      <c r="Q798" s="245">
        <f ca="1">C798+(INDEX(tblProductScalesMeasures[Max],MATCH(_xlfn.CONCAT(B798),tblProductScalesMeasures[Description],0)))</f>
        <v>0.3</v>
      </c>
      <c r="R798" s="245" t="str">
        <f ca="1">(INDEX(tblProductScalesMeasures[Unit],MATCH(_xlfn.CONCAT(B798),tblProductScalesMeasures[Description],0)))</f>
        <v>uA</v>
      </c>
      <c r="S798" s="177"/>
      <c r="T798" s="245">
        <f ca="1">IF(COUNTIF(tblExempt[],R798)&gt;0,0,INDEX(tblScaling[Divider],MATCH(_xlfn.CONCAT(IF(ISNUMBER(SEARCH(" ",section_5_heading))=FALSE,SUBSTITUTE(section_5_heading," ",""),"")," ",R798),tblScaling[Description],0)))</f>
        <v>1000000</v>
      </c>
    </row>
    <row r="799" spans="1:36" s="180" customFormat="1" ht="16.5" hidden="1" customHeight="1" thickBot="1">
      <c r="A799" s="133"/>
      <c r="B799" s="237" t="s">
        <v>70</v>
      </c>
      <c r="C799" s="57"/>
      <c r="D799" s="57"/>
      <c r="E799" s="80"/>
      <c r="F799" s="57"/>
      <c r="G799" s="57"/>
      <c r="H799" s="57"/>
      <c r="I799" s="57"/>
      <c r="J799" s="184"/>
      <c r="K799" s="116" t="s">
        <v>27</v>
      </c>
      <c r="L799" s="116" t="s">
        <v>42</v>
      </c>
      <c r="M799" s="116" t="s">
        <v>129</v>
      </c>
      <c r="N799" s="116" t="str">
        <f ca="1">SUBSTITUTE(CELL("address",K791),"$","")</f>
        <v>K791</v>
      </c>
      <c r="O799" s="116" t="s">
        <v>130</v>
      </c>
      <c r="P799" s="228" t="s">
        <v>75</v>
      </c>
      <c r="Q799" s="250" t="str">
        <f ca="1">INDEX(tblGoSubRoutineStartCell[StartCell],MATCH(B799,tblGoSubRoutineStartCell[GoSub Routine],0))</f>
        <v>K56</v>
      </c>
      <c r="R799" s="184"/>
      <c r="S799" s="178"/>
      <c r="T799" s="178"/>
      <c r="U799" s="178"/>
      <c r="V799" s="178"/>
      <c r="W799" s="178"/>
      <c r="X799" s="178"/>
      <c r="Y799" s="178"/>
      <c r="Z799" s="178"/>
      <c r="AA799" s="178"/>
      <c r="AB799" s="178"/>
      <c r="AC799" s="178"/>
      <c r="AD799" s="178"/>
      <c r="AE799" s="178"/>
      <c r="AF799" s="178"/>
      <c r="AG799" s="178"/>
      <c r="AH799" s="178"/>
      <c r="AI799" s="178"/>
      <c r="AJ799" s="178"/>
    </row>
    <row r="800" spans="1:36" s="175" customFormat="1" ht="15.75" hidden="1" thickBot="1">
      <c r="A800" s="130"/>
      <c r="B800" s="240" t="s">
        <v>471</v>
      </c>
      <c r="C800" s="78">
        <v>4</v>
      </c>
      <c r="D800" s="58"/>
      <c r="E800" s="455"/>
      <c r="F800" s="58"/>
      <c r="G800" s="58"/>
      <c r="H800" s="58"/>
      <c r="I800" s="58"/>
      <c r="J800" s="184"/>
      <c r="K800" s="291" t="s">
        <v>27</v>
      </c>
      <c r="L800" s="291" t="s">
        <v>318</v>
      </c>
      <c r="M800" s="291" t="s">
        <v>55</v>
      </c>
      <c r="N800" s="291" t="s">
        <v>33</v>
      </c>
      <c r="O800" s="241">
        <f>C800</f>
        <v>4</v>
      </c>
      <c r="P800" s="241"/>
      <c r="Q800" s="184"/>
    </row>
    <row r="801" spans="1:36" s="175" customFormat="1" ht="15" hidden="1" customHeight="1" thickBot="1">
      <c r="A801" s="132" cm="1">
        <f t="array" ref="A801">SSATSLineNumbers(A801,0.01)</f>
        <v>5.0199999999999996</v>
      </c>
      <c r="B801" s="244" t="s">
        <v>507</v>
      </c>
      <c r="C801" s="66">
        <v>0</v>
      </c>
      <c r="D801" s="84"/>
      <c r="E801" s="457" t="str">
        <f>IF(E800="","[AUTO]",E800*T801)</f>
        <v>[AUTO]</v>
      </c>
      <c r="F801" s="86">
        <f ca="1">P801</f>
        <v>-100</v>
      </c>
      <c r="G801" s="86">
        <f ca="1">Q801</f>
        <v>40</v>
      </c>
      <c r="H801" s="86" t="str">
        <f ca="1">R801</f>
        <v>V</v>
      </c>
      <c r="I801" s="59" t="str">
        <f>IF(E801 ="[AUTO]","TBC", IF(AND(E801&gt;=F801,E801&lt;=G801 ),"Pass","Fail"))</f>
        <v>TBC</v>
      </c>
      <c r="J801" s="184"/>
      <c r="K801" s="291" t="s">
        <v>80</v>
      </c>
      <c r="L801" s="184"/>
      <c r="M801" s="184"/>
      <c r="N801" s="184"/>
      <c r="O801" s="184"/>
      <c r="P801" s="245">
        <f ca="1">C801+(INDEX(tblProductScalesMeasures[Min],MATCH(_xlfn.CONCAT(B801),tblProductScalesMeasures[Description],0)))</f>
        <v>-100</v>
      </c>
      <c r="Q801" s="245">
        <f ca="1">C801+(INDEX(tblProductScalesMeasures[Max],MATCH(_xlfn.CONCAT(B801),tblProductScalesMeasures[Description],0)))</f>
        <v>40</v>
      </c>
      <c r="R801" s="245" t="str">
        <f ca="1">(INDEX(tblProductScalesMeasures[Unit],MATCH(_xlfn.CONCAT(B801),tblProductScalesMeasures[Description],0)))</f>
        <v>V</v>
      </c>
      <c r="S801" s="177"/>
      <c r="T801" s="245">
        <f ca="1">IF(COUNTIF(tblExempt[],R801)&gt;0,0,INDEX(tblScaling[Divider],MATCH(_xlfn.CONCAT(IF(ISNUMBER(SEARCH(" ",section_5_heading))=FALSE,SUBSTITUTE(section_5_heading," ",""),"")," ",R801),tblScaling[Description],0)))</f>
        <v>10000</v>
      </c>
    </row>
    <row r="802" spans="1:36" s="180" customFormat="1" ht="16.5" hidden="1" customHeight="1" thickBot="1">
      <c r="A802" s="133"/>
      <c r="B802" s="237" t="s">
        <v>70</v>
      </c>
      <c r="C802" s="57"/>
      <c r="D802" s="57"/>
      <c r="E802" s="80"/>
      <c r="F802" s="57"/>
      <c r="G802" s="57"/>
      <c r="H802" s="57"/>
      <c r="I802" s="57"/>
      <c r="J802" s="184"/>
      <c r="K802" s="116" t="s">
        <v>27</v>
      </c>
      <c r="L802" s="116" t="s">
        <v>42</v>
      </c>
      <c r="M802" s="116" t="s">
        <v>129</v>
      </c>
      <c r="N802" s="116" t="str">
        <f ca="1">SUBSTITUTE(CELL("address",K800),"$","")</f>
        <v>K800</v>
      </c>
      <c r="O802" s="116" t="s">
        <v>130</v>
      </c>
      <c r="P802" s="228" t="s">
        <v>75</v>
      </c>
      <c r="Q802" s="250" t="str">
        <f ca="1">INDEX(tblGoSubRoutineStartCell[StartCell],MATCH(B802,tblGoSubRoutineStartCell[GoSub Routine],0))</f>
        <v>K56</v>
      </c>
      <c r="R802" s="184"/>
      <c r="S802" s="178"/>
      <c r="T802" s="178"/>
      <c r="U802" s="178"/>
      <c r="V802" s="178"/>
      <c r="W802" s="178"/>
      <c r="X802" s="178"/>
      <c r="Y802" s="178"/>
      <c r="Z802" s="178"/>
      <c r="AA802" s="178"/>
      <c r="AB802" s="178"/>
      <c r="AC802" s="178"/>
      <c r="AD802" s="178"/>
      <c r="AE802" s="178"/>
      <c r="AF802" s="178"/>
      <c r="AG802" s="178"/>
      <c r="AH802" s="178"/>
      <c r="AI802" s="178"/>
      <c r="AJ802" s="178"/>
    </row>
    <row r="803" spans="1:36" s="175" customFormat="1" ht="15" hidden="1">
      <c r="A803" s="130"/>
      <c r="B803" s="240" t="s">
        <v>490</v>
      </c>
      <c r="C803" s="78">
        <v>15000</v>
      </c>
      <c r="D803" s="58"/>
      <c r="E803" s="58"/>
      <c r="F803" s="58"/>
      <c r="G803" s="58"/>
      <c r="H803" s="58"/>
      <c r="I803" s="58"/>
      <c r="J803" s="184"/>
      <c r="K803" s="241" t="str">
        <f>_xlfn.CONCAT("734|FLOAT|OUT1|FLT(",C803,")")</f>
        <v>734|FLOAT|OUT1|FLT(15000)</v>
      </c>
      <c r="L803" s="291"/>
      <c r="M803" s="291"/>
      <c r="N803" s="291"/>
      <c r="O803" s="241"/>
      <c r="P803" s="241"/>
      <c r="Q803" s="184"/>
    </row>
    <row r="804" spans="1:36" s="175" customFormat="1" ht="15" hidden="1">
      <c r="A804" s="130"/>
      <c r="B804" s="246" t="s">
        <v>521</v>
      </c>
      <c r="C804" s="78">
        <v>30000</v>
      </c>
      <c r="D804" s="58"/>
      <c r="E804" s="58"/>
      <c r="F804" s="58"/>
      <c r="G804" s="58"/>
      <c r="H804" s="58"/>
      <c r="I804" s="58"/>
      <c r="J804" s="184"/>
      <c r="K804" s="291" t="s">
        <v>27</v>
      </c>
      <c r="L804" s="291" t="s">
        <v>42</v>
      </c>
      <c r="M804" s="216" t="s">
        <v>60</v>
      </c>
      <c r="N804" s="247" t="str">
        <f>B804</f>
        <v xml:space="preserve">Extractor Initialising… </v>
      </c>
      <c r="O804" s="210">
        <f>C804</f>
        <v>30000</v>
      </c>
      <c r="P804" s="184"/>
      <c r="Q804" s="184"/>
    </row>
    <row r="805" spans="1:36" s="175" customFormat="1" ht="15.75" hidden="1" thickBot="1">
      <c r="A805" s="130"/>
      <c r="B805" s="240" t="s">
        <v>471</v>
      </c>
      <c r="C805" s="78">
        <v>4</v>
      </c>
      <c r="D805" s="58"/>
      <c r="E805" s="455"/>
      <c r="F805" s="58"/>
      <c r="G805" s="58"/>
      <c r="H805" s="58"/>
      <c r="I805" s="58"/>
      <c r="J805" s="184"/>
      <c r="K805" s="291" t="s">
        <v>27</v>
      </c>
      <c r="L805" s="291" t="s">
        <v>318</v>
      </c>
      <c r="M805" s="291" t="s">
        <v>55</v>
      </c>
      <c r="N805" s="291" t="s">
        <v>33</v>
      </c>
      <c r="O805" s="241">
        <f>C805</f>
        <v>4</v>
      </c>
      <c r="P805" s="241"/>
      <c r="Q805" s="184"/>
    </row>
    <row r="806" spans="1:36" s="175" customFormat="1" ht="15" hidden="1" customHeight="1" thickBot="1">
      <c r="A806" s="132" cm="1">
        <f t="array" ref="A806">SSATSLineNumbers(A806,0.01)</f>
        <v>5.03</v>
      </c>
      <c r="B806" s="244" t="s">
        <v>506</v>
      </c>
      <c r="C806" s="66">
        <v>-15000</v>
      </c>
      <c r="D806" s="84"/>
      <c r="E806" s="457" t="str">
        <f>IF(E805="","[AUTO]",E805*T806)</f>
        <v>[AUTO]</v>
      </c>
      <c r="F806" s="86">
        <f ca="1">P806</f>
        <v>-15100</v>
      </c>
      <c r="G806" s="86">
        <f ca="1">Q806</f>
        <v>-14900</v>
      </c>
      <c r="H806" s="86" t="str">
        <f ca="1">R806</f>
        <v>V</v>
      </c>
      <c r="I806" s="59" t="str">
        <f>IF(E806 ="[AUTO]","TBC", IF(AND(E806&gt;=F806,E806&lt;=G806 ),"Pass","Fail"))</f>
        <v>TBC</v>
      </c>
      <c r="J806" s="184"/>
      <c r="K806" s="291" t="s">
        <v>80</v>
      </c>
      <c r="L806" s="184"/>
      <c r="M806" s="184"/>
      <c r="N806" s="184"/>
      <c r="O806" s="184"/>
      <c r="P806" s="245">
        <f ca="1">C806+(INDEX(tblProductScalesMeasures[Min],MATCH(_xlfn.CONCAT(B806),tblProductScalesMeasures[Description],0)))</f>
        <v>-15100</v>
      </c>
      <c r="Q806" s="245">
        <f ca="1">C806+(INDEX(tblProductScalesMeasures[Max],MATCH(_xlfn.CONCAT(B806),tblProductScalesMeasures[Description],0)))</f>
        <v>-14900</v>
      </c>
      <c r="R806" s="245" t="str">
        <f ca="1">(INDEX(tblProductScalesMeasures[Unit],MATCH(_xlfn.CONCAT(B806),tblProductScalesMeasures[Description],0)))</f>
        <v>V</v>
      </c>
      <c r="S806" s="177"/>
      <c r="T806" s="245">
        <f ca="1">IF(COUNTIF(tblExempt[],R806)&gt;0,0,INDEX(tblScaling[Divider],MATCH(_xlfn.CONCAT(IF(ISNUMBER(SEARCH(" ",section_5_heading))=FALSE,SUBSTITUTE(section_5_heading," ",""),"")," ",R806),tblScaling[Description],0)))</f>
        <v>10000</v>
      </c>
    </row>
    <row r="807" spans="1:36" s="180" customFormat="1" ht="16.5" hidden="1" customHeight="1" thickBot="1">
      <c r="A807" s="133"/>
      <c r="B807" s="237" t="s">
        <v>70</v>
      </c>
      <c r="C807" s="57"/>
      <c r="D807" s="57"/>
      <c r="E807" s="80"/>
      <c r="F807" s="57"/>
      <c r="G807" s="57"/>
      <c r="H807" s="57"/>
      <c r="I807" s="57"/>
      <c r="J807" s="184"/>
      <c r="K807" s="116" t="s">
        <v>27</v>
      </c>
      <c r="L807" s="116" t="s">
        <v>42</v>
      </c>
      <c r="M807" s="116" t="s">
        <v>129</v>
      </c>
      <c r="N807" s="116" t="str">
        <f ca="1">SUBSTITUTE(CELL("address",K803),"$","")</f>
        <v>K803</v>
      </c>
      <c r="O807" s="116" t="s">
        <v>130</v>
      </c>
      <c r="P807" s="228" t="s">
        <v>75</v>
      </c>
      <c r="Q807" s="250" t="str">
        <f ca="1">INDEX(tblGoSubRoutineStartCell[StartCell],MATCH(B807,tblGoSubRoutineStartCell[GoSub Routine],0))</f>
        <v>K56</v>
      </c>
      <c r="R807" s="184"/>
      <c r="S807" s="178"/>
      <c r="T807" s="178"/>
      <c r="U807" s="178"/>
      <c r="V807" s="178"/>
      <c r="W807" s="178"/>
      <c r="X807" s="178"/>
      <c r="Y807" s="178"/>
      <c r="Z807" s="178"/>
      <c r="AA807" s="178"/>
      <c r="AB807" s="178"/>
      <c r="AC807" s="178"/>
      <c r="AD807" s="178"/>
      <c r="AE807" s="178"/>
      <c r="AF807" s="178"/>
      <c r="AG807" s="178"/>
      <c r="AH807" s="178"/>
      <c r="AI807" s="178"/>
      <c r="AJ807" s="178"/>
    </row>
    <row r="808" spans="1:36" s="175" customFormat="1" ht="15" hidden="1">
      <c r="A808" s="130"/>
      <c r="B808" s="240" t="s">
        <v>520</v>
      </c>
      <c r="C808" s="78">
        <v>8</v>
      </c>
      <c r="D808" s="58"/>
      <c r="E808" s="58"/>
      <c r="F808" s="58"/>
      <c r="G808" s="58"/>
      <c r="H808" s="58"/>
      <c r="I808" s="58"/>
      <c r="J808" s="184"/>
      <c r="K808" s="241" t="str">
        <f>_xlfn.CONCAT("734|GND|REG1|DEC(",C808,")")</f>
        <v>734|GND|REG1|DEC(8)</v>
      </c>
      <c r="L808" s="336"/>
      <c r="M808" s="336"/>
      <c r="N808" s="336"/>
      <c r="O808" s="241"/>
      <c r="P808" s="241"/>
      <c r="Q808" s="184"/>
    </row>
    <row r="809" spans="1:36" s="175" customFormat="1" ht="15" hidden="1">
      <c r="A809" s="130"/>
      <c r="B809" s="240" t="s">
        <v>343</v>
      </c>
      <c r="C809" s="78"/>
      <c r="D809" s="58"/>
      <c r="E809" s="58"/>
      <c r="F809" s="58"/>
      <c r="G809" s="58"/>
      <c r="H809" s="58"/>
      <c r="I809" s="58"/>
      <c r="J809" s="184"/>
      <c r="K809" s="336" t="s">
        <v>27</v>
      </c>
      <c r="L809" s="336" t="s">
        <v>313</v>
      </c>
      <c r="M809" s="336" t="s">
        <v>91</v>
      </c>
      <c r="N809" s="336" t="s">
        <v>315</v>
      </c>
      <c r="O809" s="241" t="s">
        <v>316</v>
      </c>
      <c r="P809" s="241" t="s">
        <v>312</v>
      </c>
      <c r="Q809" s="184"/>
    </row>
    <row r="810" spans="1:36" s="180" customFormat="1" ht="15.75" hidden="1" thickBot="1">
      <c r="A810" s="130"/>
      <c r="B810" s="84"/>
      <c r="C810" s="78"/>
      <c r="D810" s="58"/>
      <c r="E810" s="58"/>
      <c r="F810" s="58"/>
      <c r="G810" s="58"/>
      <c r="H810" s="58"/>
      <c r="I810" s="58"/>
      <c r="J810" s="184"/>
      <c r="K810" s="291" t="s">
        <v>80</v>
      </c>
      <c r="L810" s="184"/>
      <c r="M810" s="184"/>
      <c r="N810" s="184"/>
      <c r="O810" s="184"/>
      <c r="R810" s="178"/>
      <c r="S810" s="178"/>
      <c r="T810" s="178"/>
      <c r="U810" s="178"/>
      <c r="V810" s="178"/>
      <c r="W810" s="178"/>
      <c r="X810" s="178"/>
      <c r="Y810" s="178"/>
      <c r="Z810" s="178"/>
      <c r="AA810" s="178"/>
      <c r="AB810" s="178"/>
      <c r="AC810" s="178"/>
      <c r="AD810" s="178"/>
      <c r="AE810" s="178"/>
      <c r="AF810" s="178"/>
      <c r="AG810" s="178"/>
      <c r="AH810" s="178"/>
      <c r="AI810" s="178"/>
      <c r="AJ810" s="178"/>
    </row>
    <row r="811" spans="1:36" s="175" customFormat="1" ht="20.25" hidden="1" customHeight="1" thickBot="1">
      <c r="A811" s="326"/>
      <c r="B811" s="327"/>
      <c r="C811" s="327"/>
      <c r="D811" s="329" t="s">
        <v>492</v>
      </c>
      <c r="E811" s="327"/>
      <c r="F811" s="327"/>
      <c r="G811" s="327"/>
      <c r="H811" s="327"/>
      <c r="I811" s="328"/>
      <c r="J811" s="184"/>
      <c r="K811" s="89" t="s">
        <v>80</v>
      </c>
      <c r="L811" s="184"/>
      <c r="M811" s="184"/>
      <c r="N811" s="184"/>
      <c r="O811" s="184"/>
      <c r="P811" s="184"/>
      <c r="Q811" s="184"/>
    </row>
    <row r="812" spans="1:36" s="180" customFormat="1" ht="15.75" hidden="1" thickBot="1">
      <c r="A812" s="130"/>
      <c r="B812" s="84"/>
      <c r="C812" s="78"/>
      <c r="D812" s="58"/>
      <c r="E812" s="58"/>
      <c r="F812" s="58"/>
      <c r="G812" s="58"/>
      <c r="H812" s="58"/>
      <c r="I812" s="58"/>
      <c r="J812" s="184"/>
      <c r="K812" s="291" t="s">
        <v>80</v>
      </c>
      <c r="L812" s="184"/>
      <c r="M812" s="184"/>
      <c r="N812" s="184"/>
      <c r="O812" s="184"/>
      <c r="R812" s="178"/>
      <c r="S812" s="178"/>
      <c r="T812" s="178"/>
      <c r="U812" s="178"/>
      <c r="V812" s="178"/>
      <c r="W812" s="178"/>
      <c r="X812" s="178"/>
      <c r="Y812" s="178"/>
      <c r="Z812" s="178"/>
      <c r="AA812" s="178"/>
      <c r="AB812" s="178"/>
      <c r="AC812" s="178"/>
      <c r="AD812" s="178"/>
      <c r="AE812" s="178"/>
      <c r="AF812" s="178"/>
      <c r="AG812" s="178"/>
      <c r="AH812" s="178"/>
      <c r="AI812" s="178"/>
      <c r="AJ812" s="178"/>
    </row>
    <row r="813" spans="1:36" s="175" customFormat="1" ht="15.75" hidden="1" thickBot="1">
      <c r="A813" s="130"/>
      <c r="B813" s="290" t="s">
        <v>188</v>
      </c>
      <c r="C813" s="58"/>
      <c r="D813" s="58"/>
      <c r="E813" s="58"/>
      <c r="F813" s="58"/>
      <c r="G813" s="58"/>
      <c r="H813" s="58"/>
      <c r="I813" s="58"/>
      <c r="J813" s="291"/>
      <c r="K813" s="291" t="s">
        <v>77</v>
      </c>
      <c r="L813" s="291" t="s">
        <v>75</v>
      </c>
      <c r="M813" s="238" t="str">
        <f ca="1">INDEX(tblGoSubRoutineStartCell[StartCell],MATCH(B813,tblGoSubRoutineStartCell[GoSub Routine],0))</f>
        <v>K121</v>
      </c>
      <c r="N813" s="184"/>
      <c r="O813" s="184"/>
      <c r="P813" s="184"/>
      <c r="Q813" s="184"/>
    </row>
    <row r="814" spans="1:36" s="175" customFormat="1" ht="15.75" hidden="1" thickBot="1">
      <c r="A814" s="130"/>
      <c r="B814" s="290" t="s">
        <v>488</v>
      </c>
      <c r="C814" s="58"/>
      <c r="D814" s="58"/>
      <c r="E814" s="58"/>
      <c r="F814" s="58"/>
      <c r="G814" s="58"/>
      <c r="H814" s="58"/>
      <c r="I814" s="58"/>
      <c r="J814" s="291"/>
      <c r="K814" s="291" t="s">
        <v>77</v>
      </c>
      <c r="L814" s="291" t="s">
        <v>75</v>
      </c>
      <c r="M814" s="238" t="str">
        <f ca="1">INDEX(tblGoSubRoutineStartCell[StartCell],MATCH(B814,tblGoSubRoutineStartCell[GoSub Routine],0))</f>
        <v>K233</v>
      </c>
      <c r="N814" s="184"/>
      <c r="O814" s="184"/>
      <c r="P814" s="184"/>
      <c r="Q814" s="184"/>
    </row>
    <row r="815" spans="1:36" s="175" customFormat="1" ht="15" hidden="1">
      <c r="A815" s="130"/>
      <c r="B815" s="240" t="s">
        <v>343</v>
      </c>
      <c r="C815" s="78"/>
      <c r="D815" s="58"/>
      <c r="E815" s="58"/>
      <c r="F815" s="58"/>
      <c r="G815" s="58"/>
      <c r="H815" s="58"/>
      <c r="I815" s="58"/>
      <c r="J815" s="184"/>
      <c r="K815" s="291" t="s">
        <v>27</v>
      </c>
      <c r="L815" s="291" t="s">
        <v>313</v>
      </c>
      <c r="M815" s="291" t="s">
        <v>91</v>
      </c>
      <c r="N815" s="291" t="s">
        <v>315</v>
      </c>
      <c r="O815" s="241" t="s">
        <v>316</v>
      </c>
      <c r="P815" s="241" t="s">
        <v>312</v>
      </c>
      <c r="Q815" s="184"/>
    </row>
    <row r="816" spans="1:36" s="175" customFormat="1" ht="15" hidden="1">
      <c r="A816" s="130"/>
      <c r="B816" s="240" t="s">
        <v>499</v>
      </c>
      <c r="C816" s="78" t="s">
        <v>721</v>
      </c>
      <c r="D816" s="58"/>
      <c r="E816" s="58"/>
      <c r="F816" s="58"/>
      <c r="G816" s="58"/>
      <c r="H816" s="58"/>
      <c r="I816" s="58"/>
      <c r="J816" s="184"/>
      <c r="K816" s="291" t="s">
        <v>27</v>
      </c>
      <c r="L816" s="291" t="s">
        <v>313</v>
      </c>
      <c r="M816" s="291" t="s">
        <v>32</v>
      </c>
      <c r="N816" s="291" t="s">
        <v>315</v>
      </c>
      <c r="O816" s="241" t="str">
        <f>C816</f>
        <v>8,14,15</v>
      </c>
      <c r="P816" s="241"/>
      <c r="Q816" s="184"/>
    </row>
    <row r="817" spans="1:36" s="175" customFormat="1" ht="15" hidden="1">
      <c r="A817" s="130"/>
      <c r="B817" s="240" t="s">
        <v>484</v>
      </c>
      <c r="C817" s="78">
        <v>9</v>
      </c>
      <c r="D817" s="58"/>
      <c r="E817" s="58"/>
      <c r="F817" s="58"/>
      <c r="G817" s="58"/>
      <c r="H817" s="58"/>
      <c r="I817" s="58"/>
      <c r="J817" s="184"/>
      <c r="K817" s="241" t="str">
        <f>_xlfn.CONCAT("734|GND|REG1|DEC(",C817,")")</f>
        <v>734|GND|REG1|DEC(9)</v>
      </c>
      <c r="L817" s="291"/>
      <c r="M817" s="291"/>
      <c r="N817" s="291"/>
      <c r="O817" s="241"/>
      <c r="P817" s="241"/>
      <c r="Q817" s="184"/>
    </row>
    <row r="818" spans="1:36" s="175" customFormat="1" ht="15" hidden="1">
      <c r="A818" s="130"/>
      <c r="B818" s="240" t="s">
        <v>490</v>
      </c>
      <c r="C818" s="78">
        <v>14750</v>
      </c>
      <c r="D818" s="58"/>
      <c r="E818" s="58"/>
      <c r="F818" s="58"/>
      <c r="G818" s="58"/>
      <c r="H818" s="58"/>
      <c r="I818" s="58"/>
      <c r="J818" s="184"/>
      <c r="K818" s="241" t="str">
        <f>_xlfn.CONCAT("734|FLOAT|OUT1|FLT(",C818,")")</f>
        <v>734|FLOAT|OUT1|FLT(14750)</v>
      </c>
      <c r="L818" s="291"/>
      <c r="M818" s="291"/>
      <c r="N818" s="291"/>
      <c r="O818" s="241"/>
      <c r="P818" s="241"/>
      <c r="Q818" s="184"/>
    </row>
    <row r="819" spans="1:36" s="175" customFormat="1" ht="15" hidden="1">
      <c r="A819" s="130"/>
      <c r="B819" s="293" t="s">
        <v>489</v>
      </c>
      <c r="C819" s="78">
        <v>30000</v>
      </c>
      <c r="D819" s="58"/>
      <c r="E819" s="58"/>
      <c r="F819" s="58"/>
      <c r="G819" s="58"/>
      <c r="H819" s="58"/>
      <c r="I819" s="58"/>
      <c r="J819" s="184"/>
      <c r="K819" s="291" t="s">
        <v>27</v>
      </c>
      <c r="L819" s="291" t="s">
        <v>42</v>
      </c>
      <c r="M819" s="216" t="s">
        <v>60</v>
      </c>
      <c r="N819" s="247" t="str">
        <f>B819</f>
        <v>Extractor Initialising…</v>
      </c>
      <c r="O819" s="210">
        <f>C819</f>
        <v>30000</v>
      </c>
      <c r="P819" s="184"/>
      <c r="Q819" s="184"/>
    </row>
    <row r="820" spans="1:36" s="175" customFormat="1" ht="15.75" hidden="1" thickBot="1">
      <c r="A820" s="130"/>
      <c r="B820" s="240" t="s">
        <v>471</v>
      </c>
      <c r="C820" s="78">
        <v>4</v>
      </c>
      <c r="D820" s="58"/>
      <c r="E820" s="455"/>
      <c r="F820" s="58"/>
      <c r="G820" s="58"/>
      <c r="H820" s="58"/>
      <c r="I820" s="58"/>
      <c r="J820" s="184"/>
      <c r="K820" s="291" t="s">
        <v>27</v>
      </c>
      <c r="L820" s="291" t="s">
        <v>318</v>
      </c>
      <c r="M820" s="291" t="s">
        <v>55</v>
      </c>
      <c r="N820" s="291" t="s">
        <v>33</v>
      </c>
      <c r="O820" s="241">
        <f>C820</f>
        <v>4</v>
      </c>
      <c r="P820" s="241"/>
      <c r="Q820" s="184"/>
    </row>
    <row r="821" spans="1:36" s="175" customFormat="1" ht="15" hidden="1" customHeight="1" thickBot="1">
      <c r="A821" s="132" cm="1">
        <f t="array" ref="A821">SSATSLineNumbers(A821,0.01)</f>
        <v>5.04</v>
      </c>
      <c r="B821" s="244" t="s">
        <v>491</v>
      </c>
      <c r="C821" s="66">
        <v>-14750</v>
      </c>
      <c r="D821" s="84"/>
      <c r="E821" s="457" t="str">
        <f>IF(E820="","[AUTO]",E820*T821)</f>
        <v>[AUTO]</v>
      </c>
      <c r="F821" s="86">
        <f ca="1">P821</f>
        <v>-14950</v>
      </c>
      <c r="G821" s="86">
        <f ca="1">Q821</f>
        <v>-14550</v>
      </c>
      <c r="H821" s="86" t="str">
        <f ca="1">R821</f>
        <v>V</v>
      </c>
      <c r="I821" s="59" t="str">
        <f>IF(E821 ="[AUTO]","TBC", IF(AND(E821&gt;=F821,E821&lt;=G821 ),"Pass","Fail"))</f>
        <v>TBC</v>
      </c>
      <c r="J821" s="184"/>
      <c r="K821" s="291" t="s">
        <v>80</v>
      </c>
      <c r="L821" s="184"/>
      <c r="M821" s="184"/>
      <c r="N821" s="184"/>
      <c r="O821" s="184"/>
      <c r="P821" s="245">
        <f ca="1">C821+(INDEX(tblProductScalesMeasures[Min],MATCH(_xlfn.CONCAT(B821),tblProductScalesMeasures[Description],0)))</f>
        <v>-14950</v>
      </c>
      <c r="Q821" s="245">
        <f ca="1">C821+(INDEX(tblProductScalesMeasures[Max],MATCH(_xlfn.CONCAT(B821),tblProductScalesMeasures[Description],0)))</f>
        <v>-14550</v>
      </c>
      <c r="R821" s="245" t="str">
        <f ca="1">(INDEX(tblProductScalesMeasures[Unit],MATCH(_xlfn.CONCAT(B821),tblProductScalesMeasures[Description],0)))</f>
        <v>V</v>
      </c>
      <c r="S821" s="177"/>
      <c r="T821" s="245">
        <f ca="1">IF(COUNTIF(tblExempt[],R821)&gt;0,0,INDEX(tblScaling[Divider],MATCH(_xlfn.CONCAT(IF(ISNUMBER(SEARCH(" ",section_5_heading))=FALSE,SUBSTITUTE(section_5_heading," ",""),"")," ",R821),tblScaling[Description],0)))</f>
        <v>10000</v>
      </c>
    </row>
    <row r="822" spans="1:36" s="180" customFormat="1" ht="16.5" hidden="1" customHeight="1" thickBot="1">
      <c r="A822" s="133"/>
      <c r="B822" s="237" t="s">
        <v>70</v>
      </c>
      <c r="C822" s="57"/>
      <c r="D822" s="57"/>
      <c r="E822" s="80"/>
      <c r="F822" s="57"/>
      <c r="G822" s="57"/>
      <c r="H822" s="57"/>
      <c r="I822" s="57"/>
      <c r="J822" s="184"/>
      <c r="K822" s="116" t="s">
        <v>27</v>
      </c>
      <c r="L822" s="116" t="s">
        <v>42</v>
      </c>
      <c r="M822" s="116" t="s">
        <v>129</v>
      </c>
      <c r="N822" s="116" t="str">
        <f ca="1">SUBSTITUTE(CELL("address",K818),"$","")</f>
        <v>K818</v>
      </c>
      <c r="O822" s="116" t="s">
        <v>130</v>
      </c>
      <c r="P822" s="228" t="s">
        <v>75</v>
      </c>
      <c r="Q822" s="250" t="str">
        <f ca="1">INDEX(tblGoSubRoutineStartCell[StartCell],MATCH(B822,tblGoSubRoutineStartCell[GoSub Routine],0))</f>
        <v>K56</v>
      </c>
      <c r="R822" s="184"/>
      <c r="S822" s="178"/>
      <c r="T822" s="178"/>
      <c r="U822" s="178"/>
      <c r="V822" s="178"/>
      <c r="W822" s="178"/>
      <c r="X822" s="178"/>
      <c r="Y822" s="178"/>
      <c r="Z822" s="178"/>
      <c r="AA822" s="178"/>
      <c r="AB822" s="178"/>
      <c r="AC822" s="178"/>
      <c r="AD822" s="178"/>
      <c r="AE822" s="178"/>
      <c r="AF822" s="178"/>
      <c r="AG822" s="178"/>
      <c r="AH822" s="178"/>
      <c r="AI822" s="178"/>
      <c r="AJ822" s="178"/>
    </row>
    <row r="823" spans="1:36" s="45" customFormat="1" ht="16.5" hidden="1" customHeight="1" thickBot="1">
      <c r="A823" s="131"/>
      <c r="B823" s="244" t="s">
        <v>500</v>
      </c>
      <c r="C823" s="66"/>
      <c r="D823" s="84"/>
      <c r="E823" s="437"/>
      <c r="F823" s="113"/>
      <c r="G823" s="113"/>
      <c r="H823" s="113"/>
      <c r="I823" s="113"/>
      <c r="J823" s="184"/>
      <c r="K823" s="336" t="s">
        <v>556</v>
      </c>
      <c r="L823" s="291"/>
      <c r="M823" s="291"/>
      <c r="R823" s="177"/>
      <c r="S823" s="177"/>
      <c r="T823" s="177"/>
      <c r="U823" s="177"/>
      <c r="V823" s="177"/>
      <c r="W823" s="177"/>
      <c r="X823" s="177"/>
      <c r="Y823" s="177"/>
      <c r="Z823" s="177"/>
      <c r="AA823" s="177"/>
      <c r="AB823" s="177"/>
      <c r="AC823" s="177"/>
      <c r="AD823" s="177"/>
      <c r="AE823" s="177"/>
      <c r="AF823" s="177"/>
      <c r="AG823" s="177"/>
      <c r="AH823" s="177"/>
      <c r="AI823" s="177"/>
      <c r="AJ823" s="177"/>
    </row>
    <row r="824" spans="1:36" s="180" customFormat="1" ht="15.75" hidden="1" thickBot="1">
      <c r="A824" s="132" cm="1">
        <f t="array" ref="A824">SSATSLineNumbers(A824,0.01)</f>
        <v>5.05</v>
      </c>
      <c r="B824" s="244" t="str">
        <f ca="1">ATE_Settings!Y94</f>
        <v>EXT Voltage Monitor Error (%)</v>
      </c>
      <c r="C824" s="66"/>
      <c r="D824" s="206"/>
      <c r="E824" s="454" t="str" cm="1">
        <f t="array" ref="E824">SSATSPercent_Error(E821,E823)</f>
        <v>[AUTO]</v>
      </c>
      <c r="F824" s="207">
        <f ca="1">P824</f>
        <v>-1</v>
      </c>
      <c r="G824" s="86">
        <f ca="1">Q824</f>
        <v>1</v>
      </c>
      <c r="H824" s="86" t="str">
        <f ca="1">R824</f>
        <v>%</v>
      </c>
      <c r="I824" s="59" t="str">
        <f>IF(E824 ="[AUTO]","TBC", IF(AND(E824&gt;=F824,E824&lt;=G824 ),"Pass","Fail"))</f>
        <v>TBC</v>
      </c>
      <c r="J824" s="184"/>
      <c r="K824" s="115" t="s">
        <v>80</v>
      </c>
      <c r="L824" s="184"/>
      <c r="M824" s="184"/>
      <c r="N824" s="184"/>
      <c r="O824" s="184"/>
      <c r="P824" s="204">
        <f ca="1">C824+(INDEX(tblProductScalesMeasures[Min],MATCH(_xlfn.CONCAT(B824),tblProductScalesMeasures[Description],0)))</f>
        <v>-1</v>
      </c>
      <c r="Q824" s="204">
        <f ca="1">C824+(INDEX(tblProductScalesMeasures[Max],MATCH(_xlfn.CONCAT(B824),tblProductScalesMeasures[Description],0)))</f>
        <v>1</v>
      </c>
      <c r="R824" s="205" t="str">
        <f ca="1">(INDEX(tblProductScalesMeasures[Unit],MATCH(_xlfn.CONCAT(B824),tblProductScalesMeasures[Description],0)))</f>
        <v>%</v>
      </c>
      <c r="S824" s="203"/>
      <c r="T824" s="205">
        <f ca="1">IF(COUNTIF(tblExempt[],R824)&gt;0,0,INDEX(tblScaling[Divider],MATCH(_xlfn.CONCAT(IF(ISNUMBER(SEARCH(" ",section_4_heading))=FALSE,SUBSTITUTE(section_4_heading," ",""),"")," ",R824),tblScaling[Description],0)))</f>
        <v>0</v>
      </c>
      <c r="U824" s="178"/>
      <c r="V824" s="178"/>
      <c r="W824" s="178"/>
      <c r="X824" s="178"/>
      <c r="Y824" s="178"/>
      <c r="Z824" s="178"/>
      <c r="AA824" s="178"/>
      <c r="AB824" s="178"/>
      <c r="AC824" s="178"/>
      <c r="AD824" s="178"/>
      <c r="AE824" s="178"/>
      <c r="AF824" s="178"/>
      <c r="AG824" s="178"/>
      <c r="AH824" s="178"/>
      <c r="AI824" s="178"/>
      <c r="AJ824" s="178"/>
    </row>
    <row r="825" spans="1:36" s="180" customFormat="1" ht="16.5" hidden="1" customHeight="1" thickBot="1">
      <c r="A825" s="133"/>
      <c r="B825" s="237" t="s">
        <v>70</v>
      </c>
      <c r="C825" s="57"/>
      <c r="D825" s="57"/>
      <c r="E825" s="80"/>
      <c r="F825" s="57"/>
      <c r="G825" s="57"/>
      <c r="H825" s="57"/>
      <c r="I825" s="57"/>
      <c r="J825" s="184"/>
      <c r="K825" s="116" t="s">
        <v>27</v>
      </c>
      <c r="L825" s="116" t="s">
        <v>42</v>
      </c>
      <c r="M825" s="116" t="s">
        <v>129</v>
      </c>
      <c r="N825" s="116" t="str">
        <f ca="1">SUBSTITUTE(CELL("address",K823),"$","")</f>
        <v>K823</v>
      </c>
      <c r="O825" s="116" t="s">
        <v>130</v>
      </c>
      <c r="P825" s="228" t="s">
        <v>75</v>
      </c>
      <c r="Q825" s="250" t="str">
        <f ca="1">INDEX(tblGoSubRoutineStartCell[StartCell],MATCH(B825,tblGoSubRoutineStartCell[GoSub Routine],0))</f>
        <v>K56</v>
      </c>
      <c r="R825" s="184"/>
      <c r="S825" s="178"/>
      <c r="T825" s="178"/>
      <c r="U825" s="178"/>
      <c r="V825" s="178"/>
      <c r="W825" s="178"/>
      <c r="X825" s="178"/>
      <c r="Y825" s="178"/>
      <c r="Z825" s="178"/>
      <c r="AA825" s="178"/>
      <c r="AB825" s="178"/>
      <c r="AC825" s="178"/>
      <c r="AD825" s="178"/>
      <c r="AE825" s="178"/>
      <c r="AF825" s="178"/>
      <c r="AG825" s="178"/>
      <c r="AH825" s="178"/>
      <c r="AI825" s="178"/>
      <c r="AJ825" s="178"/>
    </row>
    <row r="826" spans="1:36" s="175" customFormat="1" ht="15" hidden="1">
      <c r="A826" s="130"/>
      <c r="B826" s="240" t="s">
        <v>490</v>
      </c>
      <c r="C826" s="78">
        <v>4500</v>
      </c>
      <c r="D826" s="58"/>
      <c r="E826" s="58"/>
      <c r="F826" s="58"/>
      <c r="G826" s="58"/>
      <c r="H826" s="58"/>
      <c r="I826" s="58"/>
      <c r="J826" s="184"/>
      <c r="K826" s="241" t="str">
        <f>_xlfn.CONCAT("734|FLOAT|OUT1|FLT(",C826,")")</f>
        <v>734|FLOAT|OUT1|FLT(4500)</v>
      </c>
      <c r="L826" s="291"/>
      <c r="M826" s="291"/>
      <c r="N826" s="291"/>
      <c r="O826" s="241"/>
      <c r="P826" s="241"/>
      <c r="Q826" s="184"/>
    </row>
    <row r="827" spans="1:36" s="175" customFormat="1" ht="15" hidden="1">
      <c r="A827" s="130"/>
      <c r="B827" s="293" t="s">
        <v>489</v>
      </c>
      <c r="C827" s="78">
        <v>30000</v>
      </c>
      <c r="D827" s="58"/>
      <c r="E827" s="58"/>
      <c r="F827" s="58"/>
      <c r="G827" s="58"/>
      <c r="H827" s="58"/>
      <c r="I827" s="58"/>
      <c r="J827" s="184"/>
      <c r="K827" s="291" t="s">
        <v>27</v>
      </c>
      <c r="L827" s="291" t="s">
        <v>42</v>
      </c>
      <c r="M827" s="216" t="s">
        <v>60</v>
      </c>
      <c r="N827" s="247" t="str">
        <f>B827</f>
        <v>Extractor Initialising…</v>
      </c>
      <c r="O827" s="210">
        <f>C827</f>
        <v>30000</v>
      </c>
      <c r="P827" s="184"/>
      <c r="Q827" s="184"/>
    </row>
    <row r="828" spans="1:36" s="175" customFormat="1" ht="15.75" hidden="1" customHeight="1" thickBot="1">
      <c r="A828" s="130"/>
      <c r="B828" s="240" t="s">
        <v>335</v>
      </c>
      <c r="C828" s="78"/>
      <c r="D828" s="58"/>
      <c r="E828" s="459"/>
      <c r="F828" s="58"/>
      <c r="G828" s="58"/>
      <c r="H828" s="58"/>
      <c r="I828" s="58"/>
      <c r="J828" s="184"/>
      <c r="K828" s="291" t="s">
        <v>27</v>
      </c>
      <c r="L828" s="291" t="s">
        <v>319</v>
      </c>
      <c r="M828" s="291" t="s">
        <v>55</v>
      </c>
      <c r="N828" s="241" t="s">
        <v>310</v>
      </c>
      <c r="O828" s="184"/>
      <c r="P828" s="184"/>
      <c r="Q828" s="184"/>
    </row>
    <row r="829" spans="1:36" s="175" customFormat="1" ht="15" hidden="1" customHeight="1" thickBot="1">
      <c r="A829" s="132" cm="1">
        <f t="array" ref="A829">SSATSLineNumbers(A829,0.01)</f>
        <v>5.0599999999999996</v>
      </c>
      <c r="B829" s="244" t="s">
        <v>501</v>
      </c>
      <c r="C829" s="66"/>
      <c r="D829" s="84"/>
      <c r="E829" s="457" t="str">
        <f>IF(E828="","[AUTO]",(E828*T829))</f>
        <v>[AUTO]</v>
      </c>
      <c r="F829" s="423"/>
      <c r="G829" s="58"/>
      <c r="H829" s="58"/>
      <c r="I829" s="58"/>
      <c r="J829" s="184"/>
      <c r="K829" s="291" t="s">
        <v>80</v>
      </c>
      <c r="L829" s="184"/>
      <c r="M829" s="184"/>
      <c r="N829" s="184"/>
      <c r="O829" s="184"/>
      <c r="P829" s="184"/>
      <c r="Q829" s="184"/>
      <c r="R829" s="245" t="s">
        <v>124</v>
      </c>
      <c r="S829" s="177"/>
      <c r="T829" s="245">
        <f>IF(COUNTIF(tblExempt[],R829)&gt;0,0,INDEX(tblScaling[Divider],MATCH(_xlfn.CONCAT(IF(ISNUMBER(SEARCH(" ",section_5_heading))=FALSE,SUBSTITUTE(section_5_heading," ",""),"")," ",R829),tblScaling[Description],0)))</f>
        <v>1000000</v>
      </c>
    </row>
    <row r="830" spans="1:36" s="175" customFormat="1" ht="15" hidden="1" customHeight="1" thickBot="1">
      <c r="A830" s="132" cm="1">
        <f t="array" ref="A830">SSATSLineNumbers(A830,0.01)</f>
        <v>5.07</v>
      </c>
      <c r="B830" s="244" t="s">
        <v>503</v>
      </c>
      <c r="C830" s="66"/>
      <c r="D830" s="84"/>
      <c r="E830" s="454"/>
      <c r="F830" s="58"/>
      <c r="G830" s="58"/>
      <c r="H830" s="58"/>
      <c r="I830" s="58"/>
      <c r="J830" s="184"/>
      <c r="K830" s="291" t="s">
        <v>502</v>
      </c>
      <c r="L830" s="184"/>
      <c r="M830" s="184"/>
      <c r="N830" s="184"/>
      <c r="O830" s="184"/>
      <c r="P830" s="184"/>
      <c r="Q830" s="184"/>
    </row>
    <row r="831" spans="1:36" s="391" customFormat="1" ht="15.75" hidden="1" thickBot="1">
      <c r="A831" s="400" cm="1">
        <f t="array" ref="A831">SSATSLineNumbers(A831,0.01)</f>
        <v>5.08</v>
      </c>
      <c r="B831" s="244" t="str">
        <f ca="1">ATE_Settings!Y95</f>
        <v>EXT Current Error Low Load (uA)</v>
      </c>
      <c r="C831" s="66"/>
      <c r="D831" s="206"/>
      <c r="E831" s="454" t="str">
        <f>IF(OR(E829="[AUTO]",E830="",)=TRUE,"[AUTO]",E829-E830)</f>
        <v>[AUTO]</v>
      </c>
      <c r="F831" s="207">
        <f ca="1">P831</f>
        <v>-0.1</v>
      </c>
      <c r="G831" s="394">
        <f ca="1">Q831</f>
        <v>0.1</v>
      </c>
      <c r="H831" s="394" t="str">
        <f ca="1">R831</f>
        <v>uA</v>
      </c>
      <c r="I831" s="388" t="str">
        <f>IF(E831 ="[AUTO]","TBC", IF(AND(E831&gt;=F831,E831&lt;=G831 ),"Pass","Fail"))</f>
        <v>TBC</v>
      </c>
      <c r="J831" s="384"/>
      <c r="K831" s="115" t="s">
        <v>80</v>
      </c>
      <c r="L831" s="384"/>
      <c r="M831" s="384"/>
      <c r="N831" s="384"/>
      <c r="O831" s="384"/>
      <c r="P831" s="204">
        <f ca="1">C831+(INDEX(tblProductScalesMeasures[Min],MATCH(_xlfn.CONCAT(B831),tblProductScalesMeasures[Description],0)))</f>
        <v>-0.1</v>
      </c>
      <c r="Q831" s="204">
        <f ca="1">C831+(INDEX(tblProductScalesMeasures[Max],MATCH(_xlfn.CONCAT(B831),tblProductScalesMeasures[Description],0)))</f>
        <v>0.1</v>
      </c>
      <c r="R831" s="205" t="str">
        <f ca="1">(INDEX(tblProductScalesMeasures[Unit],MATCH(_xlfn.CONCAT(B831),tblProductScalesMeasures[Description],0)))</f>
        <v>uA</v>
      </c>
      <c r="S831" s="203"/>
      <c r="T831" s="205">
        <f ca="1">IF(COUNTIF(tblExempt[],R831)&gt;0,0,INDEX(tblScaling[Divider],MATCH(_xlfn.CONCAT(IF(ISNUMBER(SEARCH(" ",section_5_heading))=FALSE,SUBSTITUTE(section_5_heading," ",""),"")," ",R831),tblScaling[Description],0)))</f>
        <v>1000000</v>
      </c>
      <c r="U831" s="382"/>
      <c r="V831" s="382"/>
      <c r="W831" s="382"/>
      <c r="X831" s="382"/>
      <c r="Y831" s="382"/>
      <c r="Z831" s="382"/>
      <c r="AA831" s="382"/>
      <c r="AB831" s="382"/>
      <c r="AC831" s="382"/>
      <c r="AD831" s="382"/>
      <c r="AE831" s="382"/>
      <c r="AF831" s="382"/>
      <c r="AG831" s="382"/>
      <c r="AH831" s="382"/>
      <c r="AI831" s="382"/>
      <c r="AJ831" s="382"/>
    </row>
    <row r="832" spans="1:36" s="180" customFormat="1" ht="16.5" hidden="1" customHeight="1" thickBot="1">
      <c r="A832" s="133"/>
      <c r="B832" s="237" t="s">
        <v>70</v>
      </c>
      <c r="C832" s="57"/>
      <c r="D832" s="57"/>
      <c r="E832" s="80"/>
      <c r="F832" s="57"/>
      <c r="G832" s="57"/>
      <c r="H832" s="57"/>
      <c r="I832" s="57"/>
      <c r="J832" s="184"/>
      <c r="K832" s="116" t="s">
        <v>27</v>
      </c>
      <c r="L832" s="116" t="s">
        <v>42</v>
      </c>
      <c r="M832" s="116" t="s">
        <v>129</v>
      </c>
      <c r="N832" s="116" t="str">
        <f ca="1">SUBSTITUTE(CELL("address",K828),"$","")</f>
        <v>K828</v>
      </c>
      <c r="O832" s="116" t="s">
        <v>130</v>
      </c>
      <c r="P832" s="228" t="s">
        <v>75</v>
      </c>
      <c r="Q832" s="250" t="str">
        <f ca="1">INDEX(tblGoSubRoutineStartCell[StartCell],MATCH(B832,tblGoSubRoutineStartCell[GoSub Routine],0))</f>
        <v>K56</v>
      </c>
      <c r="R832" s="184"/>
      <c r="S832" s="178"/>
      <c r="T832" s="178"/>
      <c r="U832" s="178"/>
      <c r="V832" s="178"/>
      <c r="W832" s="178"/>
      <c r="X832" s="178"/>
      <c r="Y832" s="178"/>
      <c r="Z832" s="178"/>
      <c r="AA832" s="178"/>
      <c r="AB832" s="178"/>
      <c r="AC832" s="178"/>
      <c r="AD832" s="178"/>
      <c r="AE832" s="178"/>
      <c r="AF832" s="178"/>
      <c r="AG832" s="178"/>
      <c r="AH832" s="178"/>
      <c r="AI832" s="178"/>
      <c r="AJ832" s="178"/>
    </row>
    <row r="833" spans="1:36" s="380" customFormat="1" ht="17.25" hidden="1" customHeight="1">
      <c r="A833" s="399"/>
      <c r="B833" s="240" t="s">
        <v>705</v>
      </c>
      <c r="C833" s="390"/>
      <c r="D833" s="387"/>
      <c r="E833" s="387"/>
      <c r="F833" s="387"/>
      <c r="G833" s="387"/>
      <c r="H833" s="387"/>
      <c r="I833" s="387"/>
      <c r="J833" s="384"/>
      <c r="K833" s="385" t="s">
        <v>27</v>
      </c>
      <c r="L833" s="385" t="s">
        <v>98</v>
      </c>
      <c r="M833" s="385" t="s">
        <v>324</v>
      </c>
      <c r="N833" s="385" t="s">
        <v>325</v>
      </c>
      <c r="O833" s="241" t="s">
        <v>326</v>
      </c>
      <c r="P833" s="241" t="str">
        <f>ATE_Settings!AK12</f>
        <v>\\shvukfs2\Eng\FIB Series\FIB35P_734 (FEI)\Test Equipment\FIB35P_734 SSATS\Final Test\Scope_Settings\82097_Ext_HF.txt</v>
      </c>
      <c r="R833" s="384"/>
    </row>
    <row r="834" spans="1:36" s="380" customFormat="1" ht="15" hidden="1">
      <c r="A834" s="399"/>
      <c r="B834" s="246" t="s">
        <v>340</v>
      </c>
      <c r="C834" s="390">
        <v>7000</v>
      </c>
      <c r="D834" s="387"/>
      <c r="E834" s="387"/>
      <c r="F834" s="387"/>
      <c r="G834" s="387"/>
      <c r="H834" s="387"/>
      <c r="I834" s="387"/>
      <c r="J834" s="384"/>
      <c r="K834" s="385" t="s">
        <v>27</v>
      </c>
      <c r="L834" s="385" t="s">
        <v>42</v>
      </c>
      <c r="M834" s="216" t="s">
        <v>60</v>
      </c>
      <c r="N834" s="247" t="str">
        <f>B834</f>
        <v>Initialsing Scope…</v>
      </c>
      <c r="O834" s="210">
        <f>C834</f>
        <v>7000</v>
      </c>
      <c r="P834" s="384"/>
      <c r="Q834" s="384"/>
    </row>
    <row r="835" spans="1:36" s="380" customFormat="1" ht="15" hidden="1">
      <c r="A835" s="399"/>
      <c r="B835" s="240" t="s">
        <v>702</v>
      </c>
      <c r="C835" s="390"/>
      <c r="D835" s="387"/>
      <c r="E835" s="387"/>
      <c r="F835" s="387"/>
      <c r="G835" s="387"/>
      <c r="H835" s="387"/>
      <c r="I835" s="387"/>
      <c r="J835" s="384"/>
      <c r="K835" s="395" t="s">
        <v>27</v>
      </c>
      <c r="L835" s="395" t="s">
        <v>98</v>
      </c>
      <c r="M835" s="396" t="s">
        <v>156</v>
      </c>
      <c r="N835" s="396" t="s">
        <v>141</v>
      </c>
      <c r="O835" s="384" t="s">
        <v>701</v>
      </c>
      <c r="P835" s="384"/>
      <c r="Q835" s="384"/>
    </row>
    <row r="836" spans="1:36" s="380" customFormat="1" ht="15.75" hidden="1" thickBot="1">
      <c r="A836" s="399"/>
      <c r="B836" s="240" t="s">
        <v>724</v>
      </c>
      <c r="C836" s="390"/>
      <c r="D836" s="387"/>
      <c r="E836" s="251"/>
      <c r="F836" s="387"/>
      <c r="G836" s="387"/>
      <c r="H836" s="387"/>
      <c r="I836" s="387"/>
      <c r="J836" s="384"/>
      <c r="K836" s="395" t="s">
        <v>27</v>
      </c>
      <c r="L836" s="395" t="s">
        <v>98</v>
      </c>
      <c r="M836" s="396" t="s">
        <v>55</v>
      </c>
      <c r="N836" s="396" t="s">
        <v>141</v>
      </c>
      <c r="O836" s="396" t="s">
        <v>700</v>
      </c>
      <c r="P836" s="384"/>
      <c r="Q836" s="384"/>
    </row>
    <row r="837" spans="1:36" s="391" customFormat="1" ht="16.5" hidden="1" customHeight="1" thickBot="1">
      <c r="A837" s="400" cm="1">
        <f t="array" ref="A837">SSATSLineNumbers(A837,0.01)</f>
        <v>5.09</v>
      </c>
      <c r="B837" s="244" t="str">
        <f ca="1">ATE_Settings!Y120</f>
        <v>EXT Ripple (mV pk-pk)</v>
      </c>
      <c r="C837" s="202"/>
      <c r="D837" s="202" t="s">
        <v>296</v>
      </c>
      <c r="E837" s="457" t="str">
        <f>IF(E836="","[AUTO]",E836*1000)</f>
        <v>[AUTO]</v>
      </c>
      <c r="F837" s="394">
        <f ca="1">Q837</f>
        <v>3</v>
      </c>
      <c r="G837" s="394">
        <f ca="1">R837</f>
        <v>100</v>
      </c>
      <c r="H837" s="394" t="str">
        <f ca="1">S837</f>
        <v>mV pk-pk</v>
      </c>
      <c r="I837" s="388" t="str">
        <f>IF(E837 ="[AUTO]","TBC", IF(AND(E837&gt;=F837,E837&lt;=G837 ),"Pass","Fail"))</f>
        <v>TBC</v>
      </c>
      <c r="J837" s="384"/>
      <c r="K837" s="395" t="s">
        <v>80</v>
      </c>
      <c r="P837" s="226"/>
      <c r="Q837" s="245">
        <f ca="1">C837+(INDEX(tblProductScalesMeasures[Min],MATCH(_xlfn.CONCAT(B837),tblProductScalesMeasures[Description],0)))</f>
        <v>3</v>
      </c>
      <c r="R837" s="245">
        <f ca="1">C837+(INDEX(tblProductScalesMeasures[Max],MATCH(_xlfn.CONCAT(B837),tblProductScalesMeasures[Description],0)))</f>
        <v>100</v>
      </c>
      <c r="S837" s="245" t="str">
        <f ca="1">(INDEX(tblProductScalesMeasures[Unit],MATCH(_xlfn.CONCAT(B837),tblProductScalesMeasures[Description],0)))</f>
        <v>mV pk-pk</v>
      </c>
      <c r="V837" s="381"/>
      <c r="W837" s="245" t="e">
        <f>IF(COUNTIF(tblExempt[],T837)&gt;0,0,INDEX(tblScaling[Divider],MATCH(_xlfn.CONCAT(IF(ISNUMBER(SEARCH(" ",section_2_heading))=TRUE,SUBSTITUTE(section_2_heading," ",""),"")," ",T837),tblScaling[Description],0)))</f>
        <v>#N/A</v>
      </c>
      <c r="X837" s="382"/>
      <c r="Y837" s="382"/>
      <c r="Z837" s="382"/>
      <c r="AA837" s="382"/>
      <c r="AB837" s="382"/>
      <c r="AC837" s="382"/>
      <c r="AD837" s="382"/>
      <c r="AE837" s="382"/>
      <c r="AF837" s="382"/>
      <c r="AG837" s="382"/>
      <c r="AH837" s="382"/>
      <c r="AI837" s="382"/>
      <c r="AJ837" s="382"/>
    </row>
    <row r="838" spans="1:36" s="391" customFormat="1" ht="16.5" hidden="1" customHeight="1" thickBot="1">
      <c r="A838" s="401"/>
      <c r="B838" s="398" t="s">
        <v>70</v>
      </c>
      <c r="C838" s="386"/>
      <c r="D838" s="386"/>
      <c r="E838" s="392"/>
      <c r="F838" s="386"/>
      <c r="G838" s="386"/>
      <c r="H838" s="386"/>
      <c r="I838" s="386"/>
      <c r="J838" s="384"/>
      <c r="K838" s="397" t="s">
        <v>27</v>
      </c>
      <c r="L838" s="397" t="s">
        <v>42</v>
      </c>
      <c r="M838" s="397" t="s">
        <v>129</v>
      </c>
      <c r="N838" s="397" t="str">
        <f ca="1">SUBSTITUTE(CELL("address",K833),"$","")</f>
        <v>K833</v>
      </c>
      <c r="O838" s="397" t="s">
        <v>130</v>
      </c>
      <c r="P838" s="228" t="s">
        <v>75</v>
      </c>
      <c r="Q838" s="250" t="str">
        <f ca="1">INDEX(tblGoSubRoutineStartCell[StartCell],MATCH(B838,tblGoSubRoutineStartCell[GoSub Routine],0))</f>
        <v>K56</v>
      </c>
      <c r="R838" s="384"/>
      <c r="S838" s="382"/>
      <c r="T838" s="382"/>
      <c r="V838" s="382"/>
      <c r="W838" s="382"/>
      <c r="X838" s="382"/>
      <c r="Y838" s="382"/>
      <c r="Z838" s="382"/>
      <c r="AA838" s="382"/>
      <c r="AB838" s="382"/>
      <c r="AC838" s="382"/>
      <c r="AD838" s="382"/>
      <c r="AE838" s="382"/>
      <c r="AF838" s="382"/>
      <c r="AG838" s="382"/>
      <c r="AH838" s="382"/>
      <c r="AI838" s="382"/>
      <c r="AJ838" s="382"/>
    </row>
    <row r="839" spans="1:36" s="380" customFormat="1" ht="17.25" hidden="1" customHeight="1">
      <c r="A839" s="399"/>
      <c r="B839" s="240" t="s">
        <v>706</v>
      </c>
      <c r="C839" s="390"/>
      <c r="D839" s="387"/>
      <c r="E839" s="387"/>
      <c r="F839" s="387"/>
      <c r="G839" s="387"/>
      <c r="H839" s="387"/>
      <c r="I839" s="387"/>
      <c r="J839" s="385"/>
      <c r="K839" s="385" t="s">
        <v>27</v>
      </c>
      <c r="L839" s="385" t="s">
        <v>98</v>
      </c>
      <c r="M839" s="385" t="s">
        <v>324</v>
      </c>
      <c r="N839" s="385" t="s">
        <v>325</v>
      </c>
      <c r="O839" s="241" t="s">
        <v>326</v>
      </c>
      <c r="P839" s="241" t="str">
        <f>ATE_Settings!AK13</f>
        <v>\\shvukfs2\Eng\FIB Series\FIB35P_734 (FEI)\Test Equipment\FIB35P_734 SSATS\Final Test\Scope_Settings\82097_Ext_LF.txt</v>
      </c>
      <c r="Q839" s="384"/>
    </row>
    <row r="840" spans="1:36" s="380" customFormat="1" ht="15" hidden="1">
      <c r="A840" s="399"/>
      <c r="B840" s="246" t="s">
        <v>340</v>
      </c>
      <c r="C840" s="390">
        <v>13000</v>
      </c>
      <c r="D840" s="387"/>
      <c r="E840" s="387"/>
      <c r="F840" s="387"/>
      <c r="G840" s="387"/>
      <c r="H840" s="387"/>
      <c r="I840" s="387"/>
      <c r="J840" s="384"/>
      <c r="K840" s="385" t="s">
        <v>27</v>
      </c>
      <c r="L840" s="385" t="s">
        <v>42</v>
      </c>
      <c r="M840" s="216" t="s">
        <v>60</v>
      </c>
      <c r="N840" s="247">
        <f>C840</f>
        <v>13000</v>
      </c>
      <c r="O840" s="210">
        <v>5000</v>
      </c>
      <c r="P840" s="384"/>
      <c r="Q840" s="384"/>
    </row>
    <row r="841" spans="1:36" s="380" customFormat="1" ht="15" hidden="1">
      <c r="A841" s="399"/>
      <c r="B841" s="240" t="s">
        <v>702</v>
      </c>
      <c r="C841" s="390"/>
      <c r="D841" s="387"/>
      <c r="E841" s="387"/>
      <c r="F841" s="387"/>
      <c r="G841" s="387"/>
      <c r="H841" s="387"/>
      <c r="I841" s="387"/>
      <c r="J841" s="384"/>
      <c r="K841" s="395" t="s">
        <v>27</v>
      </c>
      <c r="L841" s="395" t="s">
        <v>98</v>
      </c>
      <c r="M841" s="396" t="s">
        <v>156</v>
      </c>
      <c r="N841" s="396" t="s">
        <v>141</v>
      </c>
      <c r="O841" s="384" t="s">
        <v>701</v>
      </c>
      <c r="P841" s="384"/>
      <c r="Q841" s="384"/>
    </row>
    <row r="842" spans="1:36" s="380" customFormat="1" ht="15.75" hidden="1" thickBot="1">
      <c r="A842" s="399"/>
      <c r="B842" s="240" t="s">
        <v>724</v>
      </c>
      <c r="C842" s="390"/>
      <c r="D842" s="387"/>
      <c r="E842" s="251"/>
      <c r="F842" s="387"/>
      <c r="G842" s="387"/>
      <c r="H842" s="387"/>
      <c r="I842" s="387"/>
      <c r="J842" s="384"/>
      <c r="K842" s="395" t="s">
        <v>27</v>
      </c>
      <c r="L842" s="395" t="s">
        <v>98</v>
      </c>
      <c r="M842" s="396" t="s">
        <v>55</v>
      </c>
      <c r="N842" s="396" t="s">
        <v>141</v>
      </c>
      <c r="O842" s="396" t="s">
        <v>700</v>
      </c>
      <c r="P842" s="384"/>
      <c r="Q842" s="384"/>
    </row>
    <row r="843" spans="1:36" s="391" customFormat="1" ht="16.5" hidden="1" customHeight="1" thickBot="1">
      <c r="A843" s="400" cm="1">
        <f t="array" ref="A843">SSATSLineNumbers(A843,0.01)</f>
        <v>5.0999999999999996</v>
      </c>
      <c r="B843" s="244" t="str">
        <f ca="1">B837</f>
        <v>EXT Ripple (mV pk-pk)</v>
      </c>
      <c r="C843" s="202"/>
      <c r="D843" s="202" t="s">
        <v>362</v>
      </c>
      <c r="E843" s="457" t="str">
        <f>IF(E842="","[AUTO]",E842*1000)</f>
        <v>[AUTO]</v>
      </c>
      <c r="F843" s="394">
        <f ca="1">Q843</f>
        <v>3</v>
      </c>
      <c r="G843" s="394">
        <f ca="1">R843</f>
        <v>100</v>
      </c>
      <c r="H843" s="394" t="str">
        <f ca="1">S843</f>
        <v>mV pk-pk</v>
      </c>
      <c r="I843" s="388" t="str">
        <f>IF(E843 ="[AUTO]","TBC", IF(AND(E843&gt;=F843,E843&lt;=G843 ),"Pass","Fail"))</f>
        <v>TBC</v>
      </c>
      <c r="J843" s="384"/>
      <c r="K843" s="395" t="s">
        <v>80</v>
      </c>
      <c r="L843" s="395"/>
      <c r="M843" s="396"/>
      <c r="N843" s="396"/>
      <c r="O843" s="396"/>
      <c r="P843" s="275"/>
      <c r="Q843" s="245">
        <f ca="1">C843+(INDEX(tblProductScalesMeasures[Min],MATCH(_xlfn.CONCAT(B843),tblProductScalesMeasures[Description],0)))</f>
        <v>3</v>
      </c>
      <c r="R843" s="245">
        <f ca="1">C843+(INDEX(tblProductScalesMeasures[Max],MATCH(_xlfn.CONCAT(B843),tblProductScalesMeasures[Description],0)))</f>
        <v>100</v>
      </c>
      <c r="S843" s="245" t="str">
        <f ca="1">(INDEX(tblProductScalesMeasures[Unit],MATCH(_xlfn.CONCAT(B843),tblProductScalesMeasures[Description],0)))</f>
        <v>mV pk-pk</v>
      </c>
      <c r="V843" s="381"/>
      <c r="W843" s="245" t="e">
        <f>IF(COUNTIF(tblExempt[],T843)&gt;0,0,INDEX(tblScaling[Divider],MATCH(_xlfn.CONCAT(IF(ISNUMBER(SEARCH(" ",section_2_heading))=TRUE,SUBSTITUTE(section_2_heading," ",""),"")," ",T843),tblScaling[Description],0)))</f>
        <v>#N/A</v>
      </c>
      <c r="X843" s="382"/>
      <c r="Y843" s="382"/>
      <c r="Z843" s="382"/>
      <c r="AA843" s="382"/>
      <c r="AB843" s="382"/>
      <c r="AC843" s="382"/>
      <c r="AD843" s="382"/>
      <c r="AE843" s="382"/>
      <c r="AF843" s="382"/>
      <c r="AG843" s="382"/>
      <c r="AH843" s="382"/>
      <c r="AI843" s="382"/>
      <c r="AJ843" s="382"/>
    </row>
    <row r="844" spans="1:36" s="391" customFormat="1" ht="16.5" hidden="1" customHeight="1" thickBot="1">
      <c r="A844" s="401"/>
      <c r="B844" s="398" t="s">
        <v>70</v>
      </c>
      <c r="C844" s="386"/>
      <c r="D844" s="386"/>
      <c r="E844" s="392"/>
      <c r="F844" s="386"/>
      <c r="G844" s="386"/>
      <c r="H844" s="386"/>
      <c r="I844" s="386"/>
      <c r="J844" s="384"/>
      <c r="K844" s="397" t="s">
        <v>27</v>
      </c>
      <c r="L844" s="397" t="s">
        <v>42</v>
      </c>
      <c r="M844" s="397" t="s">
        <v>129</v>
      </c>
      <c r="N844" s="397" t="str">
        <f ca="1">SUBSTITUTE(CELL("address",K839),"$","")</f>
        <v>K839</v>
      </c>
      <c r="O844" s="397" t="s">
        <v>130</v>
      </c>
      <c r="P844" s="228" t="s">
        <v>75</v>
      </c>
      <c r="Q844" s="250" t="str">
        <f ca="1">INDEX(tblGoSubRoutineStartCell[StartCell],MATCH(B844,tblGoSubRoutineStartCell[GoSub Routine],0))</f>
        <v>K56</v>
      </c>
      <c r="R844" s="384"/>
      <c r="S844" s="382"/>
      <c r="T844" s="382"/>
      <c r="V844" s="382"/>
      <c r="W844" s="382"/>
      <c r="X844" s="382"/>
      <c r="Y844" s="382"/>
      <c r="Z844" s="382"/>
      <c r="AA844" s="382"/>
      <c r="AB844" s="382"/>
      <c r="AC844" s="382"/>
      <c r="AD844" s="382"/>
      <c r="AE844" s="382"/>
      <c r="AF844" s="382"/>
      <c r="AG844" s="382"/>
      <c r="AH844" s="382"/>
      <c r="AI844" s="382"/>
      <c r="AJ844" s="382"/>
    </row>
    <row r="845" spans="1:36" s="175" customFormat="1" ht="15" hidden="1">
      <c r="A845" s="130"/>
      <c r="B845" s="240" t="s">
        <v>520</v>
      </c>
      <c r="C845" s="78">
        <v>8</v>
      </c>
      <c r="D845" s="58"/>
      <c r="E845" s="58">
        <v>8</v>
      </c>
      <c r="F845" s="58"/>
      <c r="G845" s="58"/>
      <c r="H845" s="58"/>
      <c r="I845" s="58"/>
      <c r="J845" s="184"/>
      <c r="K845" s="241" t="str">
        <f>_xlfn.CONCAT("734|GND|REG1|DEC(",C845,")")</f>
        <v>734|GND|REG1|DEC(8)</v>
      </c>
      <c r="L845" s="336"/>
      <c r="M845" s="336"/>
      <c r="N845" s="336"/>
      <c r="O845" s="241"/>
      <c r="P845" s="241"/>
      <c r="Q845" s="184"/>
    </row>
    <row r="846" spans="1:36" s="175" customFormat="1" ht="15" hidden="1">
      <c r="A846" s="130"/>
      <c r="B846" s="240" t="s">
        <v>343</v>
      </c>
      <c r="C846" s="78"/>
      <c r="D846" s="58"/>
      <c r="E846" s="58"/>
      <c r="F846" s="58"/>
      <c r="G846" s="58"/>
      <c r="H846" s="58"/>
      <c r="I846" s="58"/>
      <c r="J846" s="184"/>
      <c r="K846" s="336" t="s">
        <v>27</v>
      </c>
      <c r="L846" s="336" t="s">
        <v>313</v>
      </c>
      <c r="M846" s="336" t="s">
        <v>91</v>
      </c>
      <c r="N846" s="336" t="s">
        <v>315</v>
      </c>
      <c r="O846" s="241" t="s">
        <v>316</v>
      </c>
      <c r="P846" s="241" t="s">
        <v>312</v>
      </c>
      <c r="Q846" s="184"/>
    </row>
    <row r="847" spans="1:36" s="180" customFormat="1" ht="15.75" hidden="1" thickBot="1">
      <c r="A847" s="130"/>
      <c r="B847" s="84"/>
      <c r="C847" s="78"/>
      <c r="D847" s="58"/>
      <c r="E847" s="58"/>
      <c r="F847" s="58"/>
      <c r="G847" s="58"/>
      <c r="H847" s="58"/>
      <c r="I847" s="58"/>
      <c r="J847" s="184"/>
      <c r="K847" s="291" t="s">
        <v>80</v>
      </c>
      <c r="R847" s="175"/>
      <c r="S847" s="175"/>
      <c r="T847" s="175"/>
      <c r="U847" s="178"/>
      <c r="V847" s="178"/>
      <c r="W847" s="178"/>
      <c r="X847" s="178"/>
      <c r="Y847" s="178"/>
      <c r="Z847" s="178"/>
      <c r="AA847" s="178"/>
      <c r="AB847" s="178"/>
      <c r="AC847" s="178"/>
      <c r="AD847" s="178"/>
      <c r="AE847" s="178"/>
      <c r="AF847" s="178"/>
      <c r="AG847" s="178"/>
      <c r="AH847" s="178"/>
      <c r="AI847" s="178"/>
      <c r="AJ847" s="178"/>
    </row>
    <row r="848" spans="1:36" s="175" customFormat="1" ht="20.25" hidden="1" customHeight="1" thickBot="1">
      <c r="A848" s="326"/>
      <c r="B848" s="327"/>
      <c r="C848" s="327"/>
      <c r="D848" s="329" t="s">
        <v>510</v>
      </c>
      <c r="E848" s="327"/>
      <c r="F848" s="327"/>
      <c r="G848" s="327"/>
      <c r="H848" s="327"/>
      <c r="I848" s="328"/>
      <c r="J848" s="184"/>
      <c r="K848" s="89" t="s">
        <v>80</v>
      </c>
      <c r="L848" s="184"/>
      <c r="M848" s="184"/>
      <c r="N848" s="184"/>
      <c r="O848" s="184"/>
      <c r="P848" s="184"/>
      <c r="Q848" s="184"/>
    </row>
    <row r="849" spans="1:36" s="180" customFormat="1" ht="15.75" hidden="1" thickBot="1">
      <c r="A849" s="130"/>
      <c r="B849" s="84"/>
      <c r="C849" s="78"/>
      <c r="D849" s="58"/>
      <c r="E849" s="58"/>
      <c r="F849" s="58"/>
      <c r="G849" s="58"/>
      <c r="H849" s="58"/>
      <c r="I849" s="58"/>
      <c r="J849" s="184"/>
      <c r="K849" s="291" t="s">
        <v>80</v>
      </c>
      <c r="L849" s="184"/>
      <c r="M849" s="184"/>
      <c r="N849" s="184"/>
      <c r="O849" s="184"/>
      <c r="R849" s="178"/>
      <c r="S849" s="178"/>
      <c r="T849" s="178"/>
      <c r="U849" s="178"/>
      <c r="V849" s="178"/>
      <c r="W849" s="178"/>
      <c r="X849" s="178"/>
      <c r="Y849" s="178"/>
      <c r="Z849" s="178"/>
      <c r="AA849" s="178"/>
      <c r="AB849" s="178"/>
      <c r="AC849" s="178"/>
      <c r="AD849" s="178"/>
      <c r="AE849" s="178"/>
      <c r="AF849" s="178"/>
      <c r="AG849" s="178"/>
      <c r="AH849" s="178"/>
      <c r="AI849" s="178"/>
      <c r="AJ849" s="178"/>
    </row>
    <row r="850" spans="1:36" s="175" customFormat="1" ht="15.75" hidden="1" thickBot="1">
      <c r="A850" s="130"/>
      <c r="B850" s="294" t="s">
        <v>188</v>
      </c>
      <c r="C850" s="58"/>
      <c r="D850" s="58"/>
      <c r="E850" s="58"/>
      <c r="F850" s="58"/>
      <c r="G850" s="58"/>
      <c r="H850" s="58"/>
      <c r="I850" s="58"/>
      <c r="J850" s="295"/>
      <c r="K850" s="295" t="s">
        <v>77</v>
      </c>
      <c r="L850" s="295" t="s">
        <v>75</v>
      </c>
      <c r="M850" s="238" t="str">
        <f ca="1">INDEX(tblGoSubRoutineStartCell[StartCell],MATCH(B850,tblGoSubRoutineStartCell[GoSub Routine],0))</f>
        <v>K121</v>
      </c>
      <c r="N850" s="184"/>
      <c r="O850" s="184"/>
      <c r="P850" s="184"/>
      <c r="Q850" s="184"/>
    </row>
    <row r="851" spans="1:36" s="175" customFormat="1" ht="15.75" hidden="1" thickBot="1">
      <c r="A851" s="130"/>
      <c r="B851" s="294" t="s">
        <v>488</v>
      </c>
      <c r="C851" s="58"/>
      <c r="D851" s="58"/>
      <c r="E851" s="58"/>
      <c r="F851" s="58"/>
      <c r="G851" s="58"/>
      <c r="H851" s="58"/>
      <c r="I851" s="58"/>
      <c r="J851" s="295"/>
      <c r="K851" s="295" t="s">
        <v>77</v>
      </c>
      <c r="L851" s="295" t="s">
        <v>75</v>
      </c>
      <c r="M851" s="238" t="str">
        <f ca="1">INDEX(tblGoSubRoutineStartCell[StartCell],MATCH(B851,tblGoSubRoutineStartCell[GoSub Routine],0))</f>
        <v>K233</v>
      </c>
      <c r="N851" s="184"/>
      <c r="O851" s="184"/>
      <c r="P851" s="184"/>
      <c r="Q851" s="184"/>
    </row>
    <row r="852" spans="1:36" s="175" customFormat="1" ht="15" hidden="1">
      <c r="A852" s="130"/>
      <c r="B852" s="240" t="s">
        <v>343</v>
      </c>
      <c r="C852" s="78"/>
      <c r="D852" s="58"/>
      <c r="E852" s="58"/>
      <c r="F852" s="58"/>
      <c r="G852" s="58"/>
      <c r="H852" s="58"/>
      <c r="I852" s="58"/>
      <c r="J852" s="184"/>
      <c r="K852" s="295" t="s">
        <v>27</v>
      </c>
      <c r="L852" s="295" t="s">
        <v>313</v>
      </c>
      <c r="M852" s="295" t="s">
        <v>91</v>
      </c>
      <c r="N852" s="295" t="s">
        <v>315</v>
      </c>
      <c r="O852" s="241" t="s">
        <v>316</v>
      </c>
      <c r="P852" s="241" t="s">
        <v>312</v>
      </c>
      <c r="Q852" s="184"/>
    </row>
    <row r="853" spans="1:36" s="175" customFormat="1" ht="15" hidden="1">
      <c r="A853" s="130"/>
      <c r="B853" s="240" t="s">
        <v>511</v>
      </c>
      <c r="C853" s="78" t="s">
        <v>722</v>
      </c>
      <c r="D853" s="58"/>
      <c r="E853" s="58"/>
      <c r="F853" s="58"/>
      <c r="G853" s="58"/>
      <c r="H853" s="58"/>
      <c r="I853" s="58"/>
      <c r="J853" s="184"/>
      <c r="K853" s="295" t="s">
        <v>27</v>
      </c>
      <c r="L853" s="295" t="s">
        <v>313</v>
      </c>
      <c r="M853" s="295" t="s">
        <v>32</v>
      </c>
      <c r="N853" s="295" t="s">
        <v>315</v>
      </c>
      <c r="O853" s="241" t="str">
        <f>C853</f>
        <v>9,14,15</v>
      </c>
      <c r="P853" s="241"/>
      <c r="Q853" s="184"/>
    </row>
    <row r="854" spans="1:36" s="175" customFormat="1" ht="15" hidden="1">
      <c r="A854" s="130"/>
      <c r="B854" s="240" t="s">
        <v>484</v>
      </c>
      <c r="C854" s="78">
        <v>9</v>
      </c>
      <c r="D854" s="58"/>
      <c r="E854" s="58"/>
      <c r="F854" s="58"/>
      <c r="G854" s="58"/>
      <c r="H854" s="58"/>
      <c r="I854" s="58"/>
      <c r="J854" s="184"/>
      <c r="K854" s="241" t="str">
        <f>_xlfn.CONCAT("734|GND|REG1|DEC(",C854,")")</f>
        <v>734|GND|REG1|DEC(9)</v>
      </c>
      <c r="L854" s="295"/>
      <c r="M854" s="295"/>
      <c r="N854" s="295"/>
      <c r="O854" s="241"/>
      <c r="P854" s="241"/>
      <c r="Q854" s="184"/>
    </row>
    <row r="855" spans="1:36" s="175" customFormat="1" ht="15" hidden="1">
      <c r="A855" s="130"/>
      <c r="B855" s="240" t="s">
        <v>490</v>
      </c>
      <c r="C855" s="78">
        <v>14750</v>
      </c>
      <c r="D855" s="58"/>
      <c r="E855" s="58"/>
      <c r="F855" s="58"/>
      <c r="G855" s="58"/>
      <c r="H855" s="58"/>
      <c r="I855" s="58"/>
      <c r="J855" s="184"/>
      <c r="K855" s="241" t="str">
        <f>_xlfn.CONCAT("734|FLOAT|OUT1|FLT(",C855,")")</f>
        <v>734|FLOAT|OUT1|FLT(14750)</v>
      </c>
      <c r="L855" s="295"/>
      <c r="M855" s="295"/>
      <c r="N855" s="295"/>
      <c r="O855" s="241"/>
      <c r="P855" s="241"/>
      <c r="Q855" s="184"/>
    </row>
    <row r="856" spans="1:36" s="175" customFormat="1" ht="15" hidden="1">
      <c r="A856" s="130"/>
      <c r="B856" s="293" t="s">
        <v>489</v>
      </c>
      <c r="C856" s="78">
        <v>30000</v>
      </c>
      <c r="D856" s="58"/>
      <c r="E856" s="58"/>
      <c r="F856" s="58"/>
      <c r="G856" s="58"/>
      <c r="H856" s="58"/>
      <c r="I856" s="58"/>
      <c r="J856" s="184"/>
      <c r="K856" s="295" t="s">
        <v>27</v>
      </c>
      <c r="L856" s="295" t="s">
        <v>42</v>
      </c>
      <c r="M856" s="216" t="s">
        <v>60</v>
      </c>
      <c r="N856" s="247" t="str">
        <f>B856</f>
        <v>Extractor Initialising…</v>
      </c>
      <c r="O856" s="210">
        <f>C856</f>
        <v>30000</v>
      </c>
      <c r="P856" s="184"/>
      <c r="Q856" s="184"/>
    </row>
    <row r="857" spans="1:36" s="175" customFormat="1" ht="15.75" hidden="1" customHeight="1" thickBot="1">
      <c r="A857" s="130"/>
      <c r="B857" s="240" t="s">
        <v>335</v>
      </c>
      <c r="C857" s="78"/>
      <c r="D857" s="58"/>
      <c r="E857" s="459"/>
      <c r="F857" s="58"/>
      <c r="G857" s="58"/>
      <c r="H857" s="58"/>
      <c r="I857" s="58"/>
      <c r="J857" s="184"/>
      <c r="K857" s="295" t="s">
        <v>27</v>
      </c>
      <c r="L857" s="295" t="s">
        <v>319</v>
      </c>
      <c r="M857" s="295" t="s">
        <v>55</v>
      </c>
      <c r="N857" s="241" t="s">
        <v>310</v>
      </c>
      <c r="O857" s="184"/>
      <c r="P857" s="184"/>
      <c r="Q857" s="184"/>
    </row>
    <row r="858" spans="1:36" s="175" customFormat="1" ht="15" hidden="1" customHeight="1" thickBot="1">
      <c r="A858" s="132" cm="1">
        <f t="array" ref="A858">SSATSLineNumbers(A858,0.01)</f>
        <v>5.1100000000000003</v>
      </c>
      <c r="B858" s="244" t="s">
        <v>512</v>
      </c>
      <c r="C858" s="66">
        <v>-370.5</v>
      </c>
      <c r="D858" s="84"/>
      <c r="E858" s="457" t="str">
        <f>IF(E857="","[AUTO]",(E857*T858))</f>
        <v>[AUTO]</v>
      </c>
      <c r="F858" s="86">
        <f ca="1">P858</f>
        <v>-390</v>
      </c>
      <c r="G858" s="86">
        <f ca="1">Q858</f>
        <v>-351</v>
      </c>
      <c r="H858" s="86" t="str">
        <f ca="1">R858</f>
        <v>uA</v>
      </c>
      <c r="I858" s="59" t="str">
        <f>IF(E858 ="[AUTO]","TBC", IF(AND(E858&gt;=F858,E858&lt;=G858 ),"Pass","Fail"))</f>
        <v>TBC</v>
      </c>
      <c r="J858" s="184"/>
      <c r="K858" s="295" t="s">
        <v>80</v>
      </c>
      <c r="L858" s="184"/>
      <c r="M858" s="184"/>
      <c r="N858" s="184"/>
      <c r="O858" s="184"/>
      <c r="P858" s="245">
        <f ca="1">C858+(INDEX(tblProductScalesMeasures[Min],MATCH(_xlfn.CONCAT(B858),tblProductScalesMeasures[Description],0)))</f>
        <v>-390</v>
      </c>
      <c r="Q858" s="245">
        <f ca="1">C858+(INDEX(tblProductScalesMeasures[Max],MATCH(_xlfn.CONCAT(B858),tblProductScalesMeasures[Description],0)))</f>
        <v>-351</v>
      </c>
      <c r="R858" s="245" t="str">
        <f ca="1">(INDEX(tblProductScalesMeasures[Unit],MATCH(_xlfn.CONCAT(B858),tblProductScalesMeasures[Description],0)))</f>
        <v>uA</v>
      </c>
      <c r="S858" s="177"/>
      <c r="T858" s="245">
        <f ca="1">IF(COUNTIF(tblExempt[],R858)&gt;0,0,INDEX(tblScaling[Divider],MATCH(_xlfn.CONCAT(IF(ISNUMBER(SEARCH(" ",section_5_heading))=FALSE,SUBSTITUTE(section_5_heading," ",""),"")," ",R858),tblScaling[Description],0)))</f>
        <v>1000000</v>
      </c>
    </row>
    <row r="859" spans="1:36" s="180" customFormat="1" ht="16.5" hidden="1" customHeight="1" thickBot="1">
      <c r="A859" s="133"/>
      <c r="B859" s="237" t="s">
        <v>70</v>
      </c>
      <c r="C859" s="57"/>
      <c r="D859" s="57"/>
      <c r="E859" s="80"/>
      <c r="F859" s="57"/>
      <c r="G859" s="57"/>
      <c r="H859" s="57"/>
      <c r="I859" s="57"/>
      <c r="J859" s="184"/>
      <c r="K859" s="116" t="s">
        <v>27</v>
      </c>
      <c r="L859" s="116" t="s">
        <v>42</v>
      </c>
      <c r="M859" s="116" t="s">
        <v>129</v>
      </c>
      <c r="N859" s="116" t="str">
        <f ca="1">SUBSTITUTE(CELL("address",K850),"$","")</f>
        <v>K850</v>
      </c>
      <c r="O859" s="116" t="s">
        <v>130</v>
      </c>
      <c r="P859" s="228" t="s">
        <v>75</v>
      </c>
      <c r="Q859" s="250" t="str">
        <f ca="1">INDEX(tblGoSubRoutineStartCell[StartCell],MATCH(B859,tblGoSubRoutineStartCell[GoSub Routine],0))</f>
        <v>K56</v>
      </c>
      <c r="R859" s="184"/>
      <c r="S859" s="178"/>
      <c r="T859" s="178"/>
      <c r="U859" s="178"/>
      <c r="V859" s="178"/>
      <c r="W859" s="178"/>
      <c r="X859" s="178"/>
      <c r="Y859" s="178"/>
      <c r="Z859" s="178"/>
      <c r="AA859" s="178"/>
      <c r="AB859" s="178"/>
      <c r="AC859" s="178"/>
      <c r="AD859" s="178"/>
      <c r="AE859" s="178"/>
      <c r="AF859" s="178"/>
      <c r="AG859" s="178"/>
      <c r="AH859" s="178"/>
      <c r="AI859" s="178"/>
      <c r="AJ859" s="178"/>
    </row>
    <row r="860" spans="1:36" s="175" customFormat="1" ht="15" hidden="1" customHeight="1" thickBot="1">
      <c r="A860" s="132" cm="1">
        <f t="array" ref="A860">SSATSLineNumbers(A860,0.01)</f>
        <v>5.12</v>
      </c>
      <c r="B860" s="244" t="s">
        <v>519</v>
      </c>
      <c r="C860" s="66"/>
      <c r="D860" s="84"/>
      <c r="E860" s="454"/>
      <c r="F860" s="58"/>
      <c r="G860" s="58"/>
      <c r="H860" s="58"/>
      <c r="I860" s="58"/>
      <c r="J860" s="184"/>
      <c r="K860" s="295" t="s">
        <v>502</v>
      </c>
      <c r="L860" s="184"/>
      <c r="M860" s="184"/>
      <c r="N860" s="184"/>
      <c r="O860" s="184"/>
      <c r="P860" s="184"/>
      <c r="Q860" s="184"/>
    </row>
    <row r="861" spans="1:36" s="175" customFormat="1" ht="15" hidden="1" customHeight="1" thickBot="1">
      <c r="A861" s="132" cm="1">
        <f t="array" ref="A861">SSATSLineNumbers(A861,0.01)</f>
        <v>5.13</v>
      </c>
      <c r="B861" s="244" t="str">
        <f ca="1">ATE_Settings!Y97</f>
        <v>EXT Current Monitor Error High Load (%)</v>
      </c>
      <c r="C861" s="66"/>
      <c r="D861" s="84"/>
      <c r="E861" s="454" t="str" cm="1">
        <f t="array" ref="E861">SSATSPercent_Error(E858,E860)</f>
        <v>[AUTO]</v>
      </c>
      <c r="F861" s="207">
        <f ca="1">P861</f>
        <v>-15</v>
      </c>
      <c r="G861" s="86">
        <f ca="1">Q861</f>
        <v>15</v>
      </c>
      <c r="H861" s="86" t="str">
        <f ca="1">R861</f>
        <v>%</v>
      </c>
      <c r="I861" s="59" t="str">
        <f>IF(E861 ="[AUTO]","TBC", IF(AND(E861&gt;=F861,E861&lt;=G861 ),"Pass","Fail"))</f>
        <v>TBC</v>
      </c>
      <c r="J861" s="184"/>
      <c r="K861" s="295" t="s">
        <v>80</v>
      </c>
      <c r="L861" s="184"/>
      <c r="M861" s="184"/>
      <c r="N861" s="184"/>
      <c r="O861" s="184"/>
      <c r="P861" s="245">
        <f ca="1">C861+(INDEX(tblProductScalesMeasures[Min],MATCH(_xlfn.CONCAT(B861),tblProductScalesMeasures[Description],0)))</f>
        <v>-15</v>
      </c>
      <c r="Q861" s="245">
        <f ca="1">C861+(INDEX(tblProductScalesMeasures[Max],MATCH(_xlfn.CONCAT(B861),tblProductScalesMeasures[Description],0)))</f>
        <v>15</v>
      </c>
      <c r="R861" s="245" t="str">
        <f ca="1">(INDEX(tblProductScalesMeasures[Unit],MATCH(_xlfn.CONCAT(B861),tblProductScalesMeasures[Description],0)))</f>
        <v>%</v>
      </c>
      <c r="S861" s="177"/>
      <c r="T861" s="245">
        <f ca="1">IF(COUNTIF(tblExempt[],R861)&gt;0,0,INDEX(tblScaling[Divider],MATCH(_xlfn.CONCAT(IF(ISNUMBER(SEARCH(" ",section_5_heading))=FALSE,SUBSTITUTE(section_5_heading," ",""),"")," ",R861),tblScaling[Description],0)))</f>
        <v>0</v>
      </c>
    </row>
    <row r="862" spans="1:36" s="180" customFormat="1" ht="16.5" hidden="1" customHeight="1" thickBot="1">
      <c r="A862" s="133"/>
      <c r="B862" s="237" t="s">
        <v>70</v>
      </c>
      <c r="C862" s="57"/>
      <c r="D862" s="57"/>
      <c r="E862" s="80"/>
      <c r="F862" s="57"/>
      <c r="G862" s="57"/>
      <c r="H862" s="57"/>
      <c r="I862" s="57"/>
      <c r="J862" s="184"/>
      <c r="K862" s="116" t="s">
        <v>27</v>
      </c>
      <c r="L862" s="116" t="s">
        <v>42</v>
      </c>
      <c r="M862" s="116" t="s">
        <v>129</v>
      </c>
      <c r="N862" s="116" t="str">
        <f ca="1">SUBSTITUTE(CELL("address",K850),"$","")</f>
        <v>K850</v>
      </c>
      <c r="O862" s="116" t="s">
        <v>130</v>
      </c>
      <c r="P862" s="228" t="s">
        <v>75</v>
      </c>
      <c r="Q862" s="250" t="str">
        <f ca="1">INDEX(tblGoSubRoutineStartCell[StartCell],MATCH(B862,tblGoSubRoutineStartCell[GoSub Routine],0))</f>
        <v>K56</v>
      </c>
      <c r="R862" s="184"/>
      <c r="S862" s="178"/>
      <c r="T862" s="178"/>
      <c r="U862" s="178"/>
      <c r="V862" s="178"/>
      <c r="W862" s="178"/>
      <c r="X862" s="178"/>
      <c r="Y862" s="178"/>
      <c r="Z862" s="178"/>
      <c r="AA862" s="178"/>
      <c r="AB862" s="178"/>
      <c r="AC862" s="178"/>
      <c r="AD862" s="178"/>
      <c r="AE862" s="178"/>
      <c r="AF862" s="178"/>
      <c r="AG862" s="178"/>
      <c r="AH862" s="178"/>
      <c r="AI862" s="178"/>
      <c r="AJ862" s="178"/>
    </row>
    <row r="863" spans="1:36" s="175" customFormat="1" ht="15.75" hidden="1" thickBot="1">
      <c r="A863" s="130"/>
      <c r="B863" s="294" t="s">
        <v>518</v>
      </c>
      <c r="C863" s="58"/>
      <c r="D863" s="58"/>
      <c r="E863" s="58"/>
      <c r="F863" s="58"/>
      <c r="G863" s="58"/>
      <c r="H863" s="58"/>
      <c r="I863" s="58"/>
      <c r="J863" s="295"/>
      <c r="K863" s="295" t="s">
        <v>77</v>
      </c>
      <c r="L863" s="295" t="s">
        <v>75</v>
      </c>
      <c r="M863" s="238" t="str">
        <f ca="1">INDEX(tblGoSubRoutineStartCell[StartCell],MATCH(B863,tblGoSubRoutineStartCell[GoSub Routine],0))</f>
        <v>K260</v>
      </c>
      <c r="N863" s="184"/>
      <c r="O863" s="184"/>
      <c r="P863" s="184"/>
      <c r="Q863" s="184"/>
    </row>
    <row r="864" spans="1:36" s="175" customFormat="1" ht="15" hidden="1">
      <c r="A864" s="130"/>
      <c r="B864" s="240" t="s">
        <v>520</v>
      </c>
      <c r="C864" s="78">
        <v>8</v>
      </c>
      <c r="D864" s="58"/>
      <c r="E864" s="58"/>
      <c r="F864" s="58"/>
      <c r="G864" s="58"/>
      <c r="H864" s="58"/>
      <c r="I864" s="58"/>
      <c r="J864" s="184"/>
      <c r="K864" s="241" t="str">
        <f>_xlfn.CONCAT("734|GND|REG1|DEC(",C864,")")</f>
        <v>734|GND|REG1|DEC(8)</v>
      </c>
      <c r="L864" s="336"/>
      <c r="M864" s="336"/>
      <c r="N864" s="336"/>
      <c r="O864" s="241"/>
      <c r="P864" s="241"/>
      <c r="Q864" s="184"/>
    </row>
    <row r="865" spans="1:36" s="175" customFormat="1" ht="15" hidden="1">
      <c r="A865" s="130"/>
      <c r="B865" s="240" t="s">
        <v>343</v>
      </c>
      <c r="C865" s="78"/>
      <c r="D865" s="58"/>
      <c r="E865" s="58"/>
      <c r="F865" s="58"/>
      <c r="G865" s="58"/>
      <c r="H865" s="58"/>
      <c r="I865" s="58"/>
      <c r="J865" s="184"/>
      <c r="K865" s="336" t="s">
        <v>27</v>
      </c>
      <c r="L865" s="336" t="s">
        <v>313</v>
      </c>
      <c r="M865" s="336" t="s">
        <v>91</v>
      </c>
      <c r="N865" s="336" t="s">
        <v>315</v>
      </c>
      <c r="O865" s="241" t="s">
        <v>316</v>
      </c>
      <c r="P865" s="241" t="s">
        <v>312</v>
      </c>
      <c r="Q865" s="184"/>
    </row>
    <row r="866" spans="1:36" s="180" customFormat="1" ht="15.75" hidden="1" thickBot="1">
      <c r="A866" s="130"/>
      <c r="B866" s="84"/>
      <c r="C866" s="78"/>
      <c r="D866" s="58"/>
      <c r="E866" s="58"/>
      <c r="F866" s="58"/>
      <c r="G866" s="58"/>
      <c r="H866" s="58"/>
      <c r="I866" s="58"/>
      <c r="J866" s="184"/>
      <c r="K866" s="301" t="s">
        <v>80</v>
      </c>
      <c r="R866" s="175"/>
      <c r="S866" s="175"/>
      <c r="T866" s="175"/>
      <c r="U866" s="178"/>
      <c r="V866" s="178"/>
      <c r="W866" s="178"/>
      <c r="X866" s="178"/>
      <c r="Y866" s="178"/>
      <c r="Z866" s="178"/>
      <c r="AA866" s="178"/>
      <c r="AB866" s="178"/>
      <c r="AC866" s="178"/>
      <c r="AD866" s="178"/>
      <c r="AE866" s="178"/>
      <c r="AF866" s="178"/>
      <c r="AG866" s="178"/>
      <c r="AH866" s="178"/>
      <c r="AI866" s="178"/>
      <c r="AJ866" s="178"/>
    </row>
    <row r="867" spans="1:36" s="175" customFormat="1" ht="20.25" hidden="1" customHeight="1" thickBot="1">
      <c r="A867" s="326"/>
      <c r="B867" s="327"/>
      <c r="C867" s="327"/>
      <c r="D867" s="329" t="s">
        <v>147</v>
      </c>
      <c r="E867" s="327"/>
      <c r="F867" s="327"/>
      <c r="G867" s="327"/>
      <c r="H867" s="327"/>
      <c r="I867" s="328"/>
      <c r="J867" s="184"/>
      <c r="K867" s="89" t="s">
        <v>80</v>
      </c>
      <c r="L867" s="184"/>
      <c r="M867" s="184"/>
      <c r="N867" s="184"/>
      <c r="O867" s="184"/>
      <c r="P867" s="184"/>
      <c r="Q867" s="184"/>
    </row>
    <row r="868" spans="1:36" s="180" customFormat="1" ht="15.75" hidden="1" thickBot="1">
      <c r="A868" s="130"/>
      <c r="B868" s="84"/>
      <c r="C868" s="78"/>
      <c r="D868" s="58"/>
      <c r="E868" s="58"/>
      <c r="F868" s="58"/>
      <c r="G868" s="58"/>
      <c r="H868" s="58"/>
      <c r="I868" s="58"/>
      <c r="J868" s="184"/>
      <c r="K868" s="297" t="s">
        <v>80</v>
      </c>
      <c r="L868" s="184"/>
      <c r="M868" s="184"/>
      <c r="N868" s="184"/>
      <c r="O868" s="184"/>
      <c r="R868" s="178"/>
      <c r="S868" s="178"/>
      <c r="T868" s="178"/>
      <c r="U868" s="178"/>
      <c r="V868" s="178"/>
      <c r="W868" s="178"/>
      <c r="X868" s="178"/>
      <c r="Y868" s="178"/>
      <c r="Z868" s="178"/>
      <c r="AA868" s="178"/>
      <c r="AB868" s="178"/>
      <c r="AC868" s="178"/>
      <c r="AD868" s="178"/>
      <c r="AE868" s="178"/>
      <c r="AF868" s="178"/>
      <c r="AG868" s="178"/>
      <c r="AH868" s="178"/>
      <c r="AI868" s="178"/>
      <c r="AJ868" s="178"/>
    </row>
    <row r="869" spans="1:36" s="175" customFormat="1" ht="15.75" hidden="1" thickBot="1">
      <c r="A869" s="130"/>
      <c r="B869" s="298" t="s">
        <v>188</v>
      </c>
      <c r="C869" s="58"/>
      <c r="D869" s="58"/>
      <c r="E869" s="58"/>
      <c r="F869" s="58"/>
      <c r="G869" s="58"/>
      <c r="H869" s="58"/>
      <c r="I869" s="58"/>
      <c r="J869" s="297"/>
      <c r="K869" s="297" t="s">
        <v>77</v>
      </c>
      <c r="L869" s="297" t="s">
        <v>75</v>
      </c>
      <c r="M869" s="238" t="str">
        <f ca="1">INDEX(tblGoSubRoutineStartCell[StartCell],MATCH(B869,tblGoSubRoutineStartCell[GoSub Routine],0))</f>
        <v>K121</v>
      </c>
      <c r="N869" s="184"/>
      <c r="O869" s="184"/>
      <c r="P869" s="184"/>
      <c r="Q869" s="184"/>
    </row>
    <row r="870" spans="1:36" s="175" customFormat="1" ht="15.75" hidden="1" thickBot="1">
      <c r="A870" s="130"/>
      <c r="B870" s="298" t="s">
        <v>488</v>
      </c>
      <c r="C870" s="58"/>
      <c r="D870" s="58"/>
      <c r="E870" s="58"/>
      <c r="F870" s="58"/>
      <c r="G870" s="58"/>
      <c r="H870" s="58"/>
      <c r="I870" s="58"/>
      <c r="J870" s="297"/>
      <c r="K870" s="297" t="s">
        <v>77</v>
      </c>
      <c r="L870" s="297" t="s">
        <v>75</v>
      </c>
      <c r="M870" s="238" t="str">
        <f ca="1">INDEX(tblGoSubRoutineStartCell[StartCell],MATCH(B870,tblGoSubRoutineStartCell[GoSub Routine],0))</f>
        <v>K233</v>
      </c>
      <c r="N870" s="184"/>
      <c r="O870" s="184"/>
      <c r="P870" s="184"/>
      <c r="Q870" s="184"/>
    </row>
    <row r="871" spans="1:36" s="175" customFormat="1" ht="15" hidden="1">
      <c r="A871" s="130"/>
      <c r="B871" s="240" t="s">
        <v>343</v>
      </c>
      <c r="C871" s="78"/>
      <c r="D871" s="58"/>
      <c r="E871" s="58"/>
      <c r="F871" s="58"/>
      <c r="G871" s="58"/>
      <c r="H871" s="58"/>
      <c r="I871" s="58"/>
      <c r="J871" s="184"/>
      <c r="K871" s="297" t="s">
        <v>27</v>
      </c>
      <c r="L871" s="297" t="s">
        <v>313</v>
      </c>
      <c r="M871" s="297" t="s">
        <v>91</v>
      </c>
      <c r="N871" s="297" t="s">
        <v>315</v>
      </c>
      <c r="O871" s="241" t="s">
        <v>316</v>
      </c>
      <c r="P871" s="241" t="s">
        <v>312</v>
      </c>
      <c r="Q871" s="184"/>
    </row>
    <row r="872" spans="1:36" s="175" customFormat="1" ht="15" hidden="1">
      <c r="A872" s="130"/>
      <c r="B872" s="240" t="s">
        <v>499</v>
      </c>
      <c r="C872" s="78" t="s">
        <v>721</v>
      </c>
      <c r="D872" s="58"/>
      <c r="E872" s="58"/>
      <c r="F872" s="58"/>
      <c r="G872" s="58"/>
      <c r="H872" s="58"/>
      <c r="I872" s="58"/>
      <c r="J872" s="184"/>
      <c r="K872" s="297" t="s">
        <v>27</v>
      </c>
      <c r="L872" s="297" t="s">
        <v>313</v>
      </c>
      <c r="M872" s="297" t="s">
        <v>32</v>
      </c>
      <c r="N872" s="297" t="s">
        <v>315</v>
      </c>
      <c r="O872" s="241" t="str">
        <f>C872</f>
        <v>8,14,15</v>
      </c>
      <c r="P872" s="241"/>
      <c r="Q872" s="184"/>
    </row>
    <row r="873" spans="1:36" s="175" customFormat="1" ht="15" hidden="1">
      <c r="A873" s="130"/>
      <c r="B873" s="240" t="s">
        <v>484</v>
      </c>
      <c r="C873" s="78">
        <v>9</v>
      </c>
      <c r="D873" s="58"/>
      <c r="E873" s="58"/>
      <c r="F873" s="58"/>
      <c r="G873" s="58"/>
      <c r="H873" s="58"/>
      <c r="I873" s="58"/>
      <c r="J873" s="184"/>
      <c r="K873" s="241" t="str">
        <f>_xlfn.CONCAT("734|GND|REG1|DEC(",C873,")")</f>
        <v>734|GND|REG1|DEC(9)</v>
      </c>
      <c r="L873" s="297"/>
      <c r="M873" s="297"/>
      <c r="N873" s="297"/>
      <c r="O873" s="241"/>
      <c r="P873" s="241"/>
      <c r="Q873" s="184"/>
    </row>
    <row r="874" spans="1:36" s="175" customFormat="1" ht="15" hidden="1">
      <c r="A874" s="130"/>
      <c r="B874" s="240" t="s">
        <v>490</v>
      </c>
      <c r="C874" s="78">
        <v>7400</v>
      </c>
      <c r="D874" s="58"/>
      <c r="E874" s="58"/>
      <c r="F874" s="58"/>
      <c r="G874" s="58"/>
      <c r="H874" s="58"/>
      <c r="I874" s="58"/>
      <c r="J874" s="184"/>
      <c r="K874" s="241" t="str">
        <f>_xlfn.CONCAT("734|FLOAT|OUT1|FLT(",C874,")")</f>
        <v>734|FLOAT|OUT1|FLT(7400)</v>
      </c>
      <c r="L874" s="297"/>
      <c r="M874" s="297"/>
      <c r="N874" s="297"/>
      <c r="O874" s="241"/>
      <c r="P874" s="241"/>
      <c r="Q874" s="184"/>
    </row>
    <row r="875" spans="1:36" s="175" customFormat="1" ht="15" hidden="1">
      <c r="A875" s="130"/>
      <c r="B875" s="293" t="s">
        <v>489</v>
      </c>
      <c r="C875" s="78">
        <v>15000</v>
      </c>
      <c r="D875" s="58"/>
      <c r="E875" s="58"/>
      <c r="F875" s="58"/>
      <c r="G875" s="58"/>
      <c r="H875" s="58"/>
      <c r="I875" s="58"/>
      <c r="J875" s="184"/>
      <c r="K875" s="297" t="s">
        <v>27</v>
      </c>
      <c r="L875" s="297" t="s">
        <v>42</v>
      </c>
      <c r="M875" s="216" t="s">
        <v>60</v>
      </c>
      <c r="N875" s="247" t="str">
        <f>B875</f>
        <v>Extractor Initialising…</v>
      </c>
      <c r="O875" s="210">
        <f>C875</f>
        <v>15000</v>
      </c>
      <c r="P875" s="184"/>
      <c r="Q875" s="184"/>
    </row>
    <row r="876" spans="1:36" s="175" customFormat="1" ht="15.75" hidden="1" thickBot="1">
      <c r="A876" s="130"/>
      <c r="B876" s="240" t="s">
        <v>471</v>
      </c>
      <c r="C876" s="78">
        <v>4</v>
      </c>
      <c r="D876" s="58"/>
      <c r="E876" s="455"/>
      <c r="F876" s="58"/>
      <c r="G876" s="58"/>
      <c r="H876" s="58"/>
      <c r="I876" s="58"/>
      <c r="J876" s="184"/>
      <c r="K876" s="297" t="s">
        <v>27</v>
      </c>
      <c r="L876" s="297" t="s">
        <v>318</v>
      </c>
      <c r="M876" s="297" t="s">
        <v>55</v>
      </c>
      <c r="N876" s="297" t="s">
        <v>33</v>
      </c>
      <c r="O876" s="241">
        <f>C876</f>
        <v>4</v>
      </c>
      <c r="P876" s="241"/>
      <c r="Q876" s="184"/>
    </row>
    <row r="877" spans="1:36" s="175" customFormat="1" ht="15" hidden="1" customHeight="1" thickBot="1">
      <c r="A877" s="132" cm="1">
        <f t="array" ref="A877">SSATSLineNumbers(A877,0.01)</f>
        <v>5.14</v>
      </c>
      <c r="B877" s="244" t="s">
        <v>491</v>
      </c>
      <c r="C877" s="66">
        <v>-7400</v>
      </c>
      <c r="D877" s="84"/>
      <c r="E877" s="457" t="str">
        <f>IF(E876="","[AUTO]",E876*T877)</f>
        <v>[AUTO]</v>
      </c>
      <c r="F877" s="58"/>
      <c r="G877" s="58"/>
      <c r="H877" s="58"/>
      <c r="I877" s="58"/>
      <c r="J877" s="184"/>
      <c r="K877" s="297" t="s">
        <v>80</v>
      </c>
      <c r="L877" s="184"/>
      <c r="M877" s="184"/>
      <c r="N877" s="184"/>
      <c r="O877" s="184"/>
      <c r="P877" s="245">
        <f ca="1">C877+(INDEX(tblProductScalesMeasures[Min],MATCH(_xlfn.CONCAT(B877),tblProductScalesMeasures[Description],0)))</f>
        <v>-7600</v>
      </c>
      <c r="Q877" s="245">
        <f ca="1">C877+(INDEX(tblProductScalesMeasures[Max],MATCH(_xlfn.CONCAT(B877),tblProductScalesMeasures[Description],0)))</f>
        <v>-7200</v>
      </c>
      <c r="R877" s="245" t="str">
        <f ca="1">(INDEX(tblProductScalesMeasures[Unit],MATCH(_xlfn.CONCAT(B877),tblProductScalesMeasures[Description],0)))</f>
        <v>V</v>
      </c>
      <c r="S877" s="177"/>
      <c r="T877" s="245">
        <f ca="1">IF(COUNTIF(tblExempt[],R877)&gt;0,0,INDEX(tblScaling[Divider],MATCH(_xlfn.CONCAT(IF(ISNUMBER(SEARCH(" ",section_5_heading))=FALSE,SUBSTITUTE(section_5_heading," ",""),"")," ",R877),tblScaling[Description],0)))</f>
        <v>10000</v>
      </c>
    </row>
    <row r="878" spans="1:36" s="175" customFormat="1" ht="15" hidden="1">
      <c r="A878" s="130"/>
      <c r="B878" s="240" t="s">
        <v>343</v>
      </c>
      <c r="C878" s="78"/>
      <c r="D878" s="58"/>
      <c r="E878" s="58"/>
      <c r="F878" s="58"/>
      <c r="G878" s="58"/>
      <c r="H878" s="58"/>
      <c r="I878" s="58"/>
      <c r="J878" s="184"/>
      <c r="K878" s="297" t="s">
        <v>27</v>
      </c>
      <c r="L878" s="297" t="s">
        <v>313</v>
      </c>
      <c r="M878" s="297" t="s">
        <v>91</v>
      </c>
      <c r="N878" s="297" t="s">
        <v>315</v>
      </c>
      <c r="O878" s="241" t="s">
        <v>316</v>
      </c>
      <c r="P878" s="241" t="s">
        <v>312</v>
      </c>
      <c r="Q878" s="184"/>
    </row>
    <row r="879" spans="1:36" s="380" customFormat="1" ht="15" hidden="1">
      <c r="A879" s="399"/>
      <c r="B879" s="240" t="s">
        <v>720</v>
      </c>
      <c r="C879" s="390" t="s">
        <v>719</v>
      </c>
      <c r="D879" s="387"/>
      <c r="E879" s="387"/>
      <c r="F879" s="387"/>
      <c r="G879" s="387"/>
      <c r="H879" s="387"/>
      <c r="I879" s="387"/>
      <c r="J879" s="384"/>
      <c r="K879" s="422" t="s">
        <v>27</v>
      </c>
      <c r="L879" s="422" t="s">
        <v>313</v>
      </c>
      <c r="M879" s="422" t="s">
        <v>32</v>
      </c>
      <c r="N879" s="422" t="s">
        <v>315</v>
      </c>
      <c r="O879" s="241" t="str">
        <f>C879</f>
        <v>14,15</v>
      </c>
      <c r="P879" s="241"/>
      <c r="Q879" s="384"/>
    </row>
    <row r="880" spans="1:36" s="380" customFormat="1" ht="15" hidden="1">
      <c r="A880" s="399"/>
      <c r="B880" s="240" t="s">
        <v>484</v>
      </c>
      <c r="C880" s="390">
        <v>9</v>
      </c>
      <c r="D880" s="387"/>
      <c r="E880" s="387"/>
      <c r="F880" s="387"/>
      <c r="G880" s="387"/>
      <c r="H880" s="387"/>
      <c r="I880" s="387"/>
      <c r="J880" s="384"/>
      <c r="K880" s="241" t="str">
        <f>_xlfn.CONCAT("734|GND|REG1|DEC(",C880,")")</f>
        <v>734|GND|REG1|DEC(9)</v>
      </c>
      <c r="L880" s="421"/>
      <c r="M880" s="421"/>
      <c r="N880" s="421"/>
      <c r="O880" s="241"/>
      <c r="P880" s="241"/>
      <c r="Q880" s="384"/>
    </row>
    <row r="881" spans="1:36" s="175" customFormat="1" ht="15" hidden="1">
      <c r="A881" s="130"/>
      <c r="B881" s="293" t="s">
        <v>589</v>
      </c>
      <c r="C881" s="78">
        <v>5000</v>
      </c>
      <c r="D881" s="58"/>
      <c r="E881" s="58"/>
      <c r="F881" s="58"/>
      <c r="G881" s="58"/>
      <c r="H881" s="58"/>
      <c r="I881" s="58"/>
      <c r="J881" s="184"/>
      <c r="K881" s="340" t="s">
        <v>27</v>
      </c>
      <c r="L881" s="340" t="s">
        <v>42</v>
      </c>
      <c r="M881" s="216" t="s">
        <v>60</v>
      </c>
      <c r="N881" s="247" t="str">
        <f>B881</f>
        <v>Going Off Load…</v>
      </c>
      <c r="O881" s="210">
        <f>C881</f>
        <v>5000</v>
      </c>
      <c r="P881" s="184"/>
      <c r="Q881" s="184"/>
    </row>
    <row r="882" spans="1:36" s="175" customFormat="1" ht="15.75" hidden="1" thickBot="1">
      <c r="A882" s="130"/>
      <c r="B882" s="240" t="s">
        <v>471</v>
      </c>
      <c r="C882" s="78">
        <v>4</v>
      </c>
      <c r="D882" s="58"/>
      <c r="E882" s="455"/>
      <c r="F882" s="58"/>
      <c r="G882" s="58"/>
      <c r="H882" s="58"/>
      <c r="I882" s="58"/>
      <c r="J882" s="184"/>
      <c r="K882" s="297" t="s">
        <v>27</v>
      </c>
      <c r="L882" s="297" t="s">
        <v>318</v>
      </c>
      <c r="M882" s="297" t="s">
        <v>55</v>
      </c>
      <c r="N882" s="297" t="s">
        <v>33</v>
      </c>
      <c r="O882" s="241">
        <f>C882</f>
        <v>4</v>
      </c>
      <c r="P882" s="241"/>
      <c r="Q882" s="184"/>
    </row>
    <row r="883" spans="1:36" s="175" customFormat="1" ht="15" hidden="1" customHeight="1" thickBot="1">
      <c r="A883" s="132" cm="1">
        <f t="array" ref="A883">SSATSLineNumbers(A883,0.01)</f>
        <v>5.15</v>
      </c>
      <c r="B883" s="244" t="s">
        <v>491</v>
      </c>
      <c r="C883" s="66">
        <v>-7400</v>
      </c>
      <c r="D883" s="84"/>
      <c r="E883" s="457" t="str">
        <f>IF(E882="","[AUTO]",E882*T883)</f>
        <v>[AUTO]</v>
      </c>
      <c r="F883" s="58"/>
      <c r="G883" s="58"/>
      <c r="H883" s="58"/>
      <c r="I883" s="58"/>
      <c r="J883" s="184"/>
      <c r="K883" s="297" t="s">
        <v>80</v>
      </c>
      <c r="L883" s="184"/>
      <c r="M883" s="184"/>
      <c r="N883" s="184"/>
      <c r="O883" s="184"/>
      <c r="P883" s="245">
        <f ca="1">C883+(INDEX(tblProductScalesMeasures[Min],MATCH(_xlfn.CONCAT(B883),tblProductScalesMeasures[Description],0)))</f>
        <v>-7600</v>
      </c>
      <c r="Q883" s="245">
        <f ca="1">C883+(INDEX(tblProductScalesMeasures[Max],MATCH(_xlfn.CONCAT(B883),tblProductScalesMeasures[Description],0)))</f>
        <v>-7200</v>
      </c>
      <c r="R883" s="245" t="str">
        <f ca="1">(INDEX(tblProductScalesMeasures[Unit],MATCH(_xlfn.CONCAT(B883),tblProductScalesMeasures[Description],0)))</f>
        <v>V</v>
      </c>
      <c r="S883" s="177"/>
      <c r="T883" s="245">
        <f ca="1">IF(COUNTIF(tblExempt[],R883)&gt;0,0,INDEX(tblScaling[Divider],MATCH(_xlfn.CONCAT(IF(ISNUMBER(SEARCH(" ",section_5_heading))=FALSE,SUBSTITUTE(section_5_heading," ",""),"")," ",R883),tblScaling[Description],0)))</f>
        <v>10000</v>
      </c>
    </row>
    <row r="884" spans="1:36" s="175" customFormat="1" ht="15" hidden="1" customHeight="1" thickBot="1">
      <c r="A884" s="132" cm="1">
        <f t="array" ref="A884">SSATSLineNumbers(A884,0.01)</f>
        <v>5.16</v>
      </c>
      <c r="B884" s="244" t="str">
        <f ca="1">ATE_Settings!Y98</f>
        <v>EXT Load Regulation (V)</v>
      </c>
      <c r="C884" s="66"/>
      <c r="D884" s="84"/>
      <c r="E884" s="457" t="str">
        <f>IF(OR(E877="[AUTO]",E883="[AUTO]")=TRUE,"[AUTO]",E883-E877)</f>
        <v>[AUTO]</v>
      </c>
      <c r="F884" s="207">
        <f ca="1">P884</f>
        <v>-1.5</v>
      </c>
      <c r="G884" s="86">
        <f ca="1">Q884</f>
        <v>1.5</v>
      </c>
      <c r="H884" s="86" t="str">
        <f ca="1">R884</f>
        <v>V</v>
      </c>
      <c r="I884" s="59" t="str">
        <f>IF(E884 ="[AUTO]","TBC", IF(AND(E884&gt;=F884,E884&lt;=G884 ),"Pass","Fail"))</f>
        <v>TBC</v>
      </c>
      <c r="J884" s="184"/>
      <c r="K884" s="297" t="s">
        <v>80</v>
      </c>
      <c r="L884" s="184"/>
      <c r="M884" s="184"/>
      <c r="N884" s="184"/>
      <c r="O884" s="184"/>
      <c r="P884" s="245">
        <f ca="1">C884+(INDEX(tblProductScalesMeasures[Min],MATCH(_xlfn.CONCAT(B884),tblProductScalesMeasures[Description],0)))</f>
        <v>-1.5</v>
      </c>
      <c r="Q884" s="245">
        <f ca="1">C884+(INDEX(tblProductScalesMeasures[Max],MATCH(_xlfn.CONCAT(B884),tblProductScalesMeasures[Description],0)))</f>
        <v>1.5</v>
      </c>
      <c r="R884" s="245" t="str">
        <f ca="1">(INDEX(tblProductScalesMeasures[Unit],MATCH(_xlfn.CONCAT(B884),tblProductScalesMeasures[Description],0)))</f>
        <v>V</v>
      </c>
      <c r="S884" s="177"/>
      <c r="T884" s="245">
        <f ca="1">IF(COUNTIF(tblExempt[],R884)&gt;0,0,INDEX(tblScaling[Divider],MATCH(_xlfn.CONCAT(IF(ISNUMBER(SEARCH(" ",section_5_heading))=FALSE,SUBSTITUTE(section_5_heading," ",""),"")," ",R884),tblScaling[Description],0)))</f>
        <v>10000</v>
      </c>
    </row>
    <row r="885" spans="1:36" s="180" customFormat="1" ht="16.5" hidden="1" customHeight="1" thickBot="1">
      <c r="A885" s="133"/>
      <c r="B885" s="237" t="s">
        <v>70</v>
      </c>
      <c r="C885" s="57"/>
      <c r="D885" s="57"/>
      <c r="E885" s="80"/>
      <c r="F885" s="57"/>
      <c r="G885" s="57"/>
      <c r="H885" s="57"/>
      <c r="I885" s="57"/>
      <c r="J885" s="184"/>
      <c r="K885" s="116" t="s">
        <v>27</v>
      </c>
      <c r="L885" s="116" t="s">
        <v>42</v>
      </c>
      <c r="M885" s="116" t="s">
        <v>129</v>
      </c>
      <c r="N885" s="116" t="str">
        <f ca="1">SUBSTITUTE(CELL("address",K869),"$","")</f>
        <v>K869</v>
      </c>
      <c r="O885" s="116" t="s">
        <v>130</v>
      </c>
      <c r="P885" s="228" t="s">
        <v>75</v>
      </c>
      <c r="Q885" s="250" t="str">
        <f ca="1">INDEX(tblGoSubRoutineStartCell[StartCell],MATCH(B885,tblGoSubRoutineStartCell[GoSub Routine],0))</f>
        <v>K56</v>
      </c>
      <c r="R885" s="184"/>
      <c r="S885" s="178"/>
      <c r="T885" s="178"/>
      <c r="U885" s="178"/>
      <c r="V885" s="178"/>
      <c r="W885" s="178"/>
      <c r="X885" s="178"/>
      <c r="Y885" s="178"/>
      <c r="Z885" s="178"/>
      <c r="AA885" s="178"/>
      <c r="AB885" s="178"/>
      <c r="AC885" s="178"/>
      <c r="AD885" s="178"/>
      <c r="AE885" s="178"/>
      <c r="AF885" s="178"/>
      <c r="AG885" s="178"/>
      <c r="AH885" s="178"/>
      <c r="AI885" s="178"/>
      <c r="AJ885" s="178"/>
    </row>
    <row r="886" spans="1:36" s="175" customFormat="1" ht="15" hidden="1">
      <c r="A886" s="130"/>
      <c r="B886" s="240" t="s">
        <v>520</v>
      </c>
      <c r="C886" s="78">
        <v>8</v>
      </c>
      <c r="D886" s="58"/>
      <c r="E886" s="58"/>
      <c r="F886" s="58"/>
      <c r="G886" s="58"/>
      <c r="H886" s="58"/>
      <c r="I886" s="58"/>
      <c r="J886" s="184"/>
      <c r="K886" s="241" t="str">
        <f>_xlfn.CONCAT("734|GND|REG1|DEC(",C886,")")</f>
        <v>734|GND|REG1|DEC(8)</v>
      </c>
      <c r="L886" s="336"/>
      <c r="M886" s="336"/>
      <c r="N886" s="336"/>
      <c r="O886" s="241"/>
      <c r="P886" s="241"/>
      <c r="Q886" s="184"/>
    </row>
    <row r="887" spans="1:36" s="175" customFormat="1" ht="15" hidden="1">
      <c r="A887" s="130"/>
      <c r="B887" s="240" t="s">
        <v>343</v>
      </c>
      <c r="C887" s="78"/>
      <c r="D887" s="58"/>
      <c r="E887" s="58"/>
      <c r="F887" s="58"/>
      <c r="G887" s="58"/>
      <c r="H887" s="58"/>
      <c r="I887" s="58"/>
      <c r="J887" s="184"/>
      <c r="K887" s="336" t="s">
        <v>27</v>
      </c>
      <c r="L887" s="336" t="s">
        <v>313</v>
      </c>
      <c r="M887" s="336" t="s">
        <v>91</v>
      </c>
      <c r="N887" s="336" t="s">
        <v>315</v>
      </c>
      <c r="O887" s="241" t="s">
        <v>316</v>
      </c>
      <c r="P887" s="241" t="s">
        <v>312</v>
      </c>
      <c r="Q887" s="184"/>
    </row>
    <row r="888" spans="1:36" s="180" customFormat="1" ht="15.75" hidden="1" thickBot="1">
      <c r="A888" s="130"/>
      <c r="B888" s="84"/>
      <c r="C888" s="78"/>
      <c r="D888" s="58"/>
      <c r="E888" s="58"/>
      <c r="F888" s="58"/>
      <c r="G888" s="58"/>
      <c r="H888" s="58"/>
      <c r="I888" s="58"/>
      <c r="J888" s="184"/>
      <c r="K888" s="291" t="s">
        <v>80</v>
      </c>
      <c r="L888" s="184"/>
      <c r="M888" s="184"/>
      <c r="N888" s="184"/>
      <c r="O888" s="184"/>
      <c r="R888" s="178"/>
      <c r="S888" s="178"/>
      <c r="T888" s="178"/>
      <c r="U888" s="178"/>
      <c r="V888" s="178"/>
      <c r="W888" s="178"/>
      <c r="X888" s="178"/>
      <c r="Y888" s="178"/>
      <c r="Z888" s="178"/>
      <c r="AA888" s="178"/>
      <c r="AB888" s="178"/>
      <c r="AC888" s="178"/>
      <c r="AD888" s="178"/>
      <c r="AE888" s="178"/>
      <c r="AF888" s="178"/>
      <c r="AG888" s="178"/>
      <c r="AH888" s="178"/>
      <c r="AI888" s="178"/>
      <c r="AJ888" s="178"/>
    </row>
    <row r="889" spans="1:36" s="175" customFormat="1" ht="20.25" hidden="1" customHeight="1" thickBot="1">
      <c r="A889" s="326"/>
      <c r="B889" s="327"/>
      <c r="C889" s="327"/>
      <c r="D889" s="329" t="s">
        <v>274</v>
      </c>
      <c r="E889" s="327"/>
      <c r="F889" s="327"/>
      <c r="G889" s="327"/>
      <c r="H889" s="327"/>
      <c r="I889" s="328"/>
      <c r="J889" s="184"/>
      <c r="K889" s="89" t="s">
        <v>80</v>
      </c>
      <c r="L889" s="184"/>
      <c r="M889" s="184"/>
      <c r="N889" s="184"/>
      <c r="O889" s="184"/>
      <c r="P889" s="184"/>
      <c r="Q889" s="184"/>
    </row>
    <row r="890" spans="1:36" s="180" customFormat="1" ht="15.75" hidden="1" thickBot="1">
      <c r="A890" s="130"/>
      <c r="B890" s="84"/>
      <c r="C890" s="78"/>
      <c r="D890" s="58"/>
      <c r="E890" s="58"/>
      <c r="F890" s="58"/>
      <c r="G890" s="58"/>
      <c r="H890" s="58"/>
      <c r="I890" s="58"/>
      <c r="J890" s="184"/>
      <c r="K890" s="301" t="s">
        <v>80</v>
      </c>
      <c r="L890" s="184"/>
      <c r="M890" s="184"/>
      <c r="N890" s="184"/>
      <c r="O890" s="184"/>
      <c r="R890" s="178"/>
      <c r="S890" s="178"/>
      <c r="T890" s="178"/>
      <c r="U890" s="178"/>
      <c r="V890" s="178"/>
      <c r="W890" s="178"/>
      <c r="X890" s="178"/>
      <c r="Y890" s="178"/>
      <c r="Z890" s="178"/>
      <c r="AA890" s="178"/>
      <c r="AB890" s="178"/>
      <c r="AC890" s="178"/>
      <c r="AD890" s="178"/>
      <c r="AE890" s="178"/>
      <c r="AF890" s="178"/>
      <c r="AG890" s="178"/>
      <c r="AH890" s="178"/>
      <c r="AI890" s="178"/>
      <c r="AJ890" s="178"/>
    </row>
    <row r="891" spans="1:36" s="175" customFormat="1" ht="15.75" hidden="1" thickBot="1">
      <c r="A891" s="130"/>
      <c r="B891" s="335" t="s">
        <v>188</v>
      </c>
      <c r="C891" s="58"/>
      <c r="D891" s="58"/>
      <c r="E891" s="58"/>
      <c r="F891" s="58"/>
      <c r="G891" s="58"/>
      <c r="H891" s="58"/>
      <c r="I891" s="58"/>
      <c r="J891" s="336"/>
      <c r="K891" s="336" t="s">
        <v>77</v>
      </c>
      <c r="L891" s="336" t="s">
        <v>75</v>
      </c>
      <c r="M891" s="238" t="str">
        <f ca="1">INDEX(tblGoSubRoutineStartCell[StartCell],MATCH(B891,tblGoSubRoutineStartCell[GoSub Routine],0))</f>
        <v>K121</v>
      </c>
      <c r="N891" s="184"/>
      <c r="O891" s="184"/>
      <c r="P891" s="184"/>
      <c r="Q891" s="184"/>
    </row>
    <row r="892" spans="1:36" s="175" customFormat="1" ht="15" hidden="1">
      <c r="A892" s="130"/>
      <c r="B892" s="240" t="s">
        <v>343</v>
      </c>
      <c r="C892" s="78"/>
      <c r="D892" s="58"/>
      <c r="E892" s="58"/>
      <c r="F892" s="58"/>
      <c r="G892" s="58"/>
      <c r="H892" s="58"/>
      <c r="I892" s="58"/>
      <c r="J892" s="184"/>
      <c r="K892" s="301" t="s">
        <v>27</v>
      </c>
      <c r="L892" s="301" t="s">
        <v>313</v>
      </c>
      <c r="M892" s="301" t="s">
        <v>91</v>
      </c>
      <c r="N892" s="301" t="s">
        <v>315</v>
      </c>
      <c r="O892" s="241" t="s">
        <v>316</v>
      </c>
      <c r="P892" s="241" t="s">
        <v>312</v>
      </c>
      <c r="Q892" s="184"/>
    </row>
    <row r="893" spans="1:36" s="175" customFormat="1" ht="15" hidden="1">
      <c r="A893" s="130"/>
      <c r="B893" s="240" t="s">
        <v>555</v>
      </c>
      <c r="C893" s="78" t="s">
        <v>723</v>
      </c>
      <c r="D893" s="58"/>
      <c r="E893" s="58"/>
      <c r="F893" s="58"/>
      <c r="G893" s="58"/>
      <c r="H893" s="58"/>
      <c r="I893" s="58"/>
      <c r="J893" s="184"/>
      <c r="K893" s="301" t="s">
        <v>27</v>
      </c>
      <c r="L893" s="301" t="s">
        <v>313</v>
      </c>
      <c r="M893" s="301" t="s">
        <v>32</v>
      </c>
      <c r="N893" s="301" t="s">
        <v>315</v>
      </c>
      <c r="O893" s="241" t="str">
        <f>C893</f>
        <v>10,14,15</v>
      </c>
      <c r="P893" s="241"/>
      <c r="Q893" s="184"/>
    </row>
    <row r="894" spans="1:36" s="175" customFormat="1" ht="15" hidden="1">
      <c r="A894" s="130"/>
      <c r="B894" s="240" t="s">
        <v>484</v>
      </c>
      <c r="C894" s="78">
        <v>9</v>
      </c>
      <c r="D894" s="58"/>
      <c r="E894" s="58"/>
      <c r="F894" s="58"/>
      <c r="G894" s="58"/>
      <c r="H894" s="58"/>
      <c r="I894" s="58"/>
      <c r="J894" s="184"/>
      <c r="K894" s="241" t="str">
        <f>_xlfn.CONCAT("734|GND|REG1|DEC(",C894,")")</f>
        <v>734|GND|REG1|DEC(9)</v>
      </c>
      <c r="L894" s="301"/>
      <c r="M894" s="301"/>
      <c r="N894" s="301"/>
      <c r="O894" s="241"/>
      <c r="P894" s="241"/>
      <c r="Q894" s="184"/>
    </row>
    <row r="895" spans="1:36" s="175" customFormat="1" ht="58.5" hidden="1" customHeight="1">
      <c r="A895" s="131"/>
      <c r="B895" s="249" t="s">
        <v>548</v>
      </c>
      <c r="C895" s="113"/>
      <c r="D895" s="113"/>
      <c r="E895" s="437"/>
      <c r="F895" s="58"/>
      <c r="G895" s="58"/>
      <c r="H895" s="58"/>
      <c r="I895" s="59" t="str">
        <f>IF(E895 ="","TBC", IF(E895="Y","Pass","Fail"))</f>
        <v>TBC</v>
      </c>
      <c r="J895" s="184"/>
      <c r="K895" s="330" t="s">
        <v>27</v>
      </c>
      <c r="L895" s="89" t="s">
        <v>42</v>
      </c>
      <c r="M895" s="330" t="s">
        <v>332</v>
      </c>
      <c r="N895" s="184" t="s">
        <v>333</v>
      </c>
      <c r="O895" s="184" t="s">
        <v>421</v>
      </c>
      <c r="P895" s="184" t="s">
        <v>334</v>
      </c>
      <c r="Q895" s="184" t="str">
        <f>B895</f>
        <v>Please press the "Disable Trips" tick box on the product GUI.</v>
      </c>
    </row>
    <row r="896" spans="1:36" s="175" customFormat="1" ht="15" hidden="1">
      <c r="A896" s="130"/>
      <c r="B896" s="240" t="s">
        <v>490</v>
      </c>
      <c r="C896" s="78">
        <v>11000</v>
      </c>
      <c r="D896" s="58"/>
      <c r="E896" s="58"/>
      <c r="F896" s="58"/>
      <c r="G896" s="58"/>
      <c r="H896" s="58"/>
      <c r="I896" s="58"/>
      <c r="J896" s="184"/>
      <c r="K896" s="241" t="str">
        <f>_xlfn.CONCAT("734|FLOAT|OUT1|FLT(",C896,")")</f>
        <v>734|FLOAT|OUT1|FLT(11000)</v>
      </c>
      <c r="L896" s="301"/>
      <c r="M896" s="301"/>
      <c r="N896" s="301"/>
      <c r="O896" s="241"/>
      <c r="P896" s="241"/>
      <c r="Q896" s="184"/>
    </row>
    <row r="897" spans="1:36" s="175" customFormat="1" ht="58.5" hidden="1" customHeight="1" thickBot="1">
      <c r="A897" s="131"/>
      <c r="B897" s="249" t="str">
        <f>_xlfn.CONCAT("Please check the product GUI, and wait for the Output current to reach around 400uA and for the current limit flag to turn red. If the flag has not turned red, please wait until this happens. Please press yes to confirm.")</f>
        <v>Please check the product GUI, and wait for the Output current to reach around 400uA and for the current limit flag to turn red. If the flag has not turned red, please wait until this happens. Please press yes to confirm.</v>
      </c>
      <c r="C897" s="113"/>
      <c r="D897" s="113"/>
      <c r="E897" s="437"/>
      <c r="F897" s="58"/>
      <c r="G897" s="58"/>
      <c r="H897" s="58"/>
      <c r="I897" s="59" t="str">
        <f>IF(E897 ="","TBC", IF(E897="Y","Pass","Fail"))</f>
        <v>TBC</v>
      </c>
      <c r="J897" s="184"/>
      <c r="K897" s="301" t="s">
        <v>27</v>
      </c>
      <c r="L897" s="89" t="s">
        <v>42</v>
      </c>
      <c r="M897" s="301" t="s">
        <v>332</v>
      </c>
      <c r="N897" s="184" t="s">
        <v>333</v>
      </c>
      <c r="O897" s="184" t="s">
        <v>421</v>
      </c>
      <c r="P897" s="184" t="s">
        <v>334</v>
      </c>
      <c r="Q897" s="184" t="str">
        <f>B897</f>
        <v>Please check the product GUI, and wait for the Output current to reach around 400uA and for the current limit flag to turn red. If the flag has not turned red, please wait until this happens. Please press yes to confirm.</v>
      </c>
    </row>
    <row r="898" spans="1:36" s="175" customFormat="1" ht="15.75" hidden="1" thickBot="1">
      <c r="A898" s="130"/>
      <c r="B898" s="255" t="s">
        <v>70</v>
      </c>
      <c r="C898" s="78"/>
      <c r="D898" s="58"/>
      <c r="E898" s="58"/>
      <c r="F898" s="58"/>
      <c r="G898" s="58"/>
      <c r="H898" s="58"/>
      <c r="I898" s="58"/>
      <c r="J898" s="184"/>
      <c r="K898" s="116" t="s">
        <v>27</v>
      </c>
      <c r="L898" s="116" t="s">
        <v>42</v>
      </c>
      <c r="M898" s="116" t="s">
        <v>129</v>
      </c>
      <c r="N898" s="116" t="str">
        <f ca="1">SUBSTITUTE(CELL("address",K891),"$","")</f>
        <v>K891</v>
      </c>
      <c r="O898" s="116" t="s">
        <v>130</v>
      </c>
      <c r="P898" s="228" t="s">
        <v>75</v>
      </c>
      <c r="Q898" s="185" t="str">
        <f ca="1">INDEX(tblGoSubRoutineStartCell[StartCell],MATCH(B898,tblGoSubRoutineStartCell[GoSub Routine],0))</f>
        <v>K56</v>
      </c>
    </row>
    <row r="899" spans="1:36" s="175" customFormat="1" ht="15.75" hidden="1" thickBot="1">
      <c r="A899" s="130"/>
      <c r="B899" s="240" t="s">
        <v>335</v>
      </c>
      <c r="C899" s="78"/>
      <c r="D899" s="58"/>
      <c r="E899" s="456"/>
      <c r="F899" s="58"/>
      <c r="G899" s="58"/>
      <c r="H899" s="58"/>
      <c r="I899" s="58"/>
      <c r="J899" s="184"/>
      <c r="K899" s="301" t="s">
        <v>27</v>
      </c>
      <c r="L899" s="301" t="s">
        <v>319</v>
      </c>
      <c r="M899" s="301" t="s">
        <v>55</v>
      </c>
      <c r="N899" s="241" t="s">
        <v>310</v>
      </c>
      <c r="P899" s="241"/>
      <c r="Q899" s="184"/>
    </row>
    <row r="900" spans="1:36" s="175" customFormat="1" ht="16.5" hidden="1" customHeight="1" thickBot="1">
      <c r="A900" s="132" cm="1">
        <f t="array" ref="A900">SSATSLineNumbers(A900,0.01)</f>
        <v>5.17</v>
      </c>
      <c r="B900" s="244" t="s">
        <v>529</v>
      </c>
      <c r="C900" s="84">
        <v>400</v>
      </c>
      <c r="D900" s="211"/>
      <c r="E900" s="458" t="str">
        <f>IF(E899="","[AUTO]",(E899*T900)*-1)</f>
        <v>[AUTO]</v>
      </c>
      <c r="F900" s="212">
        <f ca="1">P900</f>
        <v>390</v>
      </c>
      <c r="G900" s="86">
        <f ca="1">Q900</f>
        <v>410</v>
      </c>
      <c r="H900" s="86" t="str">
        <f ca="1">R900</f>
        <v>uA</v>
      </c>
      <c r="I900" s="59" t="str">
        <f>IF(E900 ="[AUTO]","TBC", IF(AND(E900&gt;=F900,E900&lt;=G900 ),"Pass","Fail"))</f>
        <v>TBC</v>
      </c>
      <c r="J900" s="184"/>
      <c r="K900" s="301" t="s">
        <v>80</v>
      </c>
      <c r="L900" s="184"/>
      <c r="M900" s="184"/>
      <c r="N900" s="184"/>
      <c r="O900" s="184"/>
      <c r="P900" s="245">
        <f ca="1">C900+(INDEX(tblProductScalesMeasures[Min],MATCH(_xlfn.CONCAT(B900),tblProductScalesMeasures[Description],0)))</f>
        <v>390</v>
      </c>
      <c r="Q900" s="245">
        <f ca="1">C900+(INDEX(tblProductScalesMeasures[Max],MATCH(_xlfn.CONCAT(B900),tblProductScalesMeasures[Description],0)))</f>
        <v>410</v>
      </c>
      <c r="R900" s="245" t="str">
        <f ca="1">(INDEX(tblProductScalesMeasures[Unit],MATCH(_xlfn.CONCAT(B900),tblProductScalesMeasures[Description],0)))</f>
        <v>uA</v>
      </c>
      <c r="S900" s="177"/>
      <c r="T900" s="245">
        <f ca="1">IF(COUNTIF(tblExempt[],R900)&gt;0,0,INDEX(tblScaling[Divider],MATCH(_xlfn.CONCAT(IF(ISNUMBER(SEARCH(" ",section_5_heading))=FALSE,SUBSTITUTE(section_5_heading," ",""),"")," ",R900),tblScaling[Description],0)))</f>
        <v>1000000</v>
      </c>
      <c r="U900" s="184"/>
    </row>
    <row r="901" spans="1:36" s="175" customFormat="1" ht="15.75" hidden="1" thickBot="1">
      <c r="A901" s="130"/>
      <c r="B901" s="255" t="s">
        <v>70</v>
      </c>
      <c r="C901" s="78"/>
      <c r="D901" s="58"/>
      <c r="E901" s="58"/>
      <c r="F901" s="58"/>
      <c r="G901" s="58"/>
      <c r="H901" s="58"/>
      <c r="I901" s="58"/>
      <c r="J901" s="184"/>
      <c r="K901" s="116" t="s">
        <v>27</v>
      </c>
      <c r="L901" s="116" t="s">
        <v>42</v>
      </c>
      <c r="M901" s="116" t="s">
        <v>129</v>
      </c>
      <c r="N901" s="116" t="str">
        <f ca="1">SUBSTITUTE(CELL("address",K891),"$","")</f>
        <v>K891</v>
      </c>
      <c r="O901" s="116" t="s">
        <v>130</v>
      </c>
      <c r="P901" s="228" t="s">
        <v>75</v>
      </c>
      <c r="Q901" s="185" t="str">
        <f ca="1">INDEX(tblGoSubRoutineStartCell[StartCell],MATCH(B901,tblGoSubRoutineStartCell[GoSub Routine],0))</f>
        <v>K56</v>
      </c>
    </row>
    <row r="902" spans="1:36" s="175" customFormat="1" ht="41.25" hidden="1" customHeight="1" thickBot="1">
      <c r="A902" s="131"/>
      <c r="B902" s="249" t="s">
        <v>557</v>
      </c>
      <c r="C902" s="113"/>
      <c r="D902" s="113"/>
      <c r="E902" s="437"/>
      <c r="F902" s="58"/>
      <c r="G902" s="58"/>
      <c r="H902" s="58"/>
      <c r="I902" s="59" t="str">
        <f>IF(E902 ="","TBC", IF(E902="Y","Pass","Fail"))</f>
        <v>TBC</v>
      </c>
      <c r="J902" s="184"/>
      <c r="K902" s="301" t="s">
        <v>27</v>
      </c>
      <c r="L902" s="89" t="s">
        <v>42</v>
      </c>
      <c r="M902" s="301" t="s">
        <v>332</v>
      </c>
      <c r="N902" s="184" t="s">
        <v>333</v>
      </c>
      <c r="O902" s="184" t="s">
        <v>421</v>
      </c>
      <c r="P902" s="184" t="s">
        <v>334</v>
      </c>
      <c r="Q902" s="184" t="str">
        <f>B902</f>
        <v>Please now untick "Disable trips", this should cause the Extractor OP to trip off and disable itself in the GUI. Press yes to confirm this has happend.</v>
      </c>
    </row>
    <row r="903" spans="1:36" s="175" customFormat="1" ht="15.75" hidden="1" thickBot="1">
      <c r="A903" s="130"/>
      <c r="B903" s="255" t="s">
        <v>70</v>
      </c>
      <c r="C903" s="78"/>
      <c r="D903" s="58"/>
      <c r="E903" s="58"/>
      <c r="F903" s="58"/>
      <c r="G903" s="58"/>
      <c r="H903" s="58"/>
      <c r="I903" s="58"/>
      <c r="J903" s="184"/>
      <c r="K903" s="116" t="s">
        <v>27</v>
      </c>
      <c r="L903" s="116" t="s">
        <v>42</v>
      </c>
      <c r="M903" s="116" t="s">
        <v>129</v>
      </c>
      <c r="N903" s="116" t="str">
        <f ca="1">SUBSTITUTE(CELL("address",K891),"$","")</f>
        <v>K891</v>
      </c>
      <c r="O903" s="116" t="s">
        <v>130</v>
      </c>
      <c r="P903" s="228" t="s">
        <v>75</v>
      </c>
      <c r="Q903" s="185" t="str">
        <f ca="1">INDEX(tblGoSubRoutineStartCell[StartCell],MATCH(B903,tblGoSubRoutineStartCell[GoSub Routine],0))</f>
        <v>K56</v>
      </c>
    </row>
    <row r="904" spans="1:36" s="175" customFormat="1" ht="40.5" hidden="1" customHeight="1" thickBot="1">
      <c r="A904" s="131"/>
      <c r="B904" s="249" t="s">
        <v>531</v>
      </c>
      <c r="C904" s="113"/>
      <c r="D904" s="113"/>
      <c r="E904" s="437"/>
      <c r="F904" s="58"/>
      <c r="G904" s="58"/>
      <c r="H904" s="58"/>
      <c r="I904" s="59" t="str">
        <f>IF(E904 ="","TBC", IF(E904="Y","Pass","Fail"))</f>
        <v>TBC</v>
      </c>
      <c r="J904" s="184"/>
      <c r="K904" s="301" t="s">
        <v>27</v>
      </c>
      <c r="L904" s="89" t="s">
        <v>42</v>
      </c>
      <c r="M904" s="301" t="s">
        <v>332</v>
      </c>
      <c r="N904" s="184" t="s">
        <v>333</v>
      </c>
      <c r="O904" s="184" t="s">
        <v>421</v>
      </c>
      <c r="P904" s="184" t="s">
        <v>334</v>
      </c>
      <c r="Q904" s="184" t="str">
        <f>B904</f>
        <v>Please check the front of the UUT to see if FLOAT fault LED is illuminated. Is it illuminated?</v>
      </c>
    </row>
    <row r="905" spans="1:36" s="175" customFormat="1" ht="15.75" hidden="1" thickBot="1">
      <c r="A905" s="130"/>
      <c r="B905" s="255" t="s">
        <v>70</v>
      </c>
      <c r="C905" s="78"/>
      <c r="D905" s="58"/>
      <c r="E905" s="58"/>
      <c r="F905" s="58"/>
      <c r="G905" s="58"/>
      <c r="H905" s="58"/>
      <c r="I905" s="58"/>
      <c r="J905" s="184"/>
      <c r="K905" s="116" t="s">
        <v>27</v>
      </c>
      <c r="L905" s="116" t="s">
        <v>42</v>
      </c>
      <c r="M905" s="116" t="s">
        <v>129</v>
      </c>
      <c r="N905" s="116" t="str">
        <f ca="1">SUBSTITUTE(CELL("address",K891),"$","")</f>
        <v>K891</v>
      </c>
      <c r="O905" s="116" t="s">
        <v>130</v>
      </c>
      <c r="P905" s="228" t="s">
        <v>75</v>
      </c>
      <c r="Q905" s="185" t="str">
        <f ca="1">INDEX(tblGoSubRoutineStartCell[StartCell],MATCH(B905,tblGoSubRoutineStartCell[GoSub Routine],0))</f>
        <v>K56</v>
      </c>
    </row>
    <row r="906" spans="1:36" s="175" customFormat="1" ht="40.5" hidden="1" customHeight="1" thickBot="1">
      <c r="A906" s="131"/>
      <c r="B906" s="253" t="s">
        <v>524</v>
      </c>
      <c r="C906" s="113"/>
      <c r="D906" s="113"/>
      <c r="E906" s="437"/>
      <c r="F906" s="58"/>
      <c r="G906" s="58"/>
      <c r="H906" s="58"/>
      <c r="I906" s="59" t="str">
        <f>IF(E906 ="","TBC", IF(E906="Y","Pass","Fail"))</f>
        <v>TBC</v>
      </c>
      <c r="J906" s="184"/>
      <c r="K906" s="301" t="s">
        <v>27</v>
      </c>
      <c r="L906" s="89" t="s">
        <v>42</v>
      </c>
      <c r="M906" s="301" t="s">
        <v>332</v>
      </c>
      <c r="N906" s="184" t="s">
        <v>333</v>
      </c>
      <c r="O906" s="184" t="s">
        <v>421</v>
      </c>
      <c r="P906" s="184" t="s">
        <v>334</v>
      </c>
      <c r="Q906" s="184" t="str">
        <f>B906</f>
        <v>Please press "Reset" on the product GUI, and wait for Polling to restart. Press yes if the UUT continues communicating.</v>
      </c>
    </row>
    <row r="907" spans="1:36" s="175" customFormat="1" ht="15.75" hidden="1" thickBot="1">
      <c r="A907" s="130"/>
      <c r="B907" s="255" t="s">
        <v>70</v>
      </c>
      <c r="C907" s="78"/>
      <c r="D907" s="58"/>
      <c r="E907" s="58"/>
      <c r="F907" s="58"/>
      <c r="G907" s="58"/>
      <c r="H907" s="58"/>
      <c r="I907" s="58"/>
      <c r="J907" s="184"/>
      <c r="K907" s="116" t="s">
        <v>27</v>
      </c>
      <c r="L907" s="116" t="s">
        <v>42</v>
      </c>
      <c r="M907" s="116" t="s">
        <v>129</v>
      </c>
      <c r="N907" s="116" t="str">
        <f ca="1">SUBSTITUTE(CELL("address",K891),"$","")</f>
        <v>K891</v>
      </c>
      <c r="O907" s="116" t="s">
        <v>130</v>
      </c>
      <c r="P907" s="228" t="s">
        <v>75</v>
      </c>
      <c r="Q907" s="185" t="str">
        <f ca="1">INDEX(tblGoSubRoutineStartCell[StartCell],MATCH(B907,tblGoSubRoutineStartCell[GoSub Routine],0))</f>
        <v>K56</v>
      </c>
    </row>
    <row r="908" spans="1:36" s="175" customFormat="1" ht="67.5" hidden="1" customHeight="1" thickBot="1">
      <c r="A908" s="131"/>
      <c r="B908" s="249" t="s">
        <v>532</v>
      </c>
      <c r="C908" s="113"/>
      <c r="D908" s="113"/>
      <c r="E908" s="437"/>
      <c r="F908" s="58"/>
      <c r="G908" s="58"/>
      <c r="H908" s="58"/>
      <c r="I908" s="59" t="str">
        <f>IF(E908 ="","TBC", IF(E908="Y","Pass","Fail"))</f>
        <v>TBC</v>
      </c>
      <c r="J908" s="184"/>
      <c r="K908" s="301" t="s">
        <v>27</v>
      </c>
      <c r="L908" s="89" t="s">
        <v>42</v>
      </c>
      <c r="M908" s="301" t="s">
        <v>332</v>
      </c>
      <c r="N908" s="184" t="s">
        <v>333</v>
      </c>
      <c r="O908" s="184" t="s">
        <v>421</v>
      </c>
      <c r="P908" s="184" t="s">
        <v>334</v>
      </c>
      <c r="Q908" s="184" t="str">
        <f>B908</f>
        <v>Now the GUI has been refreshed, please check the GUI to monitor if the error has cleared, and that the fault LED for FLOAT on the UUT has gone out. Are these both true?</v>
      </c>
    </row>
    <row r="909" spans="1:36" s="180" customFormat="1" ht="16.5" hidden="1" customHeight="1" thickBot="1">
      <c r="A909" s="133"/>
      <c r="B909" s="255" t="s">
        <v>70</v>
      </c>
      <c r="C909" s="57"/>
      <c r="D909" s="57"/>
      <c r="E909" s="80"/>
      <c r="F909" s="57"/>
      <c r="G909" s="57"/>
      <c r="H909" s="57"/>
      <c r="I909" s="57"/>
      <c r="J909" s="184"/>
      <c r="K909" s="116" t="s">
        <v>27</v>
      </c>
      <c r="L909" s="116" t="s">
        <v>42</v>
      </c>
      <c r="M909" s="116" t="s">
        <v>129</v>
      </c>
      <c r="N909" s="116" t="str">
        <f ca="1">SUBSTITUTE(CELL("address",K891),"$","")</f>
        <v>K891</v>
      </c>
      <c r="O909" s="116" t="s">
        <v>130</v>
      </c>
      <c r="P909" s="228" t="s">
        <v>75</v>
      </c>
      <c r="Q909" s="250" t="str">
        <f ca="1">INDEX(tblGoSubRoutineStartCell[StartCell],MATCH(B909,tblGoSubRoutineStartCell[GoSub Routine],0))</f>
        <v>K56</v>
      </c>
      <c r="R909" s="184"/>
      <c r="S909" s="178"/>
      <c r="T909" s="178"/>
      <c r="U909" s="178"/>
      <c r="V909" s="178"/>
      <c r="W909" s="178"/>
      <c r="X909" s="178"/>
      <c r="Y909" s="178"/>
      <c r="Z909" s="178"/>
      <c r="AA909" s="178"/>
      <c r="AB909" s="178"/>
      <c r="AC909" s="178"/>
      <c r="AD909" s="178"/>
      <c r="AE909" s="178"/>
      <c r="AF909" s="178"/>
      <c r="AG909" s="178"/>
      <c r="AH909" s="178"/>
      <c r="AI909" s="178"/>
      <c r="AJ909" s="178"/>
    </row>
    <row r="910" spans="1:36" s="180" customFormat="1" ht="15.75" hidden="1" thickBot="1">
      <c r="A910" s="130"/>
      <c r="B910" s="84"/>
      <c r="C910" s="78"/>
      <c r="D910" s="58"/>
      <c r="E910" s="58"/>
      <c r="F910" s="58"/>
      <c r="G910" s="58"/>
      <c r="H910" s="58"/>
      <c r="I910" s="58"/>
      <c r="J910" s="184"/>
      <c r="K910" s="291" t="s">
        <v>80</v>
      </c>
      <c r="L910" s="184"/>
      <c r="M910" s="184"/>
      <c r="N910" s="184"/>
      <c r="O910" s="184"/>
      <c r="R910" s="178"/>
      <c r="S910" s="178"/>
      <c r="T910" s="178"/>
      <c r="U910" s="178"/>
      <c r="V910" s="178"/>
      <c r="W910" s="178"/>
      <c r="X910" s="178"/>
      <c r="Y910" s="178"/>
      <c r="Z910" s="178"/>
      <c r="AA910" s="178"/>
      <c r="AB910" s="178"/>
      <c r="AC910" s="178"/>
      <c r="AD910" s="178"/>
      <c r="AE910" s="178"/>
      <c r="AF910" s="178"/>
      <c r="AG910" s="178"/>
      <c r="AH910" s="178"/>
      <c r="AI910" s="178"/>
      <c r="AJ910" s="178"/>
    </row>
    <row r="911" spans="1:36" s="45" customFormat="1" ht="18.75" hidden="1" thickBot="1">
      <c r="A911" s="134"/>
      <c r="B911" s="54" t="s">
        <v>70</v>
      </c>
      <c r="C911" s="55"/>
      <c r="D911" s="55"/>
      <c r="E911" s="55"/>
      <c r="F911" s="55"/>
      <c r="G911" s="55"/>
      <c r="H911" s="55"/>
      <c r="I911" s="56"/>
      <c r="K911" s="291" t="s">
        <v>77</v>
      </c>
      <c r="L911" s="291" t="s">
        <v>75</v>
      </c>
      <c r="M911" s="301" t="str">
        <f ca="1">INDEX(tblGoSubRoutineStartCell[StartCell],MATCH(B911,tblGoSubRoutineStartCell[GoSub Routine],0))</f>
        <v>K56</v>
      </c>
      <c r="R911" s="177"/>
      <c r="S911" s="177"/>
      <c r="T911" s="177"/>
      <c r="U911" s="177"/>
      <c r="V911" s="177"/>
      <c r="W911" s="177"/>
      <c r="X911" s="177"/>
      <c r="Y911" s="177"/>
      <c r="Z911" s="177"/>
      <c r="AA911" s="177"/>
      <c r="AB911" s="177"/>
      <c r="AC911" s="177"/>
      <c r="AD911" s="177"/>
      <c r="AE911" s="177"/>
      <c r="AF911" s="177"/>
      <c r="AG911" s="177"/>
      <c r="AH911" s="177"/>
      <c r="AI911" s="177"/>
      <c r="AJ911" s="177"/>
    </row>
    <row r="912" spans="1:36" s="45" customFormat="1" ht="12.75" hidden="1" customHeight="1">
      <c r="A912" s="504" t="str">
        <f>_xlfn.CONCAT(section_5_heading," Overall Verdict")</f>
        <v>Extractor Overall Verdict</v>
      </c>
      <c r="B912" s="505"/>
      <c r="C912" s="505"/>
      <c r="D912" s="505"/>
      <c r="E912" s="505"/>
      <c r="F912" s="505"/>
      <c r="G912" s="506"/>
      <c r="H912" s="513" t="str" cm="1">
        <f t="array" ref="H912">_xlfn.IFS(COUNTIF(section_5_results,"TBC")&gt;0,"Incomplete",COUNT(IF(ISERROR(section_5_results),1,""))&gt;0,"VALUE ERROR",COUNTIF(section_5_results,"Fail")&gt;0,"Fail",COUNTIF(unit_type,"")&gt;0,"NO UNIT TYPE",COUNTIF(serial_number,"")&gt;0,"NO SERIAL NUMBER",COUNTIF(tester_name,"")&gt;0,"NO TESTER ID",TRUE,"Pass")</f>
        <v>Incomplete</v>
      </c>
      <c r="I912" s="514"/>
      <c r="K912" s="50"/>
      <c r="R912" s="177"/>
      <c r="S912" s="177"/>
      <c r="T912" s="177"/>
      <c r="U912" s="177"/>
      <c r="V912" s="177"/>
      <c r="W912" s="177"/>
      <c r="X912" s="177"/>
      <c r="Y912" s="177"/>
      <c r="Z912" s="177"/>
      <c r="AA912" s="177"/>
      <c r="AB912" s="177"/>
      <c r="AC912" s="177"/>
      <c r="AD912" s="177"/>
      <c r="AE912" s="177"/>
      <c r="AF912" s="177"/>
      <c r="AG912" s="177"/>
      <c r="AH912" s="177"/>
      <c r="AI912" s="177"/>
      <c r="AJ912" s="177"/>
    </row>
    <row r="913" spans="1:36" s="45" customFormat="1" ht="12.75" hidden="1" customHeight="1">
      <c r="A913" s="507"/>
      <c r="B913" s="508"/>
      <c r="C913" s="508"/>
      <c r="D913" s="508"/>
      <c r="E913" s="508"/>
      <c r="F913" s="508"/>
      <c r="G913" s="509"/>
      <c r="H913" s="515"/>
      <c r="I913" s="516"/>
      <c r="K913" s="50"/>
      <c r="R913" s="177"/>
      <c r="S913" s="177"/>
      <c r="T913" s="177"/>
      <c r="U913" s="177"/>
      <c r="V913" s="177"/>
      <c r="W913" s="177"/>
      <c r="X913" s="177"/>
      <c r="Y913" s="177"/>
      <c r="Z913" s="177"/>
      <c r="AA913" s="177"/>
      <c r="AB913" s="177"/>
      <c r="AC913" s="177"/>
      <c r="AD913" s="177"/>
      <c r="AE913" s="177"/>
      <c r="AF913" s="177"/>
      <c r="AG913" s="177"/>
      <c r="AH913" s="177"/>
      <c r="AI913" s="177"/>
      <c r="AJ913" s="177"/>
    </row>
    <row r="914" spans="1:36" s="45" customFormat="1" ht="13.5" hidden="1" customHeight="1" thickBot="1">
      <c r="A914" s="510"/>
      <c r="B914" s="511"/>
      <c r="C914" s="511"/>
      <c r="D914" s="511"/>
      <c r="E914" s="511"/>
      <c r="F914" s="511"/>
      <c r="G914" s="512"/>
      <c r="H914" s="517"/>
      <c r="I914" s="518"/>
      <c r="K914" s="50"/>
      <c r="R914" s="177"/>
      <c r="S914" s="177"/>
      <c r="T914" s="177"/>
      <c r="U914" s="177"/>
      <c r="V914" s="177"/>
      <c r="W914" s="177"/>
      <c r="X914" s="177"/>
      <c r="Y914" s="177"/>
      <c r="Z914" s="177"/>
      <c r="AA914" s="177"/>
      <c r="AB914" s="177"/>
      <c r="AC914" s="177"/>
      <c r="AD914" s="177"/>
      <c r="AE914" s="177"/>
      <c r="AF914" s="177"/>
      <c r="AG914" s="177"/>
      <c r="AH914" s="177"/>
      <c r="AI914" s="177"/>
      <c r="AJ914" s="177"/>
    </row>
    <row r="915" spans="1:36" s="45" customFormat="1" ht="24" hidden="1" thickBot="1">
      <c r="A915" s="317">
        <v>6</v>
      </c>
      <c r="B915" s="645" t="s">
        <v>103</v>
      </c>
      <c r="C915" s="646"/>
      <c r="D915" s="646"/>
      <c r="E915" s="646"/>
      <c r="F915" s="646"/>
      <c r="G915" s="646"/>
      <c r="H915" s="646"/>
      <c r="I915" s="647"/>
      <c r="K915" s="50"/>
      <c r="R915" s="177"/>
      <c r="S915" s="177"/>
      <c r="T915" s="177"/>
      <c r="U915" s="177"/>
      <c r="V915" s="177"/>
      <c r="W915" s="177"/>
      <c r="X915" s="177"/>
      <c r="Y915" s="177"/>
      <c r="Z915" s="177"/>
      <c r="AA915" s="177"/>
      <c r="AB915" s="177"/>
      <c r="AC915" s="177"/>
      <c r="AD915" s="177"/>
      <c r="AE915" s="177"/>
      <c r="AF915" s="177"/>
      <c r="AG915" s="177"/>
      <c r="AH915" s="177"/>
      <c r="AI915" s="177"/>
      <c r="AJ915" s="177"/>
    </row>
    <row r="916" spans="1:36" s="45" customFormat="1" hidden="1">
      <c r="A916" s="468" t="s">
        <v>363</v>
      </c>
      <c r="B916" s="469"/>
      <c r="C916" s="469"/>
      <c r="D916" s="469"/>
      <c r="E916" s="469"/>
      <c r="F916" s="469"/>
      <c r="G916" s="469"/>
      <c r="H916" s="469"/>
      <c r="I916" s="470"/>
      <c r="K916" s="50"/>
      <c r="R916" s="177"/>
      <c r="S916" s="177"/>
      <c r="T916" s="177"/>
      <c r="U916" s="177"/>
      <c r="V916" s="177"/>
      <c r="W916" s="177"/>
      <c r="X916" s="177"/>
      <c r="Y916" s="177"/>
      <c r="Z916" s="177"/>
      <c r="AA916" s="177"/>
      <c r="AB916" s="177"/>
      <c r="AC916" s="177"/>
      <c r="AD916" s="177"/>
      <c r="AE916" s="177"/>
      <c r="AF916" s="177"/>
      <c r="AG916" s="177"/>
      <c r="AH916" s="177"/>
      <c r="AI916" s="177"/>
      <c r="AJ916" s="177"/>
    </row>
    <row r="917" spans="1:36" s="45" customFormat="1" hidden="1">
      <c r="A917" s="471"/>
      <c r="B917" s="472"/>
      <c r="C917" s="472"/>
      <c r="D917" s="472"/>
      <c r="E917" s="472"/>
      <c r="F917" s="472"/>
      <c r="G917" s="472"/>
      <c r="H917" s="472"/>
      <c r="I917" s="473"/>
      <c r="K917" s="50"/>
      <c r="R917" s="177"/>
      <c r="S917" s="177"/>
      <c r="T917" s="177"/>
      <c r="U917" s="177"/>
      <c r="V917" s="177"/>
      <c r="W917" s="177"/>
      <c r="X917" s="177"/>
      <c r="Y917" s="177"/>
      <c r="Z917" s="177"/>
      <c r="AA917" s="177"/>
      <c r="AB917" s="177"/>
      <c r="AC917" s="177"/>
      <c r="AD917" s="177"/>
      <c r="AE917" s="177"/>
      <c r="AF917" s="177"/>
      <c r="AG917" s="177"/>
      <c r="AH917" s="177"/>
      <c r="AI917" s="177"/>
      <c r="AJ917" s="177"/>
    </row>
    <row r="918" spans="1:36" s="45" customFormat="1" hidden="1">
      <c r="A918" s="471"/>
      <c r="B918" s="472"/>
      <c r="C918" s="472"/>
      <c r="D918" s="472"/>
      <c r="E918" s="472"/>
      <c r="F918" s="472"/>
      <c r="G918" s="472"/>
      <c r="H918" s="472"/>
      <c r="I918" s="473"/>
      <c r="K918" s="50"/>
      <c r="R918" s="177"/>
      <c r="S918" s="177"/>
      <c r="T918" s="177"/>
      <c r="U918" s="177"/>
      <c r="V918" s="177"/>
      <c r="W918" s="177"/>
      <c r="X918" s="177"/>
      <c r="Y918" s="177"/>
      <c r="Z918" s="177"/>
      <c r="AA918" s="177"/>
      <c r="AB918" s="177"/>
      <c r="AC918" s="177"/>
      <c r="AD918" s="177"/>
      <c r="AE918" s="177"/>
      <c r="AF918" s="177"/>
      <c r="AG918" s="177"/>
      <c r="AH918" s="177"/>
      <c r="AI918" s="177"/>
      <c r="AJ918" s="177"/>
    </row>
    <row r="919" spans="1:36" s="45" customFormat="1" hidden="1">
      <c r="A919" s="471"/>
      <c r="B919" s="472"/>
      <c r="C919" s="472"/>
      <c r="D919" s="472"/>
      <c r="E919" s="472"/>
      <c r="F919" s="472"/>
      <c r="G919" s="472"/>
      <c r="H919" s="472"/>
      <c r="I919" s="473"/>
      <c r="K919" s="50"/>
      <c r="R919" s="177"/>
      <c r="S919" s="177"/>
      <c r="T919" s="177"/>
      <c r="U919" s="177"/>
      <c r="V919" s="177"/>
      <c r="W919" s="177"/>
      <c r="X919" s="177"/>
      <c r="Y919" s="177"/>
      <c r="Z919" s="177"/>
      <c r="AA919" s="177"/>
      <c r="AB919" s="177"/>
      <c r="AC919" s="177"/>
      <c r="AD919" s="177"/>
      <c r="AE919" s="177"/>
      <c r="AF919" s="177"/>
      <c r="AG919" s="177"/>
      <c r="AH919" s="177"/>
      <c r="AI919" s="177"/>
      <c r="AJ919" s="177"/>
    </row>
    <row r="920" spans="1:36" s="45" customFormat="1" hidden="1">
      <c r="A920" s="471"/>
      <c r="B920" s="472"/>
      <c r="C920" s="472"/>
      <c r="D920" s="472"/>
      <c r="E920" s="472"/>
      <c r="F920" s="472"/>
      <c r="G920" s="472"/>
      <c r="H920" s="472"/>
      <c r="I920" s="473"/>
      <c r="K920" s="50"/>
      <c r="R920" s="177"/>
      <c r="S920" s="177"/>
      <c r="T920" s="177"/>
      <c r="U920" s="177"/>
      <c r="V920" s="177"/>
      <c r="W920" s="177"/>
      <c r="X920" s="177"/>
      <c r="Y920" s="177"/>
      <c r="Z920" s="177"/>
      <c r="AA920" s="177"/>
      <c r="AB920" s="177"/>
      <c r="AC920" s="177"/>
      <c r="AD920" s="177"/>
      <c r="AE920" s="177"/>
      <c r="AF920" s="177"/>
      <c r="AG920" s="177"/>
      <c r="AH920" s="177"/>
      <c r="AI920" s="177"/>
      <c r="AJ920" s="177"/>
    </row>
    <row r="921" spans="1:36" s="45" customFormat="1" hidden="1">
      <c r="A921" s="471"/>
      <c r="B921" s="472"/>
      <c r="C921" s="472"/>
      <c r="D921" s="472"/>
      <c r="E921" s="472"/>
      <c r="F921" s="472"/>
      <c r="G921" s="472"/>
      <c r="H921" s="472"/>
      <c r="I921" s="473"/>
      <c r="K921" s="50"/>
      <c r="R921" s="177"/>
      <c r="S921" s="177"/>
      <c r="T921" s="177"/>
      <c r="U921" s="177"/>
      <c r="V921" s="177"/>
      <c r="W921" s="177"/>
      <c r="X921" s="177"/>
      <c r="Y921" s="177"/>
      <c r="Z921" s="177"/>
      <c r="AA921" s="177"/>
      <c r="AB921" s="177"/>
      <c r="AC921" s="177"/>
      <c r="AD921" s="177"/>
      <c r="AE921" s="177"/>
      <c r="AF921" s="177"/>
      <c r="AG921" s="177"/>
      <c r="AH921" s="177"/>
      <c r="AI921" s="177"/>
      <c r="AJ921" s="177"/>
    </row>
    <row r="922" spans="1:36" s="45" customFormat="1" hidden="1">
      <c r="A922" s="471"/>
      <c r="B922" s="472"/>
      <c r="C922" s="472"/>
      <c r="D922" s="472"/>
      <c r="E922" s="472"/>
      <c r="F922" s="472"/>
      <c r="G922" s="472"/>
      <c r="H922" s="472"/>
      <c r="I922" s="473"/>
      <c r="K922" s="50"/>
      <c r="R922" s="177"/>
      <c r="S922" s="177"/>
      <c r="T922" s="177"/>
      <c r="U922" s="177"/>
      <c r="V922" s="177"/>
      <c r="W922" s="177"/>
      <c r="X922" s="177"/>
      <c r="Y922" s="177"/>
      <c r="Z922" s="177"/>
      <c r="AA922" s="177"/>
      <c r="AB922" s="177"/>
      <c r="AC922" s="177"/>
      <c r="AD922" s="177"/>
      <c r="AE922" s="177"/>
      <c r="AF922" s="177"/>
      <c r="AG922" s="177"/>
      <c r="AH922" s="177"/>
      <c r="AI922" s="177"/>
      <c r="AJ922" s="177"/>
    </row>
    <row r="923" spans="1:36" s="45" customFormat="1" hidden="1">
      <c r="A923" s="471"/>
      <c r="B923" s="472"/>
      <c r="C923" s="472"/>
      <c r="D923" s="472"/>
      <c r="E923" s="472"/>
      <c r="F923" s="472"/>
      <c r="G923" s="472"/>
      <c r="H923" s="472"/>
      <c r="I923" s="473"/>
      <c r="K923" s="50"/>
      <c r="R923" s="177"/>
      <c r="S923" s="177"/>
      <c r="T923" s="177"/>
      <c r="U923" s="177"/>
      <c r="V923" s="177"/>
      <c r="W923" s="177"/>
      <c r="X923" s="177"/>
      <c r="Y923" s="177"/>
      <c r="Z923" s="177"/>
      <c r="AA923" s="177"/>
      <c r="AB923" s="177"/>
      <c r="AC923" s="177"/>
      <c r="AD923" s="177"/>
      <c r="AE923" s="177"/>
      <c r="AF923" s="177"/>
      <c r="AG923" s="177"/>
      <c r="AH923" s="177"/>
      <c r="AI923" s="177"/>
      <c r="AJ923" s="177"/>
    </row>
    <row r="924" spans="1:36" s="45" customFormat="1" hidden="1">
      <c r="A924" s="471"/>
      <c r="B924" s="472"/>
      <c r="C924" s="472"/>
      <c r="D924" s="472"/>
      <c r="E924" s="472"/>
      <c r="F924" s="472"/>
      <c r="G924" s="472"/>
      <c r="H924" s="472"/>
      <c r="I924" s="473"/>
      <c r="K924" s="50"/>
      <c r="R924" s="177"/>
      <c r="S924" s="177"/>
      <c r="T924" s="177"/>
      <c r="U924" s="177"/>
      <c r="V924" s="177"/>
      <c r="W924" s="177"/>
      <c r="X924" s="177"/>
      <c r="Y924" s="177"/>
      <c r="Z924" s="177"/>
      <c r="AA924" s="177"/>
      <c r="AB924" s="177"/>
      <c r="AC924" s="177"/>
      <c r="AD924" s="177"/>
      <c r="AE924" s="177"/>
      <c r="AF924" s="177"/>
      <c r="AG924" s="177"/>
      <c r="AH924" s="177"/>
      <c r="AI924" s="177"/>
      <c r="AJ924" s="177"/>
    </row>
    <row r="925" spans="1:36" s="45" customFormat="1" hidden="1">
      <c r="A925" s="471"/>
      <c r="B925" s="472"/>
      <c r="C925" s="472"/>
      <c r="D925" s="472"/>
      <c r="E925" s="472"/>
      <c r="F925" s="472"/>
      <c r="G925" s="472"/>
      <c r="H925" s="472"/>
      <c r="I925" s="473"/>
      <c r="K925" s="50"/>
      <c r="R925" s="177"/>
      <c r="S925" s="177"/>
      <c r="T925" s="177"/>
      <c r="U925" s="177"/>
      <c r="V925" s="177"/>
      <c r="W925" s="177"/>
      <c r="X925" s="177"/>
      <c r="Y925" s="177"/>
      <c r="Z925" s="177"/>
      <c r="AA925" s="177"/>
      <c r="AB925" s="177"/>
      <c r="AC925" s="177"/>
      <c r="AD925" s="177"/>
      <c r="AE925" s="177"/>
      <c r="AF925" s="177"/>
      <c r="AG925" s="177"/>
      <c r="AH925" s="177"/>
      <c r="AI925" s="177"/>
      <c r="AJ925" s="177"/>
    </row>
    <row r="926" spans="1:36" s="45" customFormat="1" hidden="1">
      <c r="A926" s="471"/>
      <c r="B926" s="472"/>
      <c r="C926" s="472"/>
      <c r="D926" s="472"/>
      <c r="E926" s="472"/>
      <c r="F926" s="472"/>
      <c r="G926" s="472"/>
      <c r="H926" s="472"/>
      <c r="I926" s="473"/>
      <c r="K926" s="50"/>
      <c r="R926" s="177"/>
      <c r="S926" s="177"/>
      <c r="T926" s="177"/>
      <c r="U926" s="177"/>
      <c r="V926" s="177"/>
      <c r="W926" s="177"/>
      <c r="X926" s="177"/>
      <c r="Y926" s="177"/>
      <c r="Z926" s="177"/>
      <c r="AA926" s="177"/>
      <c r="AB926" s="177"/>
      <c r="AC926" s="177"/>
      <c r="AD926" s="177"/>
      <c r="AE926" s="177"/>
      <c r="AF926" s="177"/>
      <c r="AG926" s="177"/>
      <c r="AH926" s="177"/>
      <c r="AI926" s="177"/>
      <c r="AJ926" s="177"/>
    </row>
    <row r="927" spans="1:36" s="45" customFormat="1" hidden="1">
      <c r="A927" s="471"/>
      <c r="B927" s="472"/>
      <c r="C927" s="472"/>
      <c r="D927" s="472"/>
      <c r="E927" s="472"/>
      <c r="F927" s="472"/>
      <c r="G927" s="472"/>
      <c r="H927" s="472"/>
      <c r="I927" s="473"/>
      <c r="K927" s="50"/>
      <c r="R927" s="177"/>
      <c r="S927" s="177"/>
      <c r="T927" s="177"/>
      <c r="U927" s="177"/>
      <c r="V927" s="177"/>
      <c r="W927" s="177"/>
      <c r="X927" s="177"/>
      <c r="Y927" s="177"/>
      <c r="Z927" s="177"/>
      <c r="AA927" s="177"/>
      <c r="AB927" s="177"/>
      <c r="AC927" s="177"/>
      <c r="AD927" s="177"/>
      <c r="AE927" s="177"/>
      <c r="AF927" s="177"/>
      <c r="AG927" s="177"/>
      <c r="AH927" s="177"/>
      <c r="AI927" s="177"/>
      <c r="AJ927" s="177"/>
    </row>
    <row r="928" spans="1:36" s="45" customFormat="1" hidden="1">
      <c r="A928" s="471"/>
      <c r="B928" s="472"/>
      <c r="C928" s="472"/>
      <c r="D928" s="472"/>
      <c r="E928" s="472"/>
      <c r="F928" s="472"/>
      <c r="G928" s="472"/>
      <c r="H928" s="472"/>
      <c r="I928" s="473"/>
      <c r="K928" s="50"/>
      <c r="R928" s="177"/>
      <c r="S928" s="177"/>
      <c r="T928" s="177"/>
      <c r="U928" s="177"/>
      <c r="V928" s="177"/>
      <c r="W928" s="177"/>
      <c r="X928" s="177"/>
      <c r="Y928" s="177"/>
      <c r="Z928" s="177"/>
      <c r="AA928" s="177"/>
      <c r="AB928" s="177"/>
      <c r="AC928" s="177"/>
      <c r="AD928" s="177"/>
      <c r="AE928" s="177"/>
      <c r="AF928" s="177"/>
      <c r="AG928" s="177"/>
      <c r="AH928" s="177"/>
      <c r="AI928" s="177"/>
      <c r="AJ928" s="177"/>
    </row>
    <row r="929" spans="1:36" s="45" customFormat="1" hidden="1">
      <c r="A929" s="471"/>
      <c r="B929" s="472"/>
      <c r="C929" s="472"/>
      <c r="D929" s="472"/>
      <c r="E929" s="472"/>
      <c r="F929" s="472"/>
      <c r="G929" s="472"/>
      <c r="H929" s="472"/>
      <c r="I929" s="473"/>
      <c r="K929" s="50"/>
      <c r="R929" s="177"/>
      <c r="S929" s="177"/>
      <c r="T929" s="177"/>
      <c r="U929" s="177"/>
      <c r="V929" s="177"/>
      <c r="W929" s="177"/>
      <c r="X929" s="177"/>
      <c r="Y929" s="177"/>
      <c r="Z929" s="177"/>
      <c r="AA929" s="177"/>
      <c r="AB929" s="177"/>
      <c r="AC929" s="177"/>
      <c r="AD929" s="177"/>
      <c r="AE929" s="177"/>
      <c r="AF929" s="177"/>
      <c r="AG929" s="177"/>
      <c r="AH929" s="177"/>
      <c r="AI929" s="177"/>
      <c r="AJ929" s="177"/>
    </row>
    <row r="930" spans="1:36" s="45" customFormat="1" hidden="1">
      <c r="A930" s="471"/>
      <c r="B930" s="472"/>
      <c r="C930" s="472"/>
      <c r="D930" s="472"/>
      <c r="E930" s="472"/>
      <c r="F930" s="472"/>
      <c r="G930" s="472"/>
      <c r="H930" s="472"/>
      <c r="I930" s="473"/>
      <c r="K930" s="50"/>
      <c r="R930" s="177"/>
      <c r="S930" s="177"/>
      <c r="T930" s="177"/>
      <c r="U930" s="177"/>
      <c r="V930" s="177"/>
      <c r="W930" s="177"/>
      <c r="X930" s="177"/>
      <c r="Y930" s="177"/>
      <c r="Z930" s="177"/>
      <c r="AA930" s="177"/>
      <c r="AB930" s="177"/>
      <c r="AC930" s="177"/>
      <c r="AD930" s="177"/>
      <c r="AE930" s="177"/>
      <c r="AF930" s="177"/>
      <c r="AG930" s="177"/>
      <c r="AH930" s="177"/>
      <c r="AI930" s="177"/>
      <c r="AJ930" s="177"/>
    </row>
    <row r="931" spans="1:36" s="45" customFormat="1" hidden="1">
      <c r="A931" s="471"/>
      <c r="B931" s="472"/>
      <c r="C931" s="472"/>
      <c r="D931" s="472"/>
      <c r="E931" s="472"/>
      <c r="F931" s="472"/>
      <c r="G931" s="472"/>
      <c r="H931" s="472"/>
      <c r="I931" s="473"/>
      <c r="K931" s="50"/>
      <c r="R931" s="177"/>
      <c r="S931" s="177"/>
      <c r="T931" s="177"/>
      <c r="U931" s="177"/>
      <c r="V931" s="177"/>
      <c r="W931" s="177"/>
      <c r="X931" s="177"/>
      <c r="Y931" s="177"/>
      <c r="Z931" s="177"/>
      <c r="AA931" s="177"/>
      <c r="AB931" s="177"/>
      <c r="AC931" s="177"/>
      <c r="AD931" s="177"/>
      <c r="AE931" s="177"/>
      <c r="AF931" s="177"/>
      <c r="AG931" s="177"/>
      <c r="AH931" s="177"/>
      <c r="AI931" s="177"/>
      <c r="AJ931" s="177"/>
    </row>
    <row r="932" spans="1:36" s="45" customFormat="1" hidden="1">
      <c r="A932" s="471"/>
      <c r="B932" s="472"/>
      <c r="C932" s="472"/>
      <c r="D932" s="472"/>
      <c r="E932" s="472"/>
      <c r="F932" s="472"/>
      <c r="G932" s="472"/>
      <c r="H932" s="472"/>
      <c r="I932" s="473"/>
      <c r="K932" s="50"/>
      <c r="R932" s="177"/>
      <c r="S932" s="177"/>
      <c r="T932" s="177"/>
      <c r="U932" s="177"/>
      <c r="V932" s="177"/>
      <c r="W932" s="177"/>
      <c r="X932" s="177"/>
      <c r="Y932" s="177"/>
      <c r="Z932" s="177"/>
      <c r="AA932" s="177"/>
      <c r="AB932" s="177"/>
      <c r="AC932" s="177"/>
      <c r="AD932" s="177"/>
      <c r="AE932" s="177"/>
      <c r="AF932" s="177"/>
      <c r="AG932" s="177"/>
      <c r="AH932" s="177"/>
      <c r="AI932" s="177"/>
      <c r="AJ932" s="177"/>
    </row>
    <row r="933" spans="1:36" s="45" customFormat="1" hidden="1">
      <c r="A933" s="471"/>
      <c r="B933" s="472"/>
      <c r="C933" s="472"/>
      <c r="D933" s="472"/>
      <c r="E933" s="472"/>
      <c r="F933" s="472"/>
      <c r="G933" s="472"/>
      <c r="H933" s="472"/>
      <c r="I933" s="473"/>
      <c r="K933" s="50"/>
      <c r="R933" s="177"/>
      <c r="S933" s="177"/>
      <c r="T933" s="177"/>
      <c r="U933" s="177"/>
      <c r="V933" s="177"/>
      <c r="W933" s="177"/>
      <c r="X933" s="177"/>
      <c r="Y933" s="177"/>
      <c r="Z933" s="177"/>
      <c r="AA933" s="177"/>
      <c r="AB933" s="177"/>
      <c r="AC933" s="177"/>
      <c r="AD933" s="177"/>
      <c r="AE933" s="177"/>
      <c r="AF933" s="177"/>
      <c r="AG933" s="177"/>
      <c r="AH933" s="177"/>
      <c r="AI933" s="177"/>
      <c r="AJ933" s="177"/>
    </row>
    <row r="934" spans="1:36" s="45" customFormat="1" hidden="1">
      <c r="A934" s="471"/>
      <c r="B934" s="472"/>
      <c r="C934" s="472"/>
      <c r="D934" s="472"/>
      <c r="E934" s="472"/>
      <c r="F934" s="472"/>
      <c r="G934" s="472"/>
      <c r="H934" s="472"/>
      <c r="I934" s="473"/>
      <c r="K934" s="50"/>
      <c r="R934" s="177"/>
      <c r="S934" s="177"/>
      <c r="T934" s="177"/>
      <c r="U934" s="177"/>
      <c r="V934" s="177"/>
      <c r="W934" s="177"/>
      <c r="X934" s="177"/>
      <c r="Y934" s="177"/>
      <c r="Z934" s="177"/>
      <c r="AA934" s="177"/>
      <c r="AB934" s="177"/>
      <c r="AC934" s="177"/>
      <c r="AD934" s="177"/>
      <c r="AE934" s="177"/>
      <c r="AF934" s="177"/>
      <c r="AG934" s="177"/>
      <c r="AH934" s="177"/>
      <c r="AI934" s="177"/>
      <c r="AJ934" s="177"/>
    </row>
    <row r="935" spans="1:36" s="45" customFormat="1" hidden="1">
      <c r="A935" s="471"/>
      <c r="B935" s="472"/>
      <c r="C935" s="472"/>
      <c r="D935" s="472"/>
      <c r="E935" s="472"/>
      <c r="F935" s="472"/>
      <c r="G935" s="472"/>
      <c r="H935" s="472"/>
      <c r="I935" s="473"/>
      <c r="K935" s="50"/>
      <c r="R935" s="177"/>
      <c r="S935" s="177"/>
      <c r="T935" s="177"/>
      <c r="U935" s="177"/>
      <c r="V935" s="177"/>
      <c r="W935" s="177"/>
      <c r="X935" s="177"/>
      <c r="Y935" s="177"/>
      <c r="Z935" s="177"/>
      <c r="AA935" s="177"/>
      <c r="AB935" s="177"/>
      <c r="AC935" s="177"/>
      <c r="AD935" s="177"/>
      <c r="AE935" s="177"/>
      <c r="AF935" s="177"/>
      <c r="AG935" s="177"/>
      <c r="AH935" s="177"/>
      <c r="AI935" s="177"/>
      <c r="AJ935" s="177"/>
    </row>
    <row r="936" spans="1:36" s="45" customFormat="1" ht="14.25" hidden="1" customHeight="1">
      <c r="A936" s="471"/>
      <c r="B936" s="472"/>
      <c r="C936" s="472"/>
      <c r="D936" s="472"/>
      <c r="E936" s="472"/>
      <c r="F936" s="472"/>
      <c r="G936" s="472"/>
      <c r="H936" s="472"/>
      <c r="I936" s="473"/>
      <c r="K936" s="50"/>
      <c r="R936" s="177"/>
      <c r="S936" s="177"/>
      <c r="T936" s="177"/>
      <c r="U936" s="177"/>
      <c r="V936" s="177"/>
      <c r="W936" s="177"/>
      <c r="X936" s="177"/>
      <c r="Y936" s="177"/>
      <c r="Z936" s="177"/>
      <c r="AA936" s="177"/>
      <c r="AB936" s="177"/>
      <c r="AC936" s="177"/>
      <c r="AD936" s="177"/>
      <c r="AE936" s="177"/>
      <c r="AF936" s="177"/>
      <c r="AG936" s="177"/>
      <c r="AH936" s="177"/>
      <c r="AI936" s="177"/>
      <c r="AJ936" s="177"/>
    </row>
    <row r="937" spans="1:36" s="45" customFormat="1" hidden="1">
      <c r="A937" s="471"/>
      <c r="B937" s="472"/>
      <c r="C937" s="472"/>
      <c r="D937" s="472"/>
      <c r="E937" s="472"/>
      <c r="F937" s="472"/>
      <c r="G937" s="472"/>
      <c r="H937" s="472"/>
      <c r="I937" s="473"/>
      <c r="K937" s="50"/>
      <c r="R937" s="177"/>
      <c r="S937" s="177"/>
      <c r="T937" s="177"/>
      <c r="U937" s="177"/>
      <c r="V937" s="177"/>
      <c r="W937" s="177"/>
      <c r="X937" s="177"/>
      <c r="Y937" s="177"/>
      <c r="Z937" s="177"/>
      <c r="AA937" s="177"/>
      <c r="AB937" s="177"/>
      <c r="AC937" s="177"/>
      <c r="AD937" s="177"/>
      <c r="AE937" s="177"/>
      <c r="AF937" s="177"/>
      <c r="AG937" s="177"/>
      <c r="AH937" s="177"/>
      <c r="AI937" s="177"/>
      <c r="AJ937" s="177"/>
    </row>
    <row r="938" spans="1:36" s="45" customFormat="1" hidden="1">
      <c r="A938" s="471"/>
      <c r="B938" s="472"/>
      <c r="C938" s="472"/>
      <c r="D938" s="472"/>
      <c r="E938" s="472"/>
      <c r="F938" s="472"/>
      <c r="G938" s="472"/>
      <c r="H938" s="472"/>
      <c r="I938" s="473"/>
      <c r="K938" s="50"/>
      <c r="R938" s="177"/>
      <c r="S938" s="177"/>
      <c r="T938" s="177"/>
      <c r="U938" s="177"/>
      <c r="V938" s="177"/>
      <c r="W938" s="177"/>
      <c r="X938" s="177"/>
      <c r="Y938" s="177"/>
      <c r="Z938" s="177"/>
      <c r="AA938" s="177"/>
      <c r="AB938" s="177"/>
      <c r="AC938" s="177"/>
      <c r="AD938" s="177"/>
      <c r="AE938" s="177"/>
      <c r="AF938" s="177"/>
      <c r="AG938" s="177"/>
      <c r="AH938" s="177"/>
      <c r="AI938" s="177"/>
      <c r="AJ938" s="177"/>
    </row>
    <row r="939" spans="1:36" s="45" customFormat="1" hidden="1">
      <c r="A939" s="471"/>
      <c r="B939" s="472"/>
      <c r="C939" s="472"/>
      <c r="D939" s="472"/>
      <c r="E939" s="472"/>
      <c r="F939" s="472"/>
      <c r="G939" s="472"/>
      <c r="H939" s="472"/>
      <c r="I939" s="473"/>
      <c r="K939" s="50"/>
      <c r="R939" s="177"/>
      <c r="S939" s="177"/>
      <c r="T939" s="177"/>
      <c r="U939" s="177"/>
      <c r="V939" s="177"/>
      <c r="W939" s="177"/>
      <c r="X939" s="177"/>
      <c r="Y939" s="177"/>
      <c r="Z939" s="177"/>
      <c r="AA939" s="177"/>
      <c r="AB939" s="177"/>
      <c r="AC939" s="177"/>
      <c r="AD939" s="177"/>
      <c r="AE939" s="177"/>
      <c r="AF939" s="177"/>
      <c r="AG939" s="177"/>
      <c r="AH939" s="177"/>
      <c r="AI939" s="177"/>
      <c r="AJ939" s="177"/>
    </row>
    <row r="940" spans="1:36" s="45" customFormat="1" hidden="1">
      <c r="A940" s="471"/>
      <c r="B940" s="472"/>
      <c r="C940" s="472"/>
      <c r="D940" s="472"/>
      <c r="E940" s="472"/>
      <c r="F940" s="472"/>
      <c r="G940" s="472"/>
      <c r="H940" s="472"/>
      <c r="I940" s="473"/>
      <c r="K940" s="50"/>
      <c r="R940" s="177"/>
      <c r="S940" s="177"/>
      <c r="T940" s="177"/>
      <c r="U940" s="177"/>
      <c r="V940" s="177"/>
      <c r="W940" s="177"/>
      <c r="X940" s="177"/>
      <c r="Y940" s="177"/>
      <c r="Z940" s="177"/>
      <c r="AA940" s="177"/>
      <c r="AB940" s="177"/>
      <c r="AC940" s="177"/>
      <c r="AD940" s="177"/>
      <c r="AE940" s="177"/>
      <c r="AF940" s="177"/>
      <c r="AG940" s="177"/>
      <c r="AH940" s="177"/>
      <c r="AI940" s="177"/>
      <c r="AJ940" s="177"/>
    </row>
    <row r="941" spans="1:36" s="45" customFormat="1" hidden="1">
      <c r="A941" s="471"/>
      <c r="B941" s="472"/>
      <c r="C941" s="472"/>
      <c r="D941" s="472"/>
      <c r="E941" s="472"/>
      <c r="F941" s="472"/>
      <c r="G941" s="472"/>
      <c r="H941" s="472"/>
      <c r="I941" s="473"/>
      <c r="K941" s="50"/>
      <c r="R941" s="177"/>
      <c r="S941" s="177"/>
      <c r="T941" s="177"/>
      <c r="U941" s="177"/>
      <c r="V941" s="177"/>
      <c r="W941" s="177"/>
      <c r="X941" s="177"/>
      <c r="Y941" s="177"/>
      <c r="Z941" s="177"/>
      <c r="AA941" s="177"/>
      <c r="AB941" s="177"/>
      <c r="AC941" s="177"/>
      <c r="AD941" s="177"/>
      <c r="AE941" s="177"/>
      <c r="AF941" s="177"/>
      <c r="AG941" s="177"/>
      <c r="AH941" s="177"/>
      <c r="AI941" s="177"/>
      <c r="AJ941" s="177"/>
    </row>
    <row r="942" spans="1:36" s="45" customFormat="1" hidden="1">
      <c r="A942" s="471"/>
      <c r="B942" s="472"/>
      <c r="C942" s="472"/>
      <c r="D942" s="472"/>
      <c r="E942" s="472"/>
      <c r="F942" s="472"/>
      <c r="G942" s="472"/>
      <c r="H942" s="472"/>
      <c r="I942" s="473"/>
      <c r="K942" s="50"/>
      <c r="R942" s="177"/>
      <c r="S942" s="177"/>
      <c r="T942" s="177"/>
      <c r="U942" s="177"/>
      <c r="V942" s="177"/>
      <c r="W942" s="177"/>
      <c r="X942" s="177"/>
      <c r="Y942" s="177"/>
      <c r="Z942" s="177"/>
      <c r="AA942" s="177"/>
      <c r="AB942" s="177"/>
      <c r="AC942" s="177"/>
      <c r="AD942" s="177"/>
      <c r="AE942" s="177"/>
      <c r="AF942" s="177"/>
      <c r="AG942" s="177"/>
      <c r="AH942" s="177"/>
      <c r="AI942" s="177"/>
      <c r="AJ942" s="177"/>
    </row>
    <row r="943" spans="1:36" s="45" customFormat="1" hidden="1">
      <c r="A943" s="471"/>
      <c r="B943" s="472"/>
      <c r="C943" s="472"/>
      <c r="D943" s="472"/>
      <c r="E943" s="472"/>
      <c r="F943" s="472"/>
      <c r="G943" s="472"/>
      <c r="H943" s="472"/>
      <c r="I943" s="473"/>
      <c r="K943" s="50"/>
      <c r="R943" s="177"/>
      <c r="S943" s="177"/>
      <c r="T943" s="177"/>
      <c r="U943" s="177"/>
      <c r="V943" s="177"/>
      <c r="W943" s="177"/>
      <c r="X943" s="177"/>
      <c r="Y943" s="177"/>
      <c r="Z943" s="177"/>
      <c r="AA943" s="177"/>
      <c r="AB943" s="177"/>
      <c r="AC943" s="177"/>
      <c r="AD943" s="177"/>
      <c r="AE943" s="177"/>
      <c r="AF943" s="177"/>
      <c r="AG943" s="177"/>
      <c r="AH943" s="177"/>
      <c r="AI943" s="177"/>
      <c r="AJ943" s="177"/>
    </row>
    <row r="944" spans="1:36" s="45" customFormat="1" hidden="1">
      <c r="A944" s="471"/>
      <c r="B944" s="472"/>
      <c r="C944" s="472"/>
      <c r="D944" s="472"/>
      <c r="E944" s="472"/>
      <c r="F944" s="472"/>
      <c r="G944" s="472"/>
      <c r="H944" s="472"/>
      <c r="I944" s="473"/>
      <c r="K944" s="50"/>
      <c r="R944" s="177"/>
      <c r="S944" s="177"/>
      <c r="T944" s="177"/>
      <c r="U944" s="177"/>
      <c r="V944" s="177"/>
      <c r="W944" s="177"/>
      <c r="X944" s="177"/>
      <c r="Y944" s="177"/>
      <c r="Z944" s="177"/>
      <c r="AA944" s="177"/>
      <c r="AB944" s="177"/>
      <c r="AC944" s="177"/>
      <c r="AD944" s="177"/>
      <c r="AE944" s="177"/>
      <c r="AF944" s="177"/>
      <c r="AG944" s="177"/>
      <c r="AH944" s="177"/>
      <c r="AI944" s="177"/>
      <c r="AJ944" s="177"/>
    </row>
    <row r="945" spans="1:36" s="45" customFormat="1" hidden="1">
      <c r="A945" s="471"/>
      <c r="B945" s="472"/>
      <c r="C945" s="472"/>
      <c r="D945" s="472"/>
      <c r="E945" s="472"/>
      <c r="F945" s="472"/>
      <c r="G945" s="472"/>
      <c r="H945" s="472"/>
      <c r="I945" s="473"/>
      <c r="K945" s="50"/>
      <c r="R945" s="177"/>
      <c r="S945" s="177"/>
      <c r="T945" s="177"/>
      <c r="U945" s="177"/>
      <c r="V945" s="177"/>
      <c r="W945" s="177"/>
      <c r="X945" s="177"/>
      <c r="Y945" s="177"/>
      <c r="Z945" s="177"/>
      <c r="AA945" s="177"/>
      <c r="AB945" s="177"/>
      <c r="AC945" s="177"/>
      <c r="AD945" s="177"/>
      <c r="AE945" s="177"/>
      <c r="AF945" s="177"/>
      <c r="AG945" s="177"/>
      <c r="AH945" s="177"/>
      <c r="AI945" s="177"/>
      <c r="AJ945" s="177"/>
    </row>
    <row r="946" spans="1:36" s="45" customFormat="1" hidden="1">
      <c r="A946" s="471"/>
      <c r="B946" s="472"/>
      <c r="C946" s="472"/>
      <c r="D946" s="472"/>
      <c r="E946" s="472"/>
      <c r="F946" s="472"/>
      <c r="G946" s="472"/>
      <c r="H946" s="472"/>
      <c r="I946" s="473"/>
      <c r="K946" s="50"/>
      <c r="R946" s="177"/>
      <c r="S946" s="177"/>
      <c r="T946" s="177"/>
      <c r="U946" s="177"/>
      <c r="V946" s="177"/>
      <c r="W946" s="177"/>
      <c r="X946" s="177"/>
      <c r="Y946" s="177"/>
      <c r="Z946" s="177"/>
      <c r="AA946" s="177"/>
      <c r="AB946" s="177"/>
      <c r="AC946" s="177"/>
      <c r="AD946" s="177"/>
      <c r="AE946" s="177"/>
      <c r="AF946" s="177"/>
      <c r="AG946" s="177"/>
      <c r="AH946" s="177"/>
      <c r="AI946" s="177"/>
      <c r="AJ946" s="177"/>
    </row>
    <row r="947" spans="1:36" s="45" customFormat="1" hidden="1">
      <c r="A947" s="471"/>
      <c r="B947" s="472"/>
      <c r="C947" s="472"/>
      <c r="D947" s="472"/>
      <c r="E947" s="472"/>
      <c r="F947" s="472"/>
      <c r="G947" s="472"/>
      <c r="H947" s="472"/>
      <c r="I947" s="473"/>
      <c r="K947" s="50"/>
      <c r="R947" s="177"/>
      <c r="S947" s="177"/>
      <c r="T947" s="177"/>
      <c r="U947" s="177"/>
      <c r="V947" s="177"/>
      <c r="W947" s="177"/>
      <c r="X947" s="177"/>
      <c r="Y947" s="177"/>
      <c r="Z947" s="177"/>
      <c r="AA947" s="177"/>
      <c r="AB947" s="177"/>
      <c r="AC947" s="177"/>
      <c r="AD947" s="177"/>
      <c r="AE947" s="177"/>
      <c r="AF947" s="177"/>
      <c r="AG947" s="177"/>
      <c r="AH947" s="177"/>
      <c r="AI947" s="177"/>
      <c r="AJ947" s="177"/>
    </row>
    <row r="948" spans="1:36" s="45" customFormat="1" hidden="1">
      <c r="A948" s="471"/>
      <c r="B948" s="472"/>
      <c r="C948" s="472"/>
      <c r="D948" s="472"/>
      <c r="E948" s="472"/>
      <c r="F948" s="472"/>
      <c r="G948" s="472"/>
      <c r="H948" s="472"/>
      <c r="I948" s="473"/>
      <c r="K948" s="50"/>
      <c r="R948" s="177"/>
      <c r="S948" s="177"/>
      <c r="T948" s="177"/>
      <c r="U948" s="177"/>
      <c r="V948" s="177"/>
      <c r="W948" s="177"/>
      <c r="X948" s="177"/>
      <c r="Y948" s="177"/>
      <c r="Z948" s="177"/>
      <c r="AA948" s="177"/>
      <c r="AB948" s="177"/>
      <c r="AC948" s="177"/>
      <c r="AD948" s="177"/>
      <c r="AE948" s="177"/>
      <c r="AF948" s="177"/>
      <c r="AG948" s="177"/>
      <c r="AH948" s="177"/>
      <c r="AI948" s="177"/>
      <c r="AJ948" s="177"/>
    </row>
    <row r="949" spans="1:36" s="45" customFormat="1" hidden="1">
      <c r="A949" s="471"/>
      <c r="B949" s="472"/>
      <c r="C949" s="472"/>
      <c r="D949" s="472"/>
      <c r="E949" s="472"/>
      <c r="F949" s="472"/>
      <c r="G949" s="472"/>
      <c r="H949" s="472"/>
      <c r="I949" s="473"/>
      <c r="K949" s="50"/>
      <c r="R949" s="177"/>
      <c r="S949" s="177"/>
      <c r="T949" s="177"/>
      <c r="U949" s="177"/>
      <c r="V949" s="177"/>
      <c r="W949" s="177"/>
      <c r="X949" s="177"/>
      <c r="Y949" s="177"/>
      <c r="Z949" s="177"/>
      <c r="AA949" s="177"/>
      <c r="AB949" s="177"/>
      <c r="AC949" s="177"/>
      <c r="AD949" s="177"/>
      <c r="AE949" s="177"/>
      <c r="AF949" s="177"/>
      <c r="AG949" s="177"/>
      <c r="AH949" s="177"/>
      <c r="AI949" s="177"/>
      <c r="AJ949" s="177"/>
    </row>
    <row r="950" spans="1:36" s="45" customFormat="1" ht="13.5" hidden="1" thickBot="1">
      <c r="A950" s="554"/>
      <c r="B950" s="555"/>
      <c r="C950" s="555"/>
      <c r="D950" s="555"/>
      <c r="E950" s="555"/>
      <c r="F950" s="555"/>
      <c r="G950" s="555"/>
      <c r="H950" s="555"/>
      <c r="I950" s="556"/>
      <c r="K950" s="50"/>
      <c r="R950" s="177"/>
      <c r="S950" s="177"/>
      <c r="T950" s="177"/>
      <c r="U950" s="177"/>
      <c r="V950" s="177"/>
      <c r="W950" s="177"/>
      <c r="X950" s="177"/>
      <c r="Y950" s="177"/>
      <c r="Z950" s="177"/>
      <c r="AA950" s="177"/>
      <c r="AB950" s="177"/>
      <c r="AC950" s="177"/>
      <c r="AD950" s="177"/>
      <c r="AE950" s="177"/>
      <c r="AF950" s="177"/>
      <c r="AG950" s="177"/>
      <c r="AH950" s="177"/>
      <c r="AI950" s="177"/>
      <c r="AJ950" s="177"/>
    </row>
    <row r="951" spans="1:36" s="45" customFormat="1" ht="15.75" hidden="1" customHeight="1">
      <c r="A951" s="636" t="s">
        <v>688</v>
      </c>
      <c r="B951" s="637"/>
      <c r="C951" s="637"/>
      <c r="D951" s="637"/>
      <c r="E951" s="637"/>
      <c r="F951" s="637"/>
      <c r="G951" s="637"/>
      <c r="H951" s="637"/>
      <c r="I951" s="638"/>
      <c r="K951" s="50"/>
      <c r="R951" s="177"/>
      <c r="S951" s="177"/>
      <c r="T951" s="177"/>
      <c r="U951" s="177"/>
      <c r="V951" s="177"/>
      <c r="W951" s="177"/>
      <c r="X951" s="177"/>
      <c r="Y951" s="177"/>
      <c r="Z951" s="177"/>
      <c r="AA951" s="177"/>
      <c r="AB951" s="177"/>
      <c r="AC951" s="177"/>
      <c r="AD951" s="177"/>
      <c r="AE951" s="177"/>
      <c r="AF951" s="177"/>
      <c r="AG951" s="177"/>
      <c r="AH951" s="177"/>
      <c r="AI951" s="177"/>
      <c r="AJ951" s="177"/>
    </row>
    <row r="952" spans="1:36" s="45" customFormat="1" ht="15.75" hidden="1" customHeight="1">
      <c r="A952" s="639"/>
      <c r="B952" s="640"/>
      <c r="C952" s="640"/>
      <c r="D952" s="640"/>
      <c r="E952" s="640"/>
      <c r="F952" s="640"/>
      <c r="G952" s="640"/>
      <c r="H952" s="640"/>
      <c r="I952" s="641"/>
      <c r="K952" s="50"/>
      <c r="R952" s="177"/>
      <c r="S952" s="177"/>
      <c r="T952" s="177"/>
      <c r="U952" s="177"/>
      <c r="V952" s="177"/>
      <c r="W952" s="177"/>
      <c r="X952" s="177"/>
      <c r="Y952" s="177"/>
      <c r="Z952" s="177"/>
      <c r="AA952" s="177"/>
      <c r="AB952" s="177"/>
      <c r="AC952" s="177"/>
      <c r="AD952" s="177"/>
      <c r="AE952" s="177"/>
      <c r="AF952" s="177"/>
      <c r="AG952" s="177"/>
      <c r="AH952" s="177"/>
      <c r="AI952" s="177"/>
      <c r="AJ952" s="177"/>
    </row>
    <row r="953" spans="1:36" s="45" customFormat="1" ht="15" hidden="1" customHeight="1">
      <c r="A953" s="639"/>
      <c r="B953" s="640"/>
      <c r="C953" s="640"/>
      <c r="D953" s="640"/>
      <c r="E953" s="640"/>
      <c r="F953" s="640"/>
      <c r="G953" s="640"/>
      <c r="H953" s="640"/>
      <c r="I953" s="641"/>
      <c r="K953" s="50"/>
      <c r="R953" s="177"/>
      <c r="S953" s="177"/>
      <c r="T953" s="177"/>
      <c r="U953" s="177"/>
      <c r="V953" s="177"/>
      <c r="W953" s="177"/>
      <c r="X953" s="177"/>
      <c r="Y953" s="177"/>
      <c r="Z953" s="177"/>
      <c r="AA953" s="177"/>
      <c r="AB953" s="177"/>
      <c r="AC953" s="177"/>
      <c r="AD953" s="177"/>
      <c r="AE953" s="177"/>
      <c r="AF953" s="177"/>
      <c r="AG953" s="177"/>
      <c r="AH953" s="177"/>
      <c r="AI953" s="177"/>
      <c r="AJ953" s="177"/>
    </row>
    <row r="954" spans="1:36" s="45" customFormat="1" ht="15" hidden="1" customHeight="1">
      <c r="A954" s="639"/>
      <c r="B954" s="640"/>
      <c r="C954" s="640"/>
      <c r="D954" s="640"/>
      <c r="E954" s="640"/>
      <c r="F954" s="640"/>
      <c r="G954" s="640"/>
      <c r="H954" s="640"/>
      <c r="I954" s="641"/>
      <c r="K954" s="50"/>
      <c r="R954" s="177"/>
      <c r="S954" s="177"/>
      <c r="T954" s="177"/>
      <c r="U954" s="177"/>
      <c r="V954" s="177"/>
      <c r="W954" s="177"/>
      <c r="X954" s="177"/>
      <c r="Y954" s="177"/>
      <c r="Z954" s="177"/>
      <c r="AA954" s="177"/>
      <c r="AB954" s="177"/>
      <c r="AC954" s="177"/>
      <c r="AD954" s="177"/>
      <c r="AE954" s="177"/>
      <c r="AF954" s="177"/>
      <c r="AG954" s="177"/>
      <c r="AH954" s="177"/>
      <c r="AI954" s="177"/>
      <c r="AJ954" s="177"/>
    </row>
    <row r="955" spans="1:36" s="45" customFormat="1" ht="15" hidden="1" customHeight="1">
      <c r="A955" s="639"/>
      <c r="B955" s="640"/>
      <c r="C955" s="640"/>
      <c r="D955" s="640"/>
      <c r="E955" s="640"/>
      <c r="F955" s="640"/>
      <c r="G955" s="640"/>
      <c r="H955" s="640"/>
      <c r="I955" s="641"/>
      <c r="K955" s="50"/>
      <c r="R955" s="177"/>
      <c r="S955" s="177"/>
      <c r="T955" s="177"/>
      <c r="U955" s="177"/>
      <c r="V955" s="177"/>
      <c r="W955" s="177"/>
      <c r="X955" s="177"/>
      <c r="Y955" s="177"/>
      <c r="Z955" s="177"/>
      <c r="AA955" s="177"/>
      <c r="AB955" s="177"/>
      <c r="AC955" s="177"/>
      <c r="AD955" s="177"/>
      <c r="AE955" s="177"/>
      <c r="AF955" s="177"/>
      <c r="AG955" s="177"/>
      <c r="AH955" s="177"/>
      <c r="AI955" s="177"/>
      <c r="AJ955" s="177"/>
    </row>
    <row r="956" spans="1:36" s="45" customFormat="1" ht="15" hidden="1" customHeight="1">
      <c r="A956" s="639"/>
      <c r="B956" s="640"/>
      <c r="C956" s="640"/>
      <c r="D956" s="640"/>
      <c r="E956" s="640"/>
      <c r="F956" s="640"/>
      <c r="G956" s="640"/>
      <c r="H956" s="640"/>
      <c r="I956" s="641"/>
      <c r="K956" s="50"/>
      <c r="R956" s="177"/>
      <c r="S956" s="177"/>
      <c r="T956" s="177"/>
      <c r="U956" s="177"/>
      <c r="V956" s="177"/>
      <c r="W956" s="177"/>
      <c r="X956" s="177"/>
      <c r="Y956" s="177"/>
      <c r="Z956" s="177"/>
      <c r="AA956" s="177"/>
      <c r="AB956" s="177"/>
      <c r="AC956" s="177"/>
      <c r="AD956" s="177"/>
      <c r="AE956" s="177"/>
      <c r="AF956" s="177"/>
      <c r="AG956" s="177"/>
      <c r="AH956" s="177"/>
      <c r="AI956" s="177"/>
      <c r="AJ956" s="177"/>
    </row>
    <row r="957" spans="1:36" s="45" customFormat="1" ht="15" hidden="1" customHeight="1">
      <c r="A957" s="639"/>
      <c r="B957" s="640"/>
      <c r="C957" s="640"/>
      <c r="D957" s="640"/>
      <c r="E957" s="640"/>
      <c r="F957" s="640"/>
      <c r="G957" s="640"/>
      <c r="H957" s="640"/>
      <c r="I957" s="641"/>
      <c r="K957" s="50"/>
      <c r="R957" s="177"/>
      <c r="S957" s="177"/>
      <c r="T957" s="177"/>
      <c r="U957" s="177"/>
      <c r="V957" s="177"/>
      <c r="W957" s="177"/>
      <c r="X957" s="177"/>
      <c r="Y957" s="177"/>
      <c r="Z957" s="177"/>
      <c r="AA957" s="177"/>
      <c r="AB957" s="177"/>
      <c r="AC957" s="177"/>
      <c r="AD957" s="177"/>
      <c r="AE957" s="177"/>
      <c r="AF957" s="177"/>
      <c r="AG957" s="177"/>
      <c r="AH957" s="177"/>
      <c r="AI957" s="177"/>
      <c r="AJ957" s="177"/>
    </row>
    <row r="958" spans="1:36" s="45" customFormat="1" ht="15" hidden="1" customHeight="1">
      <c r="A958" s="639"/>
      <c r="B958" s="640"/>
      <c r="C958" s="640"/>
      <c r="D958" s="640"/>
      <c r="E958" s="640"/>
      <c r="F958" s="640"/>
      <c r="G958" s="640"/>
      <c r="H958" s="640"/>
      <c r="I958" s="641"/>
      <c r="K958" s="50"/>
      <c r="R958" s="177"/>
      <c r="S958" s="177"/>
      <c r="T958" s="177"/>
      <c r="U958" s="177"/>
      <c r="V958" s="177"/>
      <c r="W958" s="177"/>
      <c r="X958" s="177"/>
      <c r="Y958" s="177"/>
      <c r="Z958" s="177"/>
      <c r="AA958" s="177"/>
      <c r="AB958" s="177"/>
      <c r="AC958" s="177"/>
      <c r="AD958" s="177"/>
      <c r="AE958" s="177"/>
      <c r="AF958" s="177"/>
      <c r="AG958" s="177"/>
      <c r="AH958" s="177"/>
      <c r="AI958" s="177"/>
      <c r="AJ958" s="177"/>
    </row>
    <row r="959" spans="1:36" s="45" customFormat="1" ht="15" hidden="1" customHeight="1">
      <c r="A959" s="639"/>
      <c r="B959" s="640"/>
      <c r="C959" s="640"/>
      <c r="D959" s="640"/>
      <c r="E959" s="640"/>
      <c r="F959" s="640"/>
      <c r="G959" s="640"/>
      <c r="H959" s="640"/>
      <c r="I959" s="641"/>
      <c r="K959" s="50"/>
      <c r="R959" s="177"/>
      <c r="S959" s="177"/>
      <c r="T959" s="177"/>
      <c r="U959" s="177"/>
      <c r="V959" s="177"/>
      <c r="W959" s="177"/>
      <c r="X959" s="177"/>
      <c r="Y959" s="177"/>
      <c r="Z959" s="177"/>
      <c r="AA959" s="177"/>
      <c r="AB959" s="177"/>
      <c r="AC959" s="177"/>
      <c r="AD959" s="177"/>
      <c r="AE959" s="177"/>
      <c r="AF959" s="177"/>
      <c r="AG959" s="177"/>
      <c r="AH959" s="177"/>
      <c r="AI959" s="177"/>
      <c r="AJ959" s="177"/>
    </row>
    <row r="960" spans="1:36" s="45" customFormat="1" ht="15" hidden="1" customHeight="1">
      <c r="A960" s="639"/>
      <c r="B960" s="640"/>
      <c r="C960" s="640"/>
      <c r="D960" s="640"/>
      <c r="E960" s="640"/>
      <c r="F960" s="640"/>
      <c r="G960" s="640"/>
      <c r="H960" s="640"/>
      <c r="I960" s="641"/>
      <c r="K960" s="50"/>
      <c r="R960" s="177"/>
      <c r="S960" s="177"/>
      <c r="T960" s="177"/>
      <c r="U960" s="177"/>
      <c r="V960" s="177"/>
      <c r="W960" s="177"/>
      <c r="X960" s="177"/>
      <c r="Y960" s="177"/>
      <c r="Z960" s="177"/>
      <c r="AA960" s="177"/>
      <c r="AB960" s="177"/>
      <c r="AC960" s="177"/>
      <c r="AD960" s="177"/>
      <c r="AE960" s="177"/>
      <c r="AF960" s="177"/>
      <c r="AG960" s="177"/>
      <c r="AH960" s="177"/>
      <c r="AI960" s="177"/>
      <c r="AJ960" s="177"/>
    </row>
    <row r="961" spans="1:36" s="45" customFormat="1" ht="15" hidden="1" customHeight="1">
      <c r="A961" s="639"/>
      <c r="B961" s="640"/>
      <c r="C961" s="640"/>
      <c r="D961" s="640"/>
      <c r="E961" s="640"/>
      <c r="F961" s="640"/>
      <c r="G961" s="640"/>
      <c r="H961" s="640"/>
      <c r="I961" s="641"/>
      <c r="K961" s="50"/>
      <c r="R961" s="177"/>
      <c r="S961" s="177"/>
      <c r="T961" s="177"/>
      <c r="U961" s="177"/>
      <c r="V961" s="177"/>
      <c r="W961" s="177"/>
      <c r="X961" s="177"/>
      <c r="Y961" s="177"/>
      <c r="Z961" s="177"/>
      <c r="AA961" s="177"/>
      <c r="AB961" s="177"/>
      <c r="AC961" s="177"/>
      <c r="AD961" s="177"/>
      <c r="AE961" s="177"/>
      <c r="AF961" s="177"/>
      <c r="AG961" s="177"/>
      <c r="AH961" s="177"/>
      <c r="AI961" s="177"/>
      <c r="AJ961" s="177"/>
    </row>
    <row r="962" spans="1:36" s="45" customFormat="1" ht="99" hidden="1" customHeight="1" thickBot="1">
      <c r="A962" s="642"/>
      <c r="B962" s="643"/>
      <c r="C962" s="643"/>
      <c r="D962" s="643"/>
      <c r="E962" s="643"/>
      <c r="F962" s="643"/>
      <c r="G962" s="643"/>
      <c r="H962" s="643"/>
      <c r="I962" s="644"/>
      <c r="K962" s="50"/>
      <c r="R962" s="177"/>
      <c r="S962" s="177"/>
      <c r="T962" s="177"/>
      <c r="U962" s="177"/>
      <c r="V962" s="177"/>
      <c r="W962" s="177"/>
      <c r="X962" s="177"/>
      <c r="Y962" s="177"/>
      <c r="Z962" s="177"/>
      <c r="AA962" s="177"/>
      <c r="AB962" s="177"/>
      <c r="AC962" s="177"/>
      <c r="AD962" s="177"/>
      <c r="AE962" s="177"/>
      <c r="AF962" s="177"/>
      <c r="AG962" s="177"/>
      <c r="AH962" s="177"/>
      <c r="AI962" s="177"/>
      <c r="AJ962" s="177"/>
    </row>
    <row r="963" spans="1:36" s="180" customFormat="1" ht="45.75" hidden="1" customHeight="1" thickBot="1">
      <c r="A963" s="95"/>
      <c r="B963" s="94" t="s">
        <v>11</v>
      </c>
      <c r="C963" s="94" t="s">
        <v>30</v>
      </c>
      <c r="D963" s="94" t="s">
        <v>31</v>
      </c>
      <c r="E963" s="94" t="s">
        <v>136</v>
      </c>
      <c r="F963" s="94" t="s">
        <v>12</v>
      </c>
      <c r="G963" s="94" t="s">
        <v>13</v>
      </c>
      <c r="H963" s="94" t="s">
        <v>14</v>
      </c>
      <c r="I963" s="94" t="s">
        <v>157</v>
      </c>
      <c r="J963" s="123"/>
      <c r="K963" s="344" t="str">
        <f>IF(I102&lt;&gt;"Pass","","DO_ALL")</f>
        <v/>
      </c>
      <c r="L963" s="184"/>
      <c r="M963" s="184"/>
      <c r="N963" s="184"/>
      <c r="O963" s="184"/>
      <c r="R963" s="178"/>
      <c r="S963" s="178"/>
      <c r="T963" s="178"/>
      <c r="U963" s="178"/>
      <c r="V963" s="178"/>
      <c r="W963" s="178"/>
      <c r="X963" s="178"/>
      <c r="Y963" s="178"/>
      <c r="Z963" s="178"/>
      <c r="AA963" s="178"/>
      <c r="AB963" s="178"/>
      <c r="AC963" s="178"/>
      <c r="AD963" s="178"/>
      <c r="AE963" s="178"/>
      <c r="AF963" s="178"/>
      <c r="AG963" s="178"/>
      <c r="AH963" s="178"/>
      <c r="AI963" s="178"/>
      <c r="AJ963" s="178"/>
    </row>
    <row r="964" spans="1:36" s="180" customFormat="1" ht="15" hidden="1">
      <c r="A964" s="130"/>
      <c r="B964" s="84"/>
      <c r="C964" s="78"/>
      <c r="D964" s="58"/>
      <c r="E964" s="58"/>
      <c r="F964" s="58"/>
      <c r="G964" s="58"/>
      <c r="H964" s="58"/>
      <c r="I964" s="58"/>
      <c r="J964" s="184"/>
      <c r="K964" s="301" t="s">
        <v>80</v>
      </c>
      <c r="L964" s="184"/>
      <c r="M964" s="184"/>
      <c r="N964" s="184"/>
      <c r="O964" s="184"/>
      <c r="R964" s="178"/>
      <c r="S964" s="178"/>
      <c r="T964" s="178"/>
      <c r="U964" s="178"/>
      <c r="V964" s="178"/>
      <c r="W964" s="178"/>
      <c r="X964" s="178"/>
      <c r="Y964" s="178"/>
      <c r="Z964" s="178"/>
      <c r="AA964" s="178"/>
      <c r="AB964" s="178"/>
      <c r="AC964" s="178"/>
      <c r="AD964" s="178"/>
      <c r="AE964" s="178"/>
      <c r="AF964" s="178"/>
      <c r="AG964" s="178"/>
      <c r="AH964" s="178"/>
      <c r="AI964" s="178"/>
      <c r="AJ964" s="178"/>
    </row>
    <row r="965" spans="1:36" s="180" customFormat="1" ht="15.75" hidden="1" thickBot="1">
      <c r="A965" s="130"/>
      <c r="B965" s="84"/>
      <c r="C965" s="78"/>
      <c r="D965" s="58"/>
      <c r="E965" s="58"/>
      <c r="F965" s="58"/>
      <c r="G965" s="58"/>
      <c r="H965" s="58"/>
      <c r="I965" s="58"/>
      <c r="J965" s="184"/>
      <c r="K965" s="301" t="s">
        <v>80</v>
      </c>
      <c r="L965" s="184"/>
      <c r="M965" s="184"/>
      <c r="N965" s="184"/>
      <c r="O965" s="184"/>
      <c r="R965" s="178"/>
      <c r="S965" s="178"/>
      <c r="T965" s="178"/>
      <c r="U965" s="178"/>
      <c r="V965" s="178"/>
      <c r="W965" s="178"/>
      <c r="X965" s="178"/>
      <c r="Y965" s="178"/>
      <c r="Z965" s="178"/>
      <c r="AA965" s="178"/>
      <c r="AB965" s="178"/>
      <c r="AC965" s="178"/>
      <c r="AD965" s="178"/>
      <c r="AE965" s="178"/>
      <c r="AF965" s="178"/>
      <c r="AG965" s="178"/>
      <c r="AH965" s="178"/>
      <c r="AI965" s="178"/>
      <c r="AJ965" s="178"/>
    </row>
    <row r="966" spans="1:36" s="175" customFormat="1" ht="15.75" hidden="1" thickBot="1">
      <c r="A966" s="130"/>
      <c r="B966" s="300" t="s">
        <v>186</v>
      </c>
      <c r="C966" s="58"/>
      <c r="D966" s="58"/>
      <c r="E966" s="58"/>
      <c r="F966" s="58"/>
      <c r="G966" s="58"/>
      <c r="H966" s="58"/>
      <c r="I966" s="58"/>
      <c r="J966" s="301"/>
      <c r="K966" s="301" t="s">
        <v>77</v>
      </c>
      <c r="L966" s="301" t="s">
        <v>75</v>
      </c>
      <c r="M966" s="238" t="str">
        <f ca="1">INDEX(tblGoSubRoutineStartCell[StartCell],MATCH(B966,tblGoSubRoutineStartCell[GoSub Routine],0))</f>
        <v>K104</v>
      </c>
      <c r="N966" s="184"/>
      <c r="O966" s="184"/>
      <c r="P966" s="184"/>
      <c r="Q966" s="184"/>
    </row>
    <row r="967" spans="1:36" s="175" customFormat="1" ht="15.75" hidden="1" thickBot="1">
      <c r="A967" s="130"/>
      <c r="B967" s="300" t="s">
        <v>188</v>
      </c>
      <c r="C967" s="58"/>
      <c r="D967" s="58"/>
      <c r="E967" s="58"/>
      <c r="F967" s="58"/>
      <c r="G967" s="58"/>
      <c r="H967" s="58"/>
      <c r="I967" s="58"/>
      <c r="J967" s="301"/>
      <c r="K967" s="301" t="s">
        <v>77</v>
      </c>
      <c r="L967" s="301" t="s">
        <v>75</v>
      </c>
      <c r="M967" s="238" t="str">
        <f ca="1">INDEX(tblGoSubRoutineStartCell[StartCell],MATCH(B967,tblGoSubRoutineStartCell[GoSub Routine],0))</f>
        <v>K121</v>
      </c>
      <c r="N967" s="184"/>
      <c r="O967" s="184"/>
      <c r="P967" s="184"/>
      <c r="Q967" s="184"/>
    </row>
    <row r="968" spans="1:36" s="175" customFormat="1" ht="40.5" hidden="1" customHeight="1">
      <c r="A968" s="131"/>
      <c r="B968" s="444" t="s">
        <v>729</v>
      </c>
      <c r="C968" s="113"/>
      <c r="D968" s="113"/>
      <c r="E968" s="113"/>
      <c r="F968" s="113"/>
      <c r="G968" s="113"/>
      <c r="H968" s="113"/>
      <c r="I968" s="113"/>
      <c r="J968" s="184"/>
      <c r="K968" s="301" t="s">
        <v>82</v>
      </c>
      <c r="L968" s="89" t="str">
        <f>B968</f>
        <v>Make sure Load IMon Rotary Switch is Set to SUPPR.</v>
      </c>
      <c r="M968" s="184"/>
      <c r="N968" s="184"/>
      <c r="O968" s="184"/>
      <c r="P968" s="184"/>
      <c r="Q968" s="184"/>
    </row>
    <row r="969" spans="1:36" s="175" customFormat="1" ht="40.5" hidden="1" customHeight="1">
      <c r="A969" s="131"/>
      <c r="B969" s="444" t="s">
        <v>453</v>
      </c>
      <c r="C969" s="113"/>
      <c r="D969" s="113"/>
      <c r="E969" s="113"/>
      <c r="F969" s="113"/>
      <c r="G969" s="113"/>
      <c r="H969" s="113"/>
      <c r="I969" s="113"/>
      <c r="J969" s="184"/>
      <c r="K969" s="301" t="s">
        <v>82</v>
      </c>
      <c r="L969" s="89" t="str">
        <f>B969</f>
        <v>PLEASE ENSURE UUT IS SWITCH ON VIA FRONT PANEL!</v>
      </c>
      <c r="M969" s="184"/>
      <c r="N969" s="184"/>
      <c r="O969" s="184"/>
      <c r="P969" s="184"/>
      <c r="Q969" s="184"/>
    </row>
    <row r="970" spans="1:36" s="180" customFormat="1" ht="15" hidden="1">
      <c r="A970" s="130"/>
      <c r="B970" s="84"/>
      <c r="C970" s="78"/>
      <c r="D970" s="58"/>
      <c r="E970" s="58"/>
      <c r="F970" s="58"/>
      <c r="G970" s="58"/>
      <c r="H970" s="58"/>
      <c r="I970" s="58"/>
      <c r="J970" s="184"/>
      <c r="K970" s="301" t="s">
        <v>80</v>
      </c>
      <c r="L970" s="184"/>
      <c r="M970" s="184"/>
      <c r="N970" s="184"/>
      <c r="O970" s="184"/>
      <c r="R970" s="178"/>
      <c r="S970" s="178"/>
      <c r="T970" s="178"/>
      <c r="U970" s="178"/>
      <c r="V970" s="178"/>
      <c r="W970" s="178"/>
      <c r="X970" s="178"/>
      <c r="Y970" s="178"/>
      <c r="Z970" s="178"/>
      <c r="AA970" s="178"/>
      <c r="AB970" s="178"/>
      <c r="AC970" s="178"/>
      <c r="AD970" s="178"/>
      <c r="AE970" s="178"/>
      <c r="AF970" s="178"/>
      <c r="AG970" s="178"/>
      <c r="AH970" s="178"/>
      <c r="AI970" s="178"/>
      <c r="AJ970" s="178"/>
    </row>
    <row r="971" spans="1:36" s="180" customFormat="1" ht="15.75" hidden="1" thickBot="1">
      <c r="A971" s="130"/>
      <c r="B971" s="84"/>
      <c r="C971" s="78"/>
      <c r="D971" s="58"/>
      <c r="E971" s="58"/>
      <c r="F971" s="58"/>
      <c r="G971" s="58"/>
      <c r="H971" s="58"/>
      <c r="I971" s="58"/>
      <c r="J971" s="184"/>
      <c r="K971" s="301" t="s">
        <v>80</v>
      </c>
      <c r="L971" s="184"/>
      <c r="M971" s="184"/>
      <c r="N971" s="184"/>
      <c r="O971" s="184"/>
      <c r="R971" s="178"/>
      <c r="S971" s="178"/>
      <c r="T971" s="178"/>
      <c r="U971" s="178"/>
      <c r="V971" s="178"/>
      <c r="W971" s="178"/>
      <c r="X971" s="178"/>
      <c r="Y971" s="178"/>
      <c r="Z971" s="178"/>
      <c r="AA971" s="178"/>
      <c r="AB971" s="178"/>
      <c r="AC971" s="178"/>
      <c r="AD971" s="178"/>
      <c r="AE971" s="178"/>
      <c r="AF971" s="178"/>
      <c r="AG971" s="178"/>
      <c r="AH971" s="178"/>
      <c r="AI971" s="178"/>
      <c r="AJ971" s="178"/>
    </row>
    <row r="972" spans="1:36" s="175" customFormat="1" ht="20.25" hidden="1" customHeight="1" thickBot="1">
      <c r="A972" s="321"/>
      <c r="B972" s="322"/>
      <c r="C972" s="322"/>
      <c r="D972" s="324" t="s">
        <v>288</v>
      </c>
      <c r="E972" s="322"/>
      <c r="F972" s="322"/>
      <c r="G972" s="322"/>
      <c r="H972" s="322"/>
      <c r="I972" s="323"/>
      <c r="J972" s="184"/>
      <c r="K972" s="89" t="s">
        <v>80</v>
      </c>
      <c r="L972" s="184"/>
      <c r="M972" s="184"/>
      <c r="N972" s="184"/>
      <c r="O972" s="184"/>
      <c r="P972" s="184"/>
      <c r="Q972" s="184"/>
    </row>
    <row r="973" spans="1:36" s="180" customFormat="1" ht="15" hidden="1">
      <c r="A973" s="130"/>
      <c r="B973" s="84"/>
      <c r="C973" s="78"/>
      <c r="D973" s="58"/>
      <c r="E973" s="58"/>
      <c r="F973" s="58"/>
      <c r="G973" s="58"/>
      <c r="H973" s="58"/>
      <c r="I973" s="58"/>
      <c r="J973" s="184"/>
      <c r="K973" s="301" t="s">
        <v>80</v>
      </c>
      <c r="L973" s="184"/>
      <c r="M973" s="184"/>
      <c r="N973" s="184"/>
      <c r="O973" s="184"/>
      <c r="R973" s="178"/>
      <c r="S973" s="178"/>
      <c r="T973" s="178"/>
      <c r="U973" s="178"/>
      <c r="V973" s="178"/>
      <c r="W973" s="178"/>
      <c r="X973" s="178"/>
      <c r="Y973" s="178"/>
      <c r="Z973" s="178"/>
      <c r="AA973" s="178"/>
      <c r="AB973" s="178"/>
      <c r="AC973" s="178"/>
      <c r="AD973" s="178"/>
      <c r="AE973" s="178"/>
      <c r="AF973" s="178"/>
      <c r="AG973" s="178"/>
      <c r="AH973" s="178"/>
      <c r="AI973" s="178"/>
      <c r="AJ973" s="178"/>
    </row>
    <row r="974" spans="1:36" s="45" customFormat="1" ht="15" hidden="1">
      <c r="A974" s="271"/>
      <c r="B974" s="240" t="s">
        <v>534</v>
      </c>
      <c r="C974" s="272"/>
      <c r="D974" s="272"/>
      <c r="E974" s="272"/>
      <c r="F974" s="272"/>
      <c r="G974" s="272"/>
      <c r="H974" s="272"/>
      <c r="I974" s="272"/>
      <c r="K974" s="301" t="s">
        <v>27</v>
      </c>
      <c r="L974" s="301" t="s">
        <v>318</v>
      </c>
      <c r="M974" s="301" t="s">
        <v>455</v>
      </c>
      <c r="N974" s="301" t="s">
        <v>33</v>
      </c>
      <c r="O974" s="241">
        <v>5</v>
      </c>
      <c r="R974" s="177"/>
      <c r="S974" s="177"/>
      <c r="T974" s="177"/>
      <c r="U974" s="177"/>
      <c r="V974" s="177"/>
      <c r="W974" s="177"/>
      <c r="X974" s="177"/>
      <c r="Y974" s="177"/>
      <c r="Z974" s="177"/>
      <c r="AA974" s="177"/>
      <c r="AB974" s="177"/>
      <c r="AC974" s="177"/>
      <c r="AD974" s="177"/>
      <c r="AE974" s="177"/>
      <c r="AF974" s="177"/>
      <c r="AG974" s="177"/>
      <c r="AH974" s="177"/>
      <c r="AI974" s="177"/>
      <c r="AJ974" s="177"/>
    </row>
    <row r="975" spans="1:36" s="175" customFormat="1" ht="15" hidden="1">
      <c r="A975" s="130"/>
      <c r="B975" s="240" t="s">
        <v>343</v>
      </c>
      <c r="C975" s="78"/>
      <c r="D975" s="58"/>
      <c r="E975" s="58"/>
      <c r="F975" s="58"/>
      <c r="G975" s="58"/>
      <c r="H975" s="58"/>
      <c r="I975" s="58"/>
      <c r="J975" s="184"/>
      <c r="K975" s="301" t="s">
        <v>27</v>
      </c>
      <c r="L975" s="301" t="s">
        <v>313</v>
      </c>
      <c r="M975" s="301" t="s">
        <v>91</v>
      </c>
      <c r="N975" s="301" t="s">
        <v>315</v>
      </c>
      <c r="O975" s="241" t="s">
        <v>316</v>
      </c>
      <c r="P975" s="241" t="s">
        <v>312</v>
      </c>
      <c r="Q975" s="184"/>
    </row>
    <row r="976" spans="1:36" s="380" customFormat="1" ht="15" hidden="1">
      <c r="A976" s="399"/>
      <c r="B976" s="240" t="s">
        <v>728</v>
      </c>
      <c r="C976" s="390">
        <v>15</v>
      </c>
      <c r="D976" s="387"/>
      <c r="E976" s="387"/>
      <c r="F976" s="387"/>
      <c r="G976" s="387"/>
      <c r="H976" s="387"/>
      <c r="I976" s="387"/>
      <c r="J976" s="384"/>
      <c r="K976" s="425" t="s">
        <v>27</v>
      </c>
      <c r="L976" s="425" t="s">
        <v>313</v>
      </c>
      <c r="M976" s="425" t="s">
        <v>32</v>
      </c>
      <c r="N976" s="425" t="s">
        <v>315</v>
      </c>
      <c r="O976" s="241">
        <f>C976</f>
        <v>15</v>
      </c>
      <c r="P976" s="241"/>
      <c r="Q976" s="384"/>
    </row>
    <row r="977" spans="1:36" s="175" customFormat="1" ht="15" hidden="1">
      <c r="A977" s="130"/>
      <c r="B977" s="240" t="s">
        <v>559</v>
      </c>
      <c r="C977" s="78">
        <v>11</v>
      </c>
      <c r="D977" s="58"/>
      <c r="E977" s="58"/>
      <c r="F977" s="58"/>
      <c r="G977" s="58"/>
      <c r="H977" s="58"/>
      <c r="I977" s="58"/>
      <c r="J977" s="184"/>
      <c r="K977" s="241" t="str">
        <f>_xlfn.CONCAT("734|GND|REG1|DEC(",C977,")")</f>
        <v>734|GND|REG1|DEC(11)</v>
      </c>
      <c r="L977" s="301"/>
      <c r="M977" s="301"/>
      <c r="N977" s="301"/>
      <c r="O977" s="241"/>
      <c r="P977" s="241"/>
      <c r="Q977" s="184"/>
    </row>
    <row r="978" spans="1:36" s="175" customFormat="1" ht="15" hidden="1">
      <c r="A978" s="130"/>
      <c r="B978" s="246" t="s">
        <v>560</v>
      </c>
      <c r="C978" s="78">
        <v>2000</v>
      </c>
      <c r="D978" s="58"/>
      <c r="E978" s="58"/>
      <c r="F978" s="58"/>
      <c r="G978" s="58"/>
      <c r="H978" s="58"/>
      <c r="I978" s="58"/>
      <c r="J978" s="184"/>
      <c r="K978" s="301" t="s">
        <v>27</v>
      </c>
      <c r="L978" s="301" t="s">
        <v>42</v>
      </c>
      <c r="M978" s="216" t="s">
        <v>60</v>
      </c>
      <c r="N978" s="247" t="str">
        <f>B978</f>
        <v>Supressor Initialising…</v>
      </c>
      <c r="O978" s="210">
        <f>C978</f>
        <v>2000</v>
      </c>
      <c r="P978" s="184"/>
      <c r="Q978" s="184"/>
    </row>
    <row r="979" spans="1:36" s="175" customFormat="1" ht="15.75" hidden="1" customHeight="1" thickBot="1">
      <c r="A979" s="130"/>
      <c r="B979" s="240" t="s">
        <v>335</v>
      </c>
      <c r="C979" s="78"/>
      <c r="D979" s="58"/>
      <c r="E979" s="459"/>
      <c r="F979" s="58"/>
      <c r="G979" s="58"/>
      <c r="H979" s="58"/>
      <c r="I979" s="58"/>
      <c r="J979" s="184"/>
      <c r="K979" s="301" t="s">
        <v>27</v>
      </c>
      <c r="L979" s="301" t="s">
        <v>319</v>
      </c>
      <c r="M979" s="301" t="s">
        <v>55</v>
      </c>
      <c r="N979" s="241" t="s">
        <v>310</v>
      </c>
      <c r="O979" s="184"/>
      <c r="P979" s="184"/>
      <c r="Q979" s="184"/>
    </row>
    <row r="980" spans="1:36" s="175" customFormat="1" ht="15" hidden="1" customHeight="1" thickBot="1">
      <c r="A980" s="132" cm="1">
        <f t="array" ref="A980">SSATSLineNumbers(A980,0.01)</f>
        <v>6.01</v>
      </c>
      <c r="B980" s="244" t="s">
        <v>561</v>
      </c>
      <c r="C980" s="66">
        <v>0</v>
      </c>
      <c r="D980" s="84"/>
      <c r="E980" s="463" t="str">
        <f>IF(E979="","[AUTO]",(E979*T980))</f>
        <v>[AUTO]</v>
      </c>
      <c r="F980" s="86">
        <f ca="1">P980</f>
        <v>-3</v>
      </c>
      <c r="G980" s="86">
        <f ca="1">Q980</f>
        <v>3</v>
      </c>
      <c r="H980" s="86" t="str">
        <f ca="1">R980</f>
        <v>uA</v>
      </c>
      <c r="I980" s="59" t="str">
        <f>IF(E980 ="[AUTO]","TBC", IF(AND(E980&gt;=F980,E980&lt;=G980 ),"Pass","Fail"))</f>
        <v>TBC</v>
      </c>
      <c r="J980" s="184"/>
      <c r="K980" s="301" t="s">
        <v>80</v>
      </c>
      <c r="L980" s="184"/>
      <c r="M980" s="184"/>
      <c r="N980" s="184"/>
      <c r="O980" s="184"/>
      <c r="P980" s="245">
        <f ca="1">C980+(INDEX(tblProductScalesMeasures[Min],MATCH(_xlfn.CONCAT(B980),tblProductScalesMeasures[Description],0)))</f>
        <v>-3</v>
      </c>
      <c r="Q980" s="245">
        <f ca="1">C980+(INDEX(tblProductScalesMeasures[Max],MATCH(_xlfn.CONCAT(B980),tblProductScalesMeasures[Description],0)))</f>
        <v>3</v>
      </c>
      <c r="R980" s="245" t="str">
        <f ca="1">(INDEX(tblProductScalesMeasures[Unit],MATCH(_xlfn.CONCAT(B980),tblProductScalesMeasures[Description],0)))</f>
        <v>uA</v>
      </c>
      <c r="S980" s="177"/>
      <c r="T980" s="245">
        <f ca="1">IF(COUNTIF(tblExempt[],R980)&gt;0,0,INDEX(tblScaling[Divider],MATCH(_xlfn.CONCAT(IF(ISNUMBER(SEARCH(" ",section_6_heading))=FALSE,SUBSTITUTE(section_6_heading," ",""),"")," ",R980),tblScaling[Description],0)))</f>
        <v>1000000</v>
      </c>
    </row>
    <row r="981" spans="1:36" s="180" customFormat="1" ht="16.5" hidden="1" customHeight="1" thickBot="1">
      <c r="A981" s="133"/>
      <c r="B981" s="237" t="s">
        <v>70</v>
      </c>
      <c r="C981" s="57"/>
      <c r="D981" s="57"/>
      <c r="E981" s="80"/>
      <c r="F981" s="57"/>
      <c r="G981" s="57"/>
      <c r="H981" s="57"/>
      <c r="I981" s="57"/>
      <c r="J981" s="184"/>
      <c r="K981" s="116" t="s">
        <v>27</v>
      </c>
      <c r="L981" s="116" t="s">
        <v>42</v>
      </c>
      <c r="M981" s="116" t="s">
        <v>129</v>
      </c>
      <c r="N981" s="116" t="str">
        <f ca="1">SUBSTITUTE(CELL("address",K974),"$","")</f>
        <v>K974</v>
      </c>
      <c r="O981" s="116" t="s">
        <v>130</v>
      </c>
      <c r="P981" s="228" t="s">
        <v>75</v>
      </c>
      <c r="Q981" s="250" t="str">
        <f ca="1">INDEX(tblGoSubRoutineStartCell[StartCell],MATCH(B981,tblGoSubRoutineStartCell[GoSub Routine],0))</f>
        <v>K56</v>
      </c>
      <c r="R981" s="184"/>
      <c r="S981" s="178"/>
      <c r="T981" s="178"/>
      <c r="U981" s="178"/>
      <c r="V981" s="178"/>
      <c r="W981" s="178"/>
      <c r="X981" s="178"/>
      <c r="Y981" s="178"/>
      <c r="Z981" s="178"/>
      <c r="AA981" s="178"/>
      <c r="AB981" s="178"/>
      <c r="AC981" s="178"/>
      <c r="AD981" s="178"/>
      <c r="AE981" s="178"/>
      <c r="AF981" s="178"/>
      <c r="AG981" s="178"/>
      <c r="AH981" s="178"/>
      <c r="AI981" s="178"/>
      <c r="AJ981" s="178"/>
    </row>
    <row r="982" spans="1:36" s="175" customFormat="1" ht="15.75" hidden="1" thickBot="1">
      <c r="A982" s="130"/>
      <c r="B982" s="240" t="s">
        <v>471</v>
      </c>
      <c r="C982" s="78">
        <v>5</v>
      </c>
      <c r="D982" s="58"/>
      <c r="E982" s="455"/>
      <c r="F982" s="58"/>
      <c r="G982" s="58"/>
      <c r="H982" s="58"/>
      <c r="I982" s="58"/>
      <c r="J982" s="184"/>
      <c r="K982" s="301" t="s">
        <v>27</v>
      </c>
      <c r="L982" s="301" t="s">
        <v>318</v>
      </c>
      <c r="M982" s="301" t="s">
        <v>55</v>
      </c>
      <c r="N982" s="301" t="s">
        <v>33</v>
      </c>
      <c r="O982" s="241">
        <f>C982</f>
        <v>5</v>
      </c>
      <c r="P982" s="241"/>
      <c r="Q982" s="184"/>
    </row>
    <row r="983" spans="1:36" s="175" customFormat="1" ht="15" hidden="1" customHeight="1" thickBot="1">
      <c r="A983" s="132" cm="1">
        <f t="array" ref="A983">SSATSLineNumbers(A983,0.01)</f>
        <v>6.02</v>
      </c>
      <c r="B983" s="244" t="s">
        <v>562</v>
      </c>
      <c r="C983" s="66">
        <v>0</v>
      </c>
      <c r="D983" s="84"/>
      <c r="E983" s="457" t="str">
        <f>IF(E982="","[AUTO]",E982*T983)</f>
        <v>[AUTO]</v>
      </c>
      <c r="F983" s="86">
        <f ca="1">P983</f>
        <v>-100</v>
      </c>
      <c r="G983" s="86">
        <f ca="1">Q983</f>
        <v>100</v>
      </c>
      <c r="H983" s="86" t="str">
        <f ca="1">R983</f>
        <v>V</v>
      </c>
      <c r="I983" s="59" t="str">
        <f>IF(E983 ="[AUTO]","TBC", IF(AND(E983&gt;=F983,E983&lt;=G983 ),"Pass","Fail"))</f>
        <v>TBC</v>
      </c>
      <c r="J983" s="184"/>
      <c r="K983" s="301" t="s">
        <v>80</v>
      </c>
      <c r="L983" s="184"/>
      <c r="M983" s="184"/>
      <c r="N983" s="184"/>
      <c r="O983" s="184"/>
      <c r="P983" s="245">
        <f ca="1">C983+(INDEX(tblProductScalesMeasures[Min],MATCH(_xlfn.CONCAT(B983),tblProductScalesMeasures[Description],0)))</f>
        <v>-100</v>
      </c>
      <c r="Q983" s="245">
        <f ca="1">C983+(INDEX(tblProductScalesMeasures[Max],MATCH(_xlfn.CONCAT(B983),tblProductScalesMeasures[Description],0)))</f>
        <v>100</v>
      </c>
      <c r="R983" s="245" t="str">
        <f ca="1">(INDEX(tblProductScalesMeasures[Unit],MATCH(_xlfn.CONCAT(B983),tblProductScalesMeasures[Description],0)))</f>
        <v>V</v>
      </c>
      <c r="S983" s="177"/>
      <c r="T983" s="245">
        <f ca="1">IF(COUNTIF(tblExempt[],R983)&gt;0,0,INDEX(tblScaling[Divider],MATCH(_xlfn.CONCAT(IF(ISNUMBER(SEARCH(" ",section_6_heading))=FALSE,SUBSTITUTE(section_6_heading," ",""),"")," ",R983),tblScaling[Description],0)))</f>
        <v>10000</v>
      </c>
    </row>
    <row r="984" spans="1:36" s="180" customFormat="1" ht="16.5" hidden="1" customHeight="1" thickBot="1">
      <c r="A984" s="133"/>
      <c r="B984" s="237" t="s">
        <v>70</v>
      </c>
      <c r="C984" s="57"/>
      <c r="D984" s="57"/>
      <c r="E984" s="80"/>
      <c r="F984" s="57"/>
      <c r="G984" s="57"/>
      <c r="H984" s="57"/>
      <c r="I984" s="57"/>
      <c r="J984" s="184"/>
      <c r="K984" s="116" t="s">
        <v>27</v>
      </c>
      <c r="L984" s="116" t="s">
        <v>42</v>
      </c>
      <c r="M984" s="116" t="s">
        <v>129</v>
      </c>
      <c r="N984" s="116" t="str">
        <f ca="1">SUBSTITUTE(CELL("address",K982),"$","")</f>
        <v>K982</v>
      </c>
      <c r="O984" s="116" t="s">
        <v>130</v>
      </c>
      <c r="P984" s="228" t="s">
        <v>75</v>
      </c>
      <c r="Q984" s="250" t="str">
        <f ca="1">INDEX(tblGoSubRoutineStartCell[StartCell],MATCH(B984,tblGoSubRoutineStartCell[GoSub Routine],0))</f>
        <v>K56</v>
      </c>
      <c r="R984" s="184"/>
      <c r="S984" s="178"/>
      <c r="T984" s="178"/>
      <c r="U984" s="178"/>
      <c r="V984" s="178"/>
      <c r="W984" s="178"/>
      <c r="X984" s="178"/>
      <c r="Y984" s="178"/>
      <c r="Z984" s="178"/>
      <c r="AA984" s="178"/>
      <c r="AB984" s="178"/>
      <c r="AC984" s="178"/>
      <c r="AD984" s="178"/>
      <c r="AE984" s="178"/>
      <c r="AF984" s="178"/>
      <c r="AG984" s="178"/>
      <c r="AH984" s="178"/>
      <c r="AI984" s="178"/>
      <c r="AJ984" s="178"/>
    </row>
    <row r="985" spans="1:36" s="175" customFormat="1" ht="15" hidden="1">
      <c r="A985" s="130"/>
      <c r="B985" s="240" t="s">
        <v>563</v>
      </c>
      <c r="C985" s="78">
        <v>-2000</v>
      </c>
      <c r="D985" s="58"/>
      <c r="E985" s="58"/>
      <c r="F985" s="58"/>
      <c r="G985" s="58"/>
      <c r="H985" s="58"/>
      <c r="I985" s="58"/>
      <c r="J985" s="184"/>
      <c r="K985" s="241" t="str">
        <f>_xlfn.CONCAT("734|FLOAT|OUT3|FLT(",C985,")")</f>
        <v>734|FLOAT|OUT3|FLT(-2000)</v>
      </c>
      <c r="L985" s="301"/>
      <c r="M985" s="301"/>
      <c r="N985" s="301"/>
      <c r="O985" s="241"/>
      <c r="P985" s="241"/>
      <c r="Q985" s="184"/>
    </row>
    <row r="986" spans="1:36" s="175" customFormat="1" ht="15" hidden="1">
      <c r="A986" s="130"/>
      <c r="B986" s="246" t="s">
        <v>564</v>
      </c>
      <c r="C986" s="78">
        <v>2000</v>
      </c>
      <c r="D986" s="58"/>
      <c r="E986" s="58"/>
      <c r="F986" s="58"/>
      <c r="G986" s="58"/>
      <c r="H986" s="58"/>
      <c r="I986" s="58"/>
      <c r="J986" s="184"/>
      <c r="K986" s="301" t="s">
        <v>27</v>
      </c>
      <c r="L986" s="301" t="s">
        <v>42</v>
      </c>
      <c r="M986" s="216" t="s">
        <v>60</v>
      </c>
      <c r="N986" s="247" t="str">
        <f>B986</f>
        <v xml:space="preserve">Supressor Initialising… </v>
      </c>
      <c r="O986" s="210">
        <f>C986</f>
        <v>2000</v>
      </c>
      <c r="P986" s="184"/>
      <c r="Q986" s="184"/>
    </row>
    <row r="987" spans="1:36" s="175" customFormat="1" ht="15.75" hidden="1" thickBot="1">
      <c r="A987" s="130"/>
      <c r="B987" s="240" t="s">
        <v>471</v>
      </c>
      <c r="C987" s="78">
        <v>5</v>
      </c>
      <c r="D987" s="58"/>
      <c r="E987" s="455"/>
      <c r="F987" s="58"/>
      <c r="G987" s="58"/>
      <c r="H987" s="58"/>
      <c r="I987" s="58"/>
      <c r="J987" s="184"/>
      <c r="K987" s="301" t="s">
        <v>27</v>
      </c>
      <c r="L987" s="301" t="s">
        <v>318</v>
      </c>
      <c r="M987" s="301" t="s">
        <v>55</v>
      </c>
      <c r="N987" s="301" t="s">
        <v>33</v>
      </c>
      <c r="O987" s="241">
        <f>C987</f>
        <v>5</v>
      </c>
      <c r="P987" s="241"/>
      <c r="Q987" s="184"/>
    </row>
    <row r="988" spans="1:36" s="175" customFormat="1" ht="15" hidden="1" customHeight="1" thickBot="1">
      <c r="A988" s="132" cm="1">
        <f t="array" ref="A988">SSATSLineNumbers(A988,0.01)</f>
        <v>6.03</v>
      </c>
      <c r="B988" s="244" t="s">
        <v>565</v>
      </c>
      <c r="C988" s="66">
        <v>-2000</v>
      </c>
      <c r="D988" s="84"/>
      <c r="E988" s="457" t="str">
        <f>IF(E987="","[AUTO]",E987*T988)</f>
        <v>[AUTO]</v>
      </c>
      <c r="F988" s="86">
        <f ca="1">P988</f>
        <v>-2020</v>
      </c>
      <c r="G988" s="86">
        <f ca="1">Q988</f>
        <v>-1980</v>
      </c>
      <c r="H988" s="86" t="str">
        <f ca="1">R988</f>
        <v>V</v>
      </c>
      <c r="I988" s="59" t="str">
        <f>IF(E988 ="[AUTO]","TBC", IF(AND(E988&gt;=F988,E988&lt;=G988 ),"Pass","Fail"))</f>
        <v>TBC</v>
      </c>
      <c r="J988" s="184"/>
      <c r="K988" s="301" t="s">
        <v>80</v>
      </c>
      <c r="L988" s="184"/>
      <c r="M988" s="184"/>
      <c r="N988" s="184"/>
      <c r="O988" s="184"/>
      <c r="P988" s="245">
        <f ca="1">C988+(INDEX(tblProductScalesMeasures[Min],MATCH(_xlfn.CONCAT(B988),tblProductScalesMeasures[Description],0)))</f>
        <v>-2020</v>
      </c>
      <c r="Q988" s="245">
        <f ca="1">C988+(INDEX(tblProductScalesMeasures[Max],MATCH(_xlfn.CONCAT(B988),tblProductScalesMeasures[Description],0)))</f>
        <v>-1980</v>
      </c>
      <c r="R988" s="245" t="str">
        <f ca="1">(INDEX(tblProductScalesMeasures[Unit],MATCH(_xlfn.CONCAT(B988),tblProductScalesMeasures[Description],0)))</f>
        <v>V</v>
      </c>
      <c r="S988" s="177"/>
      <c r="T988" s="245">
        <f ca="1">IF(COUNTIF(tblExempt[],R988)&gt;0,0,INDEX(tblScaling[Divider],MATCH(_xlfn.CONCAT(IF(ISNUMBER(SEARCH(" ",section_6_heading))=FALSE,SUBSTITUTE(section_6_heading," ",""),"")," ",R988),tblScaling[Description],0)))</f>
        <v>10000</v>
      </c>
    </row>
    <row r="989" spans="1:36" s="180" customFormat="1" ht="16.5" hidden="1" customHeight="1" thickBot="1">
      <c r="A989" s="133"/>
      <c r="B989" s="237" t="s">
        <v>70</v>
      </c>
      <c r="C989" s="57"/>
      <c r="D989" s="57"/>
      <c r="E989" s="80"/>
      <c r="F989" s="57"/>
      <c r="G989" s="57"/>
      <c r="H989" s="57"/>
      <c r="I989" s="57"/>
      <c r="J989" s="184"/>
      <c r="K989" s="116" t="s">
        <v>27</v>
      </c>
      <c r="L989" s="116" t="s">
        <v>42</v>
      </c>
      <c r="M989" s="116" t="s">
        <v>129</v>
      </c>
      <c r="N989" s="116" t="str">
        <f ca="1">SUBSTITUTE(CELL("address",K985),"$","")</f>
        <v>K985</v>
      </c>
      <c r="O989" s="116" t="s">
        <v>130</v>
      </c>
      <c r="P989" s="228" t="s">
        <v>75</v>
      </c>
      <c r="Q989" s="250" t="str">
        <f ca="1">INDEX(tblGoSubRoutineStartCell[StartCell],MATCH(B989,tblGoSubRoutineStartCell[GoSub Routine],0))</f>
        <v>K56</v>
      </c>
      <c r="R989" s="184"/>
      <c r="S989" s="178"/>
      <c r="T989" s="178"/>
      <c r="U989" s="178"/>
      <c r="V989" s="178"/>
      <c r="W989" s="178"/>
      <c r="X989" s="178"/>
      <c r="Y989" s="178"/>
      <c r="Z989" s="178"/>
      <c r="AA989" s="178"/>
      <c r="AB989" s="178"/>
      <c r="AC989" s="178"/>
      <c r="AD989" s="178"/>
      <c r="AE989" s="178"/>
      <c r="AF989" s="178"/>
      <c r="AG989" s="178"/>
      <c r="AH989" s="178"/>
      <c r="AI989" s="178"/>
      <c r="AJ989" s="178"/>
    </row>
    <row r="990" spans="1:36" s="175" customFormat="1" ht="15" hidden="1">
      <c r="A990" s="130"/>
      <c r="B990" s="240" t="s">
        <v>563</v>
      </c>
      <c r="C990" s="78">
        <v>2000</v>
      </c>
      <c r="D990" s="58"/>
      <c r="E990" s="58"/>
      <c r="F990" s="58"/>
      <c r="G990" s="58"/>
      <c r="H990" s="58"/>
      <c r="I990" s="58"/>
      <c r="J990" s="184"/>
      <c r="K990" s="241" t="str">
        <f>_xlfn.CONCAT("734|FLOAT|OUT3|FLT(",C990,")")</f>
        <v>734|FLOAT|OUT3|FLT(2000)</v>
      </c>
      <c r="L990" s="301"/>
      <c r="M990" s="301"/>
      <c r="N990" s="301"/>
      <c r="O990" s="241"/>
      <c r="P990" s="241"/>
      <c r="Q990" s="184"/>
    </row>
    <row r="991" spans="1:36" s="175" customFormat="1" ht="15" hidden="1">
      <c r="A991" s="130"/>
      <c r="B991" s="246" t="s">
        <v>564</v>
      </c>
      <c r="C991" s="390">
        <v>2000</v>
      </c>
      <c r="D991" s="58"/>
      <c r="E991" s="58"/>
      <c r="F991" s="58"/>
      <c r="G991" s="58"/>
      <c r="H991" s="58"/>
      <c r="I991" s="58"/>
      <c r="J991" s="184"/>
      <c r="K991" s="301" t="s">
        <v>27</v>
      </c>
      <c r="L991" s="301" t="s">
        <v>42</v>
      </c>
      <c r="M991" s="216" t="s">
        <v>60</v>
      </c>
      <c r="N991" s="247" t="str">
        <f>B991</f>
        <v xml:space="preserve">Supressor Initialising… </v>
      </c>
      <c r="O991" s="210">
        <f>C991</f>
        <v>2000</v>
      </c>
      <c r="P991" s="184"/>
      <c r="Q991" s="184"/>
    </row>
    <row r="992" spans="1:36" s="175" customFormat="1" ht="15.75" hidden="1" thickBot="1">
      <c r="A992" s="130"/>
      <c r="B992" s="240" t="s">
        <v>471</v>
      </c>
      <c r="C992" s="78">
        <v>5</v>
      </c>
      <c r="D992" s="58"/>
      <c r="E992" s="455"/>
      <c r="F992" s="58"/>
      <c r="G992" s="58"/>
      <c r="H992" s="58"/>
      <c r="I992" s="58"/>
      <c r="J992" s="184"/>
      <c r="K992" s="301" t="s">
        <v>27</v>
      </c>
      <c r="L992" s="301" t="s">
        <v>318</v>
      </c>
      <c r="M992" s="301" t="s">
        <v>55</v>
      </c>
      <c r="N992" s="301" t="s">
        <v>33</v>
      </c>
      <c r="O992" s="241">
        <f>C992</f>
        <v>5</v>
      </c>
      <c r="P992" s="241"/>
      <c r="Q992" s="184"/>
    </row>
    <row r="993" spans="1:36" s="175" customFormat="1" ht="15" hidden="1" customHeight="1" thickBot="1">
      <c r="A993" s="132" cm="1">
        <f t="array" ref="A993">SSATSLineNumbers(A993,0.01)</f>
        <v>6.04</v>
      </c>
      <c r="B993" s="244" t="s">
        <v>566</v>
      </c>
      <c r="C993" s="66">
        <v>2000</v>
      </c>
      <c r="D993" s="84"/>
      <c r="E993" s="457" t="str">
        <f>IF(E992="","[AUTO]",E992*T993)</f>
        <v>[AUTO]</v>
      </c>
      <c r="F993" s="86">
        <f ca="1">P993</f>
        <v>1980</v>
      </c>
      <c r="G993" s="86">
        <f ca="1">Q993</f>
        <v>2020</v>
      </c>
      <c r="H993" s="86" t="str">
        <f ca="1">R993</f>
        <v>V</v>
      </c>
      <c r="I993" s="59" t="str">
        <f>IF(E993 ="[AUTO]","TBC", IF(AND(E993&gt;=F993,E993&lt;=G993 ),"Pass","Fail"))</f>
        <v>TBC</v>
      </c>
      <c r="J993" s="184"/>
      <c r="K993" s="301" t="s">
        <v>80</v>
      </c>
      <c r="L993" s="184"/>
      <c r="M993" s="184"/>
      <c r="N993" s="184"/>
      <c r="O993" s="184"/>
      <c r="P993" s="245">
        <f ca="1">C993+(INDEX(tblProductScalesMeasures[Min],MATCH(_xlfn.CONCAT(B993),tblProductScalesMeasures[Description],0)))</f>
        <v>1980</v>
      </c>
      <c r="Q993" s="245">
        <f ca="1">C993+(INDEX(tblProductScalesMeasures[Max],MATCH(_xlfn.CONCAT(B993),tblProductScalesMeasures[Description],0)))</f>
        <v>2020</v>
      </c>
      <c r="R993" s="245" t="str">
        <f ca="1">(INDEX(tblProductScalesMeasures[Unit],MATCH(_xlfn.CONCAT(B993),tblProductScalesMeasures[Description],0)))</f>
        <v>V</v>
      </c>
      <c r="S993" s="177"/>
      <c r="T993" s="245">
        <f ca="1">IF(COUNTIF(tblExempt[],R993)&gt;0,0,INDEX(tblScaling[Divider],MATCH(_xlfn.CONCAT(IF(ISNUMBER(SEARCH(" ",section_6_heading))=FALSE,SUBSTITUTE(section_6_heading," ",""),"")," ",R993),tblScaling[Description],0)))</f>
        <v>10000</v>
      </c>
    </row>
    <row r="994" spans="1:36" s="180" customFormat="1" ht="16.5" hidden="1" customHeight="1" thickBot="1">
      <c r="A994" s="133"/>
      <c r="B994" s="237" t="s">
        <v>70</v>
      </c>
      <c r="C994" s="57"/>
      <c r="D994" s="57"/>
      <c r="E994" s="80"/>
      <c r="F994" s="57"/>
      <c r="G994" s="57"/>
      <c r="H994" s="57"/>
      <c r="I994" s="57"/>
      <c r="J994" s="184"/>
      <c r="K994" s="116" t="s">
        <v>27</v>
      </c>
      <c r="L994" s="116" t="s">
        <v>42</v>
      </c>
      <c r="M994" s="116" t="s">
        <v>129</v>
      </c>
      <c r="N994" s="116" t="str">
        <f ca="1">SUBSTITUTE(CELL("address",K990),"$","")</f>
        <v>K990</v>
      </c>
      <c r="O994" s="116" t="s">
        <v>130</v>
      </c>
      <c r="P994" s="228" t="s">
        <v>75</v>
      </c>
      <c r="Q994" s="250" t="str">
        <f ca="1">INDEX(tblGoSubRoutineStartCell[StartCell],MATCH(B994,tblGoSubRoutineStartCell[GoSub Routine],0))</f>
        <v>K56</v>
      </c>
      <c r="R994" s="184"/>
      <c r="S994" s="178"/>
      <c r="T994" s="178"/>
      <c r="U994" s="178"/>
      <c r="V994" s="178"/>
      <c r="W994" s="178"/>
      <c r="X994" s="178"/>
      <c r="Y994" s="178"/>
      <c r="Z994" s="178"/>
      <c r="AA994" s="178"/>
      <c r="AB994" s="178"/>
      <c r="AC994" s="178"/>
      <c r="AD994" s="178"/>
      <c r="AE994" s="178"/>
      <c r="AF994" s="178"/>
      <c r="AG994" s="178"/>
      <c r="AH994" s="178"/>
      <c r="AI994" s="178"/>
      <c r="AJ994" s="178"/>
    </row>
    <row r="995" spans="1:36" s="180" customFormat="1" ht="15.75" hidden="1" thickBot="1">
      <c r="A995" s="130"/>
      <c r="B995" s="84"/>
      <c r="C995" s="78"/>
      <c r="D995" s="58"/>
      <c r="E995" s="58"/>
      <c r="F995" s="58"/>
      <c r="G995" s="58"/>
      <c r="H995" s="58"/>
      <c r="I995" s="58"/>
      <c r="J995" s="184"/>
      <c r="K995" s="301" t="s">
        <v>80</v>
      </c>
      <c r="L995" s="184"/>
      <c r="M995" s="184"/>
      <c r="N995" s="184"/>
      <c r="O995" s="184"/>
      <c r="R995" s="178"/>
      <c r="S995" s="178"/>
      <c r="T995" s="178"/>
      <c r="U995" s="178"/>
      <c r="V995" s="178"/>
      <c r="W995" s="178"/>
      <c r="X995" s="178"/>
      <c r="Y995" s="178"/>
      <c r="Z995" s="178"/>
      <c r="AA995" s="178"/>
      <c r="AB995" s="178"/>
      <c r="AC995" s="178"/>
      <c r="AD995" s="178"/>
      <c r="AE995" s="178"/>
      <c r="AF995" s="178"/>
      <c r="AG995" s="178"/>
      <c r="AH995" s="178"/>
      <c r="AI995" s="178"/>
      <c r="AJ995" s="178"/>
    </row>
    <row r="996" spans="1:36" s="175" customFormat="1" ht="20.25" hidden="1" customHeight="1" thickBot="1">
      <c r="A996" s="321"/>
      <c r="B996" s="322"/>
      <c r="C996" s="322"/>
      <c r="D996" s="324" t="s">
        <v>436</v>
      </c>
      <c r="E996" s="322"/>
      <c r="F996" s="322"/>
      <c r="G996" s="322"/>
      <c r="H996" s="322"/>
      <c r="I996" s="323"/>
      <c r="J996" s="184"/>
      <c r="K996" s="89" t="s">
        <v>80</v>
      </c>
      <c r="L996" s="184"/>
      <c r="M996" s="184"/>
      <c r="N996" s="184"/>
      <c r="O996" s="184"/>
      <c r="P996" s="184"/>
      <c r="Q996" s="184"/>
    </row>
    <row r="997" spans="1:36" s="180" customFormat="1" ht="15.75" hidden="1" thickBot="1">
      <c r="A997" s="130"/>
      <c r="B997" s="84"/>
      <c r="C997" s="78"/>
      <c r="D997" s="58"/>
      <c r="E997" s="58"/>
      <c r="F997" s="58"/>
      <c r="G997" s="58"/>
      <c r="H997" s="58"/>
      <c r="I997" s="58"/>
      <c r="J997" s="184"/>
      <c r="K997" s="301" t="s">
        <v>80</v>
      </c>
      <c r="L997" s="184"/>
      <c r="M997" s="184"/>
      <c r="N997" s="184"/>
      <c r="O997" s="184"/>
      <c r="R997" s="178"/>
      <c r="S997" s="178"/>
      <c r="T997" s="178"/>
      <c r="U997" s="178"/>
      <c r="V997" s="178"/>
      <c r="W997" s="178"/>
      <c r="X997" s="178"/>
      <c r="Y997" s="178"/>
      <c r="Z997" s="178"/>
      <c r="AA997" s="178"/>
      <c r="AB997" s="178"/>
      <c r="AC997" s="178"/>
      <c r="AD997" s="178"/>
      <c r="AE997" s="178"/>
      <c r="AF997" s="178"/>
      <c r="AG997" s="178"/>
      <c r="AH997" s="178"/>
      <c r="AI997" s="178"/>
      <c r="AJ997" s="178"/>
    </row>
    <row r="998" spans="1:36" s="175" customFormat="1" ht="15.75" hidden="1" thickBot="1">
      <c r="A998" s="130"/>
      <c r="B998" s="300" t="s">
        <v>188</v>
      </c>
      <c r="C998" s="58"/>
      <c r="D998" s="58"/>
      <c r="E998" s="58"/>
      <c r="F998" s="58"/>
      <c r="G998" s="58"/>
      <c r="H998" s="58"/>
      <c r="I998" s="58"/>
      <c r="J998" s="301"/>
      <c r="K998" s="301" t="s">
        <v>77</v>
      </c>
      <c r="L998" s="301" t="s">
        <v>75</v>
      </c>
      <c r="M998" s="238" t="s">
        <v>437</v>
      </c>
      <c r="N998" s="184"/>
      <c r="O998" s="184"/>
      <c r="P998" s="184"/>
      <c r="Q998" s="184"/>
    </row>
    <row r="999" spans="1:36" s="175" customFormat="1" ht="15" hidden="1">
      <c r="A999" s="130"/>
      <c r="B999" s="240" t="s">
        <v>343</v>
      </c>
      <c r="C999" s="78"/>
      <c r="D999" s="58"/>
      <c r="E999" s="58"/>
      <c r="F999" s="58"/>
      <c r="G999" s="58"/>
      <c r="H999" s="58"/>
      <c r="I999" s="58"/>
      <c r="J999" s="184"/>
      <c r="K999" s="301" t="s">
        <v>27</v>
      </c>
      <c r="L999" s="301" t="s">
        <v>313</v>
      </c>
      <c r="M999" s="301" t="s">
        <v>91</v>
      </c>
      <c r="N999" s="301" t="s">
        <v>315</v>
      </c>
      <c r="O999" s="241" t="s">
        <v>316</v>
      </c>
      <c r="P999" s="241" t="s">
        <v>312</v>
      </c>
      <c r="Q999" s="184"/>
    </row>
    <row r="1000" spans="1:36" s="175" customFormat="1" ht="15" hidden="1">
      <c r="A1000" s="130"/>
      <c r="B1000" s="240" t="s">
        <v>559</v>
      </c>
      <c r="C1000" s="78">
        <v>11</v>
      </c>
      <c r="D1000" s="58"/>
      <c r="E1000" s="58"/>
      <c r="F1000" s="58"/>
      <c r="G1000" s="58"/>
      <c r="H1000" s="58"/>
      <c r="I1000" s="58"/>
      <c r="J1000" s="184"/>
      <c r="K1000" s="241" t="str">
        <f>_xlfn.CONCAT("734|GND|REG1|DEC(",C1000,")")</f>
        <v>734|GND|REG1|DEC(11)</v>
      </c>
      <c r="L1000" s="301"/>
      <c r="M1000" s="301"/>
      <c r="N1000" s="301"/>
      <c r="O1000" s="241"/>
      <c r="P1000" s="241"/>
      <c r="Q1000" s="184"/>
    </row>
    <row r="1001" spans="1:36" s="175" customFormat="1" ht="15" hidden="1">
      <c r="A1001" s="130"/>
      <c r="B1001" s="240" t="s">
        <v>567</v>
      </c>
      <c r="C1001" s="78" t="s">
        <v>727</v>
      </c>
      <c r="D1001" s="58"/>
      <c r="E1001" s="58"/>
      <c r="F1001" s="58"/>
      <c r="G1001" s="58"/>
      <c r="H1001" s="58"/>
      <c r="I1001" s="58"/>
      <c r="J1001" s="184"/>
      <c r="K1001" s="301" t="s">
        <v>27</v>
      </c>
      <c r="L1001" s="301" t="s">
        <v>313</v>
      </c>
      <c r="M1001" s="301" t="s">
        <v>32</v>
      </c>
      <c r="N1001" s="301" t="s">
        <v>315</v>
      </c>
      <c r="O1001" s="241" t="str">
        <f>C1001</f>
        <v>13,15</v>
      </c>
      <c r="P1001" s="241"/>
      <c r="Q1001" s="184"/>
    </row>
    <row r="1002" spans="1:36" s="175" customFormat="1" ht="15" hidden="1">
      <c r="A1002" s="130"/>
      <c r="B1002" s="240" t="s">
        <v>563</v>
      </c>
      <c r="C1002" s="78">
        <v>2000</v>
      </c>
      <c r="D1002" s="58"/>
      <c r="E1002" s="58"/>
      <c r="F1002" s="58"/>
      <c r="G1002" s="58"/>
      <c r="H1002" s="58"/>
      <c r="I1002" s="58"/>
      <c r="J1002" s="184"/>
      <c r="K1002" s="241" t="str">
        <f>_xlfn.CONCAT("734|FLOAT|OUT3|FLT(",C1002,")")</f>
        <v>734|FLOAT|OUT3|FLT(2000)</v>
      </c>
      <c r="L1002" s="301"/>
      <c r="M1002" s="301"/>
      <c r="N1002" s="301"/>
      <c r="O1002" s="241"/>
      <c r="P1002" s="241"/>
      <c r="Q1002" s="184"/>
    </row>
    <row r="1003" spans="1:36" s="175" customFormat="1" ht="15" hidden="1">
      <c r="A1003" s="130"/>
      <c r="B1003" s="253" t="s">
        <v>523</v>
      </c>
      <c r="C1003" s="390">
        <v>2000</v>
      </c>
      <c r="D1003" s="58"/>
      <c r="E1003" s="58"/>
      <c r="F1003" s="58"/>
      <c r="G1003" s="58"/>
      <c r="H1003" s="58"/>
      <c r="I1003" s="58"/>
      <c r="J1003" s="184"/>
      <c r="K1003" s="301" t="s">
        <v>27</v>
      </c>
      <c r="L1003" s="301" t="s">
        <v>42</v>
      </c>
      <c r="M1003" s="216" t="s">
        <v>60</v>
      </c>
      <c r="N1003" s="247" t="str">
        <f>B1003</f>
        <v>Settling…</v>
      </c>
      <c r="O1003" s="210">
        <f>C1003</f>
        <v>2000</v>
      </c>
      <c r="P1003" s="184"/>
      <c r="Q1003" s="184"/>
    </row>
    <row r="1004" spans="1:36" s="380" customFormat="1" ht="15.75" hidden="1" customHeight="1" thickBot="1">
      <c r="A1004" s="399"/>
      <c r="B1004" s="240" t="s">
        <v>335</v>
      </c>
      <c r="C1004" s="390"/>
      <c r="D1004" s="387"/>
      <c r="E1004" s="459"/>
      <c r="F1004" s="387"/>
      <c r="G1004" s="387"/>
      <c r="H1004" s="387"/>
      <c r="I1004" s="387"/>
      <c r="J1004" s="384"/>
      <c r="K1004" s="426" t="s">
        <v>27</v>
      </c>
      <c r="L1004" s="426" t="s">
        <v>319</v>
      </c>
      <c r="M1004" s="426" t="s">
        <v>55</v>
      </c>
      <c r="N1004" s="241" t="s">
        <v>310</v>
      </c>
      <c r="O1004" s="384"/>
      <c r="P1004" s="384"/>
      <c r="Q1004" s="384"/>
    </row>
    <row r="1005" spans="1:36" s="175" customFormat="1" ht="16.5" hidden="1" customHeight="1" thickBot="1">
      <c r="A1005" s="132" cm="1">
        <f t="array" ref="A1005">SSATSLineNumbers(A1005,0.01)</f>
        <v>6.05</v>
      </c>
      <c r="B1005" s="244" t="s">
        <v>732</v>
      </c>
      <c r="C1005" s="84"/>
      <c r="D1005" s="211"/>
      <c r="E1005" s="458" t="str">
        <f>IF(E1004="","[AUTO]",(E1004*T1005))</f>
        <v>[AUTO]</v>
      </c>
      <c r="F1005" s="212">
        <f ca="1">P1005</f>
        <v>70</v>
      </c>
      <c r="G1005" s="86">
        <f ca="1">Q1005</f>
        <v>80</v>
      </c>
      <c r="H1005" s="86" t="str">
        <f ca="1">R1005</f>
        <v>uA</v>
      </c>
      <c r="I1005" s="59" t="str">
        <f>IF(E1005 ="[AUTO]","TBC", IF(AND(E1005&gt;=F1005,E1005&lt;=G1005 ),"Pass","Fail"))</f>
        <v>TBC</v>
      </c>
      <c r="J1005" s="184"/>
      <c r="K1005" s="301" t="s">
        <v>80</v>
      </c>
      <c r="L1005" s="184"/>
      <c r="M1005" s="184"/>
      <c r="N1005" s="184"/>
      <c r="O1005" s="184"/>
      <c r="P1005" s="245">
        <f ca="1">C1005+(INDEX(tblProductScalesMeasures[Min],MATCH(_xlfn.CONCAT(B1005),tblProductScalesMeasures[Description],0)))</f>
        <v>70</v>
      </c>
      <c r="Q1005" s="245">
        <f ca="1">C1005+(INDEX(tblProductScalesMeasures[Max],MATCH(_xlfn.CONCAT(B1005),tblProductScalesMeasures[Description],0)))</f>
        <v>80</v>
      </c>
      <c r="R1005" s="245" t="str">
        <f ca="1">(INDEX(tblProductScalesMeasures[Unit],MATCH(_xlfn.CONCAT(B1005),tblProductScalesMeasures[Description],0)))</f>
        <v>uA</v>
      </c>
      <c r="S1005" s="177"/>
      <c r="T1005" s="245">
        <f ca="1">IF(COUNTIF(tblExempt[],R1005)&gt;0,0,INDEX(tblScaling[Divider],MATCH(_xlfn.CONCAT(IF(ISNUMBER(SEARCH(" ",section_6_heading))=FALSE,SUBSTITUTE(section_6_heading," ",""),"")," ",R1005),tblScaling[Description],0)))</f>
        <v>1000000</v>
      </c>
      <c r="U1005" s="184"/>
    </row>
    <row r="1006" spans="1:36" s="180" customFormat="1" ht="16.5" hidden="1" customHeight="1" thickBot="1">
      <c r="A1006" s="133"/>
      <c r="B1006" s="237" t="s">
        <v>70</v>
      </c>
      <c r="C1006" s="57"/>
      <c r="D1006" s="57"/>
      <c r="E1006" s="80"/>
      <c r="F1006" s="57"/>
      <c r="G1006" s="57"/>
      <c r="H1006" s="57"/>
      <c r="I1006" s="57"/>
      <c r="J1006" s="184"/>
      <c r="K1006" s="116" t="s">
        <v>27</v>
      </c>
      <c r="L1006" s="116" t="s">
        <v>42</v>
      </c>
      <c r="M1006" s="116" t="s">
        <v>129</v>
      </c>
      <c r="N1006" s="116" t="str">
        <f ca="1">SUBSTITUTE(CELL("address",K1004),"$","")</f>
        <v>K1004</v>
      </c>
      <c r="O1006" s="116" t="s">
        <v>130</v>
      </c>
      <c r="P1006" s="228" t="s">
        <v>75</v>
      </c>
      <c r="Q1006" s="250" t="str">
        <f ca="1">INDEX(tblGoSubRoutineStartCell[StartCell],MATCH(B1006,tblGoSubRoutineStartCell[GoSub Routine],0))</f>
        <v>K56</v>
      </c>
      <c r="R1006" s="184"/>
      <c r="S1006" s="178"/>
      <c r="T1006" s="178"/>
      <c r="U1006" s="178"/>
      <c r="V1006" s="178"/>
      <c r="W1006" s="178"/>
      <c r="X1006" s="178"/>
      <c r="Y1006" s="178"/>
      <c r="Z1006" s="178"/>
      <c r="AA1006" s="178"/>
      <c r="AB1006" s="178"/>
      <c r="AC1006" s="178"/>
      <c r="AD1006" s="178"/>
      <c r="AE1006" s="178"/>
      <c r="AF1006" s="178"/>
      <c r="AG1006" s="178"/>
      <c r="AH1006" s="178"/>
      <c r="AI1006" s="178"/>
      <c r="AJ1006" s="178"/>
    </row>
    <row r="1007" spans="1:36" s="175" customFormat="1" ht="29.25" hidden="1" customHeight="1">
      <c r="A1007" s="131"/>
      <c r="B1007" s="249" t="s">
        <v>549</v>
      </c>
      <c r="C1007" s="113"/>
      <c r="D1007" s="113"/>
      <c r="E1007" s="113"/>
      <c r="F1007" s="113"/>
      <c r="G1007" s="113"/>
      <c r="H1007" s="113"/>
      <c r="I1007" s="113"/>
      <c r="J1007" s="184"/>
      <c r="K1007" s="330" t="s">
        <v>82</v>
      </c>
      <c r="L1007" s="89" t="str">
        <f>B1007</f>
        <v>Please press the "Reset" button on the GUI.</v>
      </c>
      <c r="M1007" s="301"/>
      <c r="N1007" s="184"/>
      <c r="O1007" s="184"/>
      <c r="P1007" s="184"/>
      <c r="Q1007" s="184"/>
    </row>
    <row r="1008" spans="1:36" s="175" customFormat="1" ht="15" hidden="1">
      <c r="A1008" s="130"/>
      <c r="B1008" s="240" t="s">
        <v>559</v>
      </c>
      <c r="C1008" s="78">
        <v>11</v>
      </c>
      <c r="D1008" s="58"/>
      <c r="E1008" s="58"/>
      <c r="F1008" s="58"/>
      <c r="G1008" s="58"/>
      <c r="H1008" s="58"/>
      <c r="I1008" s="58"/>
      <c r="J1008" s="184"/>
      <c r="K1008" s="241" t="str">
        <f>_xlfn.CONCAT("734|GND|REG1|DEC(",C1008,")")</f>
        <v>734|GND|REG1|DEC(11)</v>
      </c>
      <c r="L1008" s="301"/>
      <c r="M1008" s="301"/>
      <c r="N1008" s="301"/>
      <c r="O1008" s="241"/>
      <c r="P1008" s="241"/>
      <c r="Q1008" s="184"/>
    </row>
    <row r="1009" spans="1:36" s="175" customFormat="1" ht="15" hidden="1">
      <c r="A1009" s="130"/>
      <c r="B1009" s="240" t="s">
        <v>343</v>
      </c>
      <c r="C1009" s="78"/>
      <c r="D1009" s="58"/>
      <c r="E1009" s="58"/>
      <c r="F1009" s="58"/>
      <c r="G1009" s="58"/>
      <c r="H1009" s="58"/>
      <c r="I1009" s="58"/>
      <c r="J1009" s="184"/>
      <c r="K1009" s="331" t="s">
        <v>27</v>
      </c>
      <c r="L1009" s="331" t="s">
        <v>313</v>
      </c>
      <c r="M1009" s="331" t="s">
        <v>91</v>
      </c>
      <c r="N1009" s="331" t="s">
        <v>315</v>
      </c>
      <c r="O1009" s="241" t="s">
        <v>316</v>
      </c>
      <c r="P1009" s="241" t="s">
        <v>312</v>
      </c>
      <c r="Q1009" s="184"/>
    </row>
    <row r="1010" spans="1:36" s="175" customFormat="1" ht="15" hidden="1">
      <c r="A1010" s="130"/>
      <c r="B1010" s="240" t="s">
        <v>568</v>
      </c>
      <c r="C1010" s="78" t="s">
        <v>726</v>
      </c>
      <c r="D1010" s="58"/>
      <c r="E1010" s="58"/>
      <c r="F1010" s="58"/>
      <c r="G1010" s="58"/>
      <c r="H1010" s="58"/>
      <c r="I1010" s="58"/>
      <c r="J1010" s="184"/>
      <c r="K1010" s="301" t="s">
        <v>27</v>
      </c>
      <c r="L1010" s="301" t="s">
        <v>313</v>
      </c>
      <c r="M1010" s="301" t="s">
        <v>32</v>
      </c>
      <c r="N1010" s="301" t="s">
        <v>315</v>
      </c>
      <c r="O1010" s="241" t="str">
        <f>C1010</f>
        <v>12,15</v>
      </c>
      <c r="P1010" s="241"/>
      <c r="Q1010" s="184"/>
    </row>
    <row r="1011" spans="1:36" s="175" customFormat="1" ht="15" hidden="1">
      <c r="A1011" s="130"/>
      <c r="B1011" s="240" t="s">
        <v>563</v>
      </c>
      <c r="C1011" s="78">
        <v>1960</v>
      </c>
      <c r="D1011" s="58"/>
      <c r="E1011" s="58"/>
      <c r="F1011" s="58"/>
      <c r="G1011" s="58"/>
      <c r="H1011" s="58"/>
      <c r="I1011" s="58"/>
      <c r="J1011" s="184"/>
      <c r="K1011" s="241" t="str">
        <f>_xlfn.CONCAT("734|FLOAT|OUT3|FLT(",C1011,")")</f>
        <v>734|FLOAT|OUT3|FLT(1960)</v>
      </c>
      <c r="L1011" s="301"/>
      <c r="M1011" s="301"/>
      <c r="N1011" s="301"/>
      <c r="O1011" s="241"/>
      <c r="P1011" s="241"/>
      <c r="Q1011" s="184"/>
    </row>
    <row r="1012" spans="1:36" s="175" customFormat="1" ht="15" hidden="1">
      <c r="A1012" s="130"/>
      <c r="B1012" s="293" t="s">
        <v>564</v>
      </c>
      <c r="C1012" s="390">
        <v>2000</v>
      </c>
      <c r="D1012" s="58"/>
      <c r="E1012" s="58"/>
      <c r="F1012" s="58"/>
      <c r="G1012" s="58"/>
      <c r="H1012" s="58"/>
      <c r="I1012" s="58"/>
      <c r="J1012" s="184"/>
      <c r="K1012" s="301" t="s">
        <v>27</v>
      </c>
      <c r="L1012" s="301" t="s">
        <v>42</v>
      </c>
      <c r="M1012" s="216" t="s">
        <v>60</v>
      </c>
      <c r="N1012" s="247" t="str">
        <f>B1012</f>
        <v xml:space="preserve">Supressor Initialising… </v>
      </c>
      <c r="O1012" s="210">
        <f>C1012</f>
        <v>2000</v>
      </c>
      <c r="P1012" s="184"/>
      <c r="Q1012" s="184"/>
    </row>
    <row r="1013" spans="1:36" s="175" customFormat="1" ht="15.75" hidden="1" thickBot="1">
      <c r="A1013" s="130"/>
      <c r="B1013" s="240" t="s">
        <v>471</v>
      </c>
      <c r="C1013" s="78">
        <v>5</v>
      </c>
      <c r="D1013" s="58"/>
      <c r="E1013" s="455"/>
      <c r="F1013" s="58"/>
      <c r="G1013" s="58"/>
      <c r="H1013" s="58"/>
      <c r="I1013" s="58"/>
      <c r="J1013" s="184"/>
      <c r="K1013" s="301" t="s">
        <v>27</v>
      </c>
      <c r="L1013" s="301" t="s">
        <v>318</v>
      </c>
      <c r="M1013" s="301" t="s">
        <v>55</v>
      </c>
      <c r="N1013" s="301" t="s">
        <v>33</v>
      </c>
      <c r="O1013" s="241">
        <f>C1013</f>
        <v>5</v>
      </c>
      <c r="P1013" s="241"/>
      <c r="Q1013" s="184"/>
    </row>
    <row r="1014" spans="1:36" s="175" customFormat="1" ht="15" hidden="1" customHeight="1" thickBot="1">
      <c r="A1014" s="132" cm="1">
        <f t="array" ref="A1014">SSATSLineNumbers(A1014,0.01)</f>
        <v>6.06</v>
      </c>
      <c r="B1014" s="244" t="s">
        <v>569</v>
      </c>
      <c r="C1014" s="66">
        <v>1960</v>
      </c>
      <c r="D1014" s="84"/>
      <c r="E1014" s="457" t="str">
        <f>IF(E1013="","[AUTO]",E1013*T1014)</f>
        <v>[AUTO]</v>
      </c>
      <c r="F1014" s="86">
        <f ca="1">P1014</f>
        <v>1940</v>
      </c>
      <c r="G1014" s="86">
        <f ca="1">Q1014</f>
        <v>1980</v>
      </c>
      <c r="H1014" s="86" t="str">
        <f ca="1">R1014</f>
        <v>V</v>
      </c>
      <c r="I1014" s="59" t="str">
        <f>IF(E1014 ="[AUTO]","TBC", IF(AND(E1014&gt;=F1014,E1014&lt;=G1014 ),"Pass","Fail"))</f>
        <v>TBC</v>
      </c>
      <c r="J1014" s="184"/>
      <c r="K1014" s="301" t="s">
        <v>80</v>
      </c>
      <c r="L1014" s="184"/>
      <c r="M1014" s="184"/>
      <c r="N1014" s="184"/>
      <c r="O1014" s="184"/>
      <c r="P1014" s="245">
        <f ca="1">C1014+(INDEX(tblProductScalesMeasures[Min],MATCH(_xlfn.CONCAT(B1014),tblProductScalesMeasures[Description],0)))</f>
        <v>1940</v>
      </c>
      <c r="Q1014" s="245">
        <f ca="1">C1014+(INDEX(tblProductScalesMeasures[Max],MATCH(_xlfn.CONCAT(B1014),tblProductScalesMeasures[Description],0)))</f>
        <v>1980</v>
      </c>
      <c r="R1014" s="245" t="str">
        <f ca="1">(INDEX(tblProductScalesMeasures[Unit],MATCH(_xlfn.CONCAT(B1014),tblProductScalesMeasures[Description],0)))</f>
        <v>V</v>
      </c>
      <c r="S1014" s="177"/>
      <c r="T1014" s="245">
        <f ca="1">IF(COUNTIF(tblExempt[],R1014)&gt;0,0,INDEX(tblScaling[Divider],MATCH(_xlfn.CONCAT(IF(ISNUMBER(SEARCH(" ",section_6_heading))=FALSE,SUBSTITUTE(section_6_heading," ",""),"")," ",R1014),tblScaling[Description],0)))</f>
        <v>10000</v>
      </c>
    </row>
    <row r="1015" spans="1:36" s="180" customFormat="1" ht="16.5" hidden="1" customHeight="1" thickBot="1">
      <c r="A1015" s="133"/>
      <c r="B1015" s="237" t="s">
        <v>70</v>
      </c>
      <c r="C1015" s="57"/>
      <c r="D1015" s="57"/>
      <c r="E1015" s="80"/>
      <c r="F1015" s="57"/>
      <c r="G1015" s="57"/>
      <c r="H1015" s="57"/>
      <c r="I1015" s="57"/>
      <c r="J1015" s="184"/>
      <c r="K1015" s="116" t="s">
        <v>27</v>
      </c>
      <c r="L1015" s="116" t="s">
        <v>42</v>
      </c>
      <c r="M1015" s="116" t="s">
        <v>129</v>
      </c>
      <c r="N1015" s="116" t="str">
        <f ca="1">SUBSTITUTE(CELL("address",K1011),"$","")</f>
        <v>K1011</v>
      </c>
      <c r="O1015" s="116" t="s">
        <v>130</v>
      </c>
      <c r="P1015" s="228" t="s">
        <v>75</v>
      </c>
      <c r="Q1015" s="250" t="str">
        <f ca="1">INDEX(tblGoSubRoutineStartCell[StartCell],MATCH(B1015,tblGoSubRoutineStartCell[GoSub Routine],0))</f>
        <v>K56</v>
      </c>
      <c r="R1015" s="184"/>
      <c r="S1015" s="178"/>
      <c r="T1015" s="178"/>
      <c r="U1015" s="178"/>
      <c r="V1015" s="178"/>
      <c r="W1015" s="178"/>
      <c r="X1015" s="178"/>
      <c r="Y1015" s="178"/>
      <c r="Z1015" s="178"/>
      <c r="AA1015" s="178"/>
      <c r="AB1015" s="178"/>
      <c r="AC1015" s="178"/>
      <c r="AD1015" s="178"/>
      <c r="AE1015" s="178"/>
      <c r="AF1015" s="178"/>
      <c r="AG1015" s="178"/>
      <c r="AH1015" s="178"/>
      <c r="AI1015" s="178"/>
      <c r="AJ1015" s="178"/>
    </row>
    <row r="1016" spans="1:36" s="45" customFormat="1" ht="16.5" hidden="1" customHeight="1" thickBot="1">
      <c r="A1016" s="131"/>
      <c r="B1016" s="244" t="s">
        <v>570</v>
      </c>
      <c r="C1016" s="66"/>
      <c r="D1016" s="84"/>
      <c r="E1016" s="437"/>
      <c r="F1016" s="113"/>
      <c r="G1016" s="113"/>
      <c r="H1016" s="113"/>
      <c r="I1016" s="113"/>
      <c r="J1016" s="184"/>
      <c r="K1016" s="241" t="s">
        <v>734</v>
      </c>
      <c r="L1016" s="301"/>
      <c r="M1016" s="301"/>
      <c r="R1016" s="177"/>
      <c r="S1016" s="177"/>
      <c r="T1016" s="177"/>
      <c r="U1016" s="177"/>
      <c r="V1016" s="177"/>
      <c r="W1016" s="177"/>
      <c r="X1016" s="177"/>
      <c r="Y1016" s="177"/>
      <c r="Z1016" s="177"/>
      <c r="AA1016" s="177"/>
      <c r="AB1016" s="177"/>
      <c r="AC1016" s="177"/>
      <c r="AD1016" s="177"/>
      <c r="AE1016" s="177"/>
      <c r="AF1016" s="177"/>
      <c r="AG1016" s="177"/>
      <c r="AH1016" s="177"/>
      <c r="AI1016" s="177"/>
      <c r="AJ1016" s="177"/>
    </row>
    <row r="1017" spans="1:36" s="180" customFormat="1" ht="15.75" hidden="1" thickBot="1">
      <c r="A1017" s="132" cm="1">
        <f t="array" ref="A1017">SSATSLineNumbers(A1017,0.01)</f>
        <v>6.07</v>
      </c>
      <c r="B1017" s="244" t="str">
        <f ca="1">ATE_Settings!H106</f>
        <v>SUP Voltage Monitor Error Pos (%)</v>
      </c>
      <c r="C1017" s="66"/>
      <c r="D1017" s="206"/>
      <c r="E1017" s="454" t="str" cm="1">
        <f t="array" ref="E1017">SSATSPercent_Error(E1014,E1016)</f>
        <v>[AUTO]</v>
      </c>
      <c r="F1017" s="207">
        <f ca="1">P1017</f>
        <v>-1</v>
      </c>
      <c r="G1017" s="86">
        <f ca="1">Q1017</f>
        <v>1</v>
      </c>
      <c r="H1017" s="86" t="str">
        <f ca="1">R1017</f>
        <v>%</v>
      </c>
      <c r="I1017" s="59" t="str">
        <f>IF(E1017 ="[AUTO]","TBC", IF(AND(E1017&gt;=F1017,E1017&lt;=G1017 ),"Pass","Fail"))</f>
        <v>TBC</v>
      </c>
      <c r="J1017" s="184"/>
      <c r="K1017" s="115" t="s">
        <v>80</v>
      </c>
      <c r="L1017" s="184"/>
      <c r="M1017" s="184"/>
      <c r="N1017" s="184"/>
      <c r="O1017" s="184"/>
      <c r="P1017" s="204">
        <f ca="1">C1017+(INDEX(tblProductScalesMeasures[Min],MATCH(_xlfn.CONCAT(B1017),tblProductScalesMeasures[Description],0)))</f>
        <v>-1</v>
      </c>
      <c r="Q1017" s="204">
        <f ca="1">C1017+(INDEX(tblProductScalesMeasures[Max],MATCH(_xlfn.CONCAT(B1017),tblProductScalesMeasures[Description],0)))</f>
        <v>1</v>
      </c>
      <c r="R1017" s="205" t="str">
        <f ca="1">(INDEX(tblProductScalesMeasures[Unit],MATCH(_xlfn.CONCAT(B1017),tblProductScalesMeasures[Description],0)))</f>
        <v>%</v>
      </c>
      <c r="S1017" s="203"/>
      <c r="T1017" s="205">
        <f ca="1">IF(COUNTIF(tblExempt[],R1017)&gt;0,0,INDEX(tblScaling[Divider],MATCH(_xlfn.CONCAT(IF(ISNUMBER(SEARCH(" ",section_3_heading))=TRUE,SUBSTITUTE(section_3_heading," ",""),"")," ",R1017),tblScaling[Description],0)))</f>
        <v>0</v>
      </c>
      <c r="U1017" s="178"/>
      <c r="V1017" s="178"/>
      <c r="W1017" s="178"/>
      <c r="X1017" s="178"/>
      <c r="Y1017" s="178"/>
      <c r="Z1017" s="178"/>
      <c r="AA1017" s="178"/>
      <c r="AB1017" s="178"/>
      <c r="AC1017" s="178"/>
      <c r="AD1017" s="178"/>
      <c r="AE1017" s="178"/>
      <c r="AF1017" s="178"/>
      <c r="AG1017" s="178"/>
      <c r="AH1017" s="178"/>
      <c r="AI1017" s="178"/>
      <c r="AJ1017" s="178"/>
    </row>
    <row r="1018" spans="1:36" s="180" customFormat="1" ht="16.5" hidden="1" customHeight="1" thickBot="1">
      <c r="A1018" s="133"/>
      <c r="B1018" s="237" t="s">
        <v>70</v>
      </c>
      <c r="C1018" s="57"/>
      <c r="D1018" s="57"/>
      <c r="E1018" s="80"/>
      <c r="F1018" s="57"/>
      <c r="G1018" s="57"/>
      <c r="H1018" s="57"/>
      <c r="I1018" s="57"/>
      <c r="J1018" s="184"/>
      <c r="K1018" s="116" t="s">
        <v>27</v>
      </c>
      <c r="L1018" s="116" t="s">
        <v>42</v>
      </c>
      <c r="M1018" s="116" t="s">
        <v>129</v>
      </c>
      <c r="N1018" s="116" t="str">
        <f ca="1">SUBSTITUTE(CELL("address",K1008),"$","")</f>
        <v>K1008</v>
      </c>
      <c r="O1018" s="116" t="s">
        <v>130</v>
      </c>
      <c r="P1018" s="228" t="s">
        <v>75</v>
      </c>
      <c r="Q1018" s="250" t="str">
        <f ca="1">INDEX(tblGoSubRoutineStartCell[StartCell],MATCH(B1018,tblGoSubRoutineStartCell[GoSub Routine],0))</f>
        <v>K56</v>
      </c>
      <c r="R1018" s="184"/>
      <c r="S1018" s="178"/>
      <c r="T1018" s="178"/>
      <c r="U1018" s="178"/>
      <c r="V1018" s="178"/>
      <c r="W1018" s="178"/>
      <c r="X1018" s="178"/>
      <c r="Y1018" s="178"/>
      <c r="Z1018" s="178"/>
      <c r="AA1018" s="178"/>
      <c r="AB1018" s="178"/>
      <c r="AC1018" s="178"/>
      <c r="AD1018" s="178"/>
      <c r="AE1018" s="178"/>
      <c r="AF1018" s="178"/>
      <c r="AG1018" s="178"/>
      <c r="AH1018" s="178"/>
      <c r="AI1018" s="178"/>
      <c r="AJ1018" s="178"/>
    </row>
    <row r="1019" spans="1:36" s="380" customFormat="1" ht="17.25" hidden="1" customHeight="1">
      <c r="A1019" s="399"/>
      <c r="B1019" s="240" t="s">
        <v>707</v>
      </c>
      <c r="C1019" s="390"/>
      <c r="D1019" s="387"/>
      <c r="E1019" s="387"/>
      <c r="F1019" s="387"/>
      <c r="G1019" s="387"/>
      <c r="H1019" s="387"/>
      <c r="I1019" s="387"/>
      <c r="J1019" s="384"/>
      <c r="K1019" s="385" t="s">
        <v>27</v>
      </c>
      <c r="L1019" s="385" t="s">
        <v>98</v>
      </c>
      <c r="M1019" s="385" t="s">
        <v>324</v>
      </c>
      <c r="N1019" s="385" t="s">
        <v>325</v>
      </c>
      <c r="O1019" s="241" t="s">
        <v>326</v>
      </c>
      <c r="P1019" s="241" t="str">
        <f>ATE_Settings!AK14</f>
        <v>\\shvukfs2\Eng\FIB Series\FIB35P_734 (FEI)\Test Equipment\FIB35P_734 SSATS\Final Test\Scope_Settings\82097_Supp_HF.txt</v>
      </c>
      <c r="R1019" s="384"/>
    </row>
    <row r="1020" spans="1:36" s="380" customFormat="1" ht="15" hidden="1">
      <c r="A1020" s="399"/>
      <c r="B1020" s="246" t="s">
        <v>340</v>
      </c>
      <c r="C1020" s="390">
        <v>3000</v>
      </c>
      <c r="D1020" s="387"/>
      <c r="E1020" s="387"/>
      <c r="F1020" s="387"/>
      <c r="G1020" s="387"/>
      <c r="H1020" s="387"/>
      <c r="I1020" s="387"/>
      <c r="J1020" s="384"/>
      <c r="K1020" s="385" t="s">
        <v>27</v>
      </c>
      <c r="L1020" s="385" t="s">
        <v>42</v>
      </c>
      <c r="M1020" s="216" t="s">
        <v>60</v>
      </c>
      <c r="N1020" s="247" t="str">
        <f>B1020</f>
        <v>Initialsing Scope…</v>
      </c>
      <c r="O1020" s="210">
        <f>C1020</f>
        <v>3000</v>
      </c>
      <c r="P1020" s="384"/>
      <c r="Q1020" s="384"/>
    </row>
    <row r="1021" spans="1:36" s="380" customFormat="1" ht="15" hidden="1">
      <c r="A1021" s="399"/>
      <c r="B1021" s="240" t="s">
        <v>702</v>
      </c>
      <c r="C1021" s="390"/>
      <c r="D1021" s="387"/>
      <c r="E1021" s="387"/>
      <c r="F1021" s="387"/>
      <c r="G1021" s="387"/>
      <c r="H1021" s="387"/>
      <c r="I1021" s="387"/>
      <c r="J1021" s="384"/>
      <c r="K1021" s="395" t="s">
        <v>27</v>
      </c>
      <c r="L1021" s="395" t="s">
        <v>98</v>
      </c>
      <c r="M1021" s="396" t="s">
        <v>156</v>
      </c>
      <c r="N1021" s="396" t="s">
        <v>141</v>
      </c>
      <c r="O1021" s="384" t="s">
        <v>701</v>
      </c>
      <c r="P1021" s="384"/>
      <c r="Q1021" s="384"/>
    </row>
    <row r="1022" spans="1:36" s="380" customFormat="1" ht="15.75" hidden="1" thickBot="1">
      <c r="A1022" s="399"/>
      <c r="B1022" s="244" t="s">
        <v>735</v>
      </c>
      <c r="C1022" s="390"/>
      <c r="D1022" s="387"/>
      <c r="E1022" s="456"/>
      <c r="F1022" s="387"/>
      <c r="G1022" s="387"/>
      <c r="H1022" s="387"/>
      <c r="I1022" s="387"/>
      <c r="J1022" s="384"/>
      <c r="K1022" s="395" t="s">
        <v>27</v>
      </c>
      <c r="L1022" s="395" t="s">
        <v>98</v>
      </c>
      <c r="M1022" s="396" t="s">
        <v>55</v>
      </c>
      <c r="N1022" s="396" t="s">
        <v>141</v>
      </c>
      <c r="O1022" s="396" t="s">
        <v>700</v>
      </c>
      <c r="P1022" s="384"/>
      <c r="Q1022" s="384"/>
    </row>
    <row r="1023" spans="1:36" s="391" customFormat="1" ht="16.5" hidden="1" customHeight="1" thickBot="1">
      <c r="A1023" s="400" cm="1">
        <f t="array" ref="A1023">SSATSLineNumbers(A1023,0.01)</f>
        <v>6.08</v>
      </c>
      <c r="B1023" s="244" t="str">
        <f ca="1">ATE_Settings!Y112</f>
        <v>SUP Ripple (mV pk-pk)</v>
      </c>
      <c r="C1023" s="202"/>
      <c r="D1023" s="202" t="s">
        <v>296</v>
      </c>
      <c r="E1023" s="457" t="str">
        <f>IF(E1022="","[AUTO]",E1022*1000)</f>
        <v>[AUTO]</v>
      </c>
      <c r="F1023" s="394">
        <f ca="1">Q1023</f>
        <v>3</v>
      </c>
      <c r="G1023" s="394">
        <f ca="1">R1023</f>
        <v>150</v>
      </c>
      <c r="H1023" s="394" t="str">
        <f ca="1">S1023</f>
        <v>mV pk-pk</v>
      </c>
      <c r="I1023" s="434" t="str">
        <f>IF(E1023 ="[AUTO]","TBC", IF(AND(E1023&gt;=F1023,E1023&lt;=G1023 ),"Pass","Fail"))</f>
        <v>TBC</v>
      </c>
      <c r="J1023" s="384"/>
      <c r="K1023" s="395" t="s">
        <v>80</v>
      </c>
      <c r="L1023" s="395"/>
      <c r="M1023" s="396"/>
      <c r="N1023" s="396"/>
      <c r="O1023" s="396"/>
      <c r="P1023" s="226"/>
      <c r="Q1023" s="245">
        <f ca="1">C1023+(INDEX(tblProductScalesMeasures[Min],MATCH(_xlfn.CONCAT(B1023),tblProductScalesMeasures[Description],0)))</f>
        <v>3</v>
      </c>
      <c r="R1023" s="245">
        <f ca="1">C1023+(INDEX(tblProductScalesMeasures[Max],MATCH(_xlfn.CONCAT(B1023),tblProductScalesMeasures[Description],0)))</f>
        <v>150</v>
      </c>
      <c r="S1023" s="245" t="str">
        <f ca="1">(INDEX(tblProductScalesMeasures[Unit],MATCH(_xlfn.CONCAT(B1023),tblProductScalesMeasures[Description],0)))</f>
        <v>mV pk-pk</v>
      </c>
      <c r="V1023" s="381"/>
      <c r="W1023" s="245" t="e">
        <f>IF(COUNTIF(tblExempt[],T1023)&gt;0,0,INDEX(tblScaling[Divider],MATCH(_xlfn.CONCAT(IF(ISNUMBER(SEARCH(" ",section_2_heading))=TRUE,SUBSTITUTE(section_2_heading," ",""),"")," ",T1023),tblScaling[Description],0)))</f>
        <v>#N/A</v>
      </c>
      <c r="X1023" s="382"/>
      <c r="Y1023" s="382"/>
      <c r="Z1023" s="382"/>
      <c r="AA1023" s="382"/>
      <c r="AB1023" s="382"/>
      <c r="AC1023" s="382"/>
      <c r="AD1023" s="382"/>
      <c r="AE1023" s="382"/>
      <c r="AF1023" s="382"/>
      <c r="AG1023" s="382"/>
      <c r="AH1023" s="382"/>
      <c r="AI1023" s="382"/>
      <c r="AJ1023" s="382"/>
    </row>
    <row r="1024" spans="1:36" s="391" customFormat="1" ht="16.5" hidden="1" customHeight="1" thickBot="1">
      <c r="A1024" s="401"/>
      <c r="B1024" s="398" t="s">
        <v>70</v>
      </c>
      <c r="C1024" s="386"/>
      <c r="D1024" s="386"/>
      <c r="E1024" s="392"/>
      <c r="F1024" s="386"/>
      <c r="G1024" s="386"/>
      <c r="H1024" s="386"/>
      <c r="I1024" s="386"/>
      <c r="J1024" s="384"/>
      <c r="K1024" s="397" t="s">
        <v>27</v>
      </c>
      <c r="L1024" s="397" t="s">
        <v>42</v>
      </c>
      <c r="M1024" s="397" t="s">
        <v>129</v>
      </c>
      <c r="N1024" s="397" t="str">
        <f ca="1">SUBSTITUTE(CELL("address",K1019),"$","")</f>
        <v>K1019</v>
      </c>
      <c r="O1024" s="397" t="s">
        <v>130</v>
      </c>
      <c r="P1024" s="228" t="s">
        <v>75</v>
      </c>
      <c r="Q1024" s="250" t="str">
        <f ca="1">INDEX(tblGoSubRoutineStartCell[StartCell],MATCH(B1024,tblGoSubRoutineStartCell[GoSub Routine],0))</f>
        <v>K56</v>
      </c>
      <c r="R1024" s="384"/>
      <c r="S1024" s="382"/>
      <c r="T1024" s="382"/>
      <c r="V1024" s="382"/>
      <c r="W1024" s="382"/>
      <c r="X1024" s="382"/>
      <c r="Y1024" s="382"/>
      <c r="Z1024" s="382"/>
      <c r="AA1024" s="382"/>
      <c r="AB1024" s="382"/>
      <c r="AC1024" s="382"/>
      <c r="AD1024" s="382"/>
      <c r="AE1024" s="382"/>
      <c r="AF1024" s="382"/>
      <c r="AG1024" s="382"/>
      <c r="AH1024" s="382"/>
      <c r="AI1024" s="382"/>
      <c r="AJ1024" s="382"/>
    </row>
    <row r="1025" spans="1:36" s="380" customFormat="1" ht="17.25" hidden="1" customHeight="1">
      <c r="A1025" s="399"/>
      <c r="B1025" s="240" t="s">
        <v>708</v>
      </c>
      <c r="C1025" s="390"/>
      <c r="D1025" s="387"/>
      <c r="E1025" s="387"/>
      <c r="F1025" s="387"/>
      <c r="G1025" s="387"/>
      <c r="H1025" s="387"/>
      <c r="I1025" s="387"/>
      <c r="J1025" s="385"/>
      <c r="K1025" s="385" t="s">
        <v>27</v>
      </c>
      <c r="L1025" s="385" t="s">
        <v>98</v>
      </c>
      <c r="M1025" s="385" t="s">
        <v>324</v>
      </c>
      <c r="N1025" s="385" t="s">
        <v>325</v>
      </c>
      <c r="O1025" s="241" t="s">
        <v>326</v>
      </c>
      <c r="P1025" s="241" t="str">
        <f>ATE_Settings!AK15</f>
        <v>\\shvukfs2\Eng\FIB Series\FIB35P_734 (FEI)\Test Equipment\FIB35P_734 SSATS\Final Test\Scope_Settings\82097_Supp_LF.txt</v>
      </c>
      <c r="Q1025" s="384"/>
    </row>
    <row r="1026" spans="1:36" s="380" customFormat="1" ht="15" hidden="1">
      <c r="A1026" s="399"/>
      <c r="B1026" s="246" t="s">
        <v>340</v>
      </c>
      <c r="C1026" s="390">
        <v>7000</v>
      </c>
      <c r="D1026" s="387"/>
      <c r="E1026" s="387"/>
      <c r="F1026" s="387"/>
      <c r="G1026" s="387"/>
      <c r="H1026" s="387"/>
      <c r="I1026" s="387"/>
      <c r="J1026" s="384"/>
      <c r="K1026" s="385" t="s">
        <v>27</v>
      </c>
      <c r="L1026" s="385" t="s">
        <v>42</v>
      </c>
      <c r="M1026" s="216" t="s">
        <v>60</v>
      </c>
      <c r="N1026" s="247" t="str">
        <f>B1026</f>
        <v>Initialsing Scope…</v>
      </c>
      <c r="O1026" s="210">
        <f>C1026</f>
        <v>7000</v>
      </c>
      <c r="P1026" s="384"/>
      <c r="Q1026" s="384"/>
    </row>
    <row r="1027" spans="1:36" s="380" customFormat="1" ht="15" hidden="1">
      <c r="A1027" s="399"/>
      <c r="B1027" s="240" t="s">
        <v>702</v>
      </c>
      <c r="C1027" s="390"/>
      <c r="D1027" s="387"/>
      <c r="E1027" s="387"/>
      <c r="F1027" s="387"/>
      <c r="G1027" s="387"/>
      <c r="H1027" s="387"/>
      <c r="I1027" s="387"/>
      <c r="J1027" s="384"/>
      <c r="K1027" s="395" t="s">
        <v>27</v>
      </c>
      <c r="L1027" s="395" t="s">
        <v>98</v>
      </c>
      <c r="M1027" s="396" t="s">
        <v>156</v>
      </c>
      <c r="N1027" s="396" t="s">
        <v>141</v>
      </c>
      <c r="O1027" s="384" t="s">
        <v>701</v>
      </c>
      <c r="P1027" s="384"/>
      <c r="Q1027" s="384"/>
    </row>
    <row r="1028" spans="1:36" s="380" customFormat="1" ht="15.75" hidden="1" thickBot="1">
      <c r="A1028" s="399"/>
      <c r="B1028" s="244" t="s">
        <v>735</v>
      </c>
      <c r="C1028" s="390"/>
      <c r="D1028" s="387"/>
      <c r="E1028" s="456"/>
      <c r="F1028" s="387"/>
      <c r="G1028" s="387"/>
      <c r="H1028" s="387"/>
      <c r="I1028" s="387"/>
      <c r="J1028" s="384"/>
      <c r="K1028" s="395" t="s">
        <v>27</v>
      </c>
      <c r="L1028" s="395" t="s">
        <v>98</v>
      </c>
      <c r="M1028" s="396" t="s">
        <v>55</v>
      </c>
      <c r="N1028" s="396" t="s">
        <v>141</v>
      </c>
      <c r="O1028" s="396" t="s">
        <v>700</v>
      </c>
      <c r="P1028" s="384"/>
      <c r="Q1028" s="384"/>
    </row>
    <row r="1029" spans="1:36" s="391" customFormat="1" ht="16.5" hidden="1" customHeight="1" thickBot="1">
      <c r="A1029" s="400" cm="1">
        <f t="array" ref="A1029">SSATSLineNumbers(A1029,0.01)</f>
        <v>6.09</v>
      </c>
      <c r="B1029" s="244" t="str">
        <f ca="1">B1023</f>
        <v>SUP Ripple (mV pk-pk)</v>
      </c>
      <c r="C1029" s="202"/>
      <c r="D1029" s="202" t="s">
        <v>362</v>
      </c>
      <c r="E1029" s="457" t="str">
        <f>IF(E1028="","[AUTO]",E1028*1000)</f>
        <v>[AUTO]</v>
      </c>
      <c r="F1029" s="394">
        <f ca="1">Q1029</f>
        <v>3</v>
      </c>
      <c r="G1029" s="394">
        <f ca="1">R1029</f>
        <v>150</v>
      </c>
      <c r="H1029" s="394" t="str">
        <f ca="1">S1029</f>
        <v>mV pk-pk</v>
      </c>
      <c r="I1029" s="434" t="str">
        <f>IF(E1029 ="[AUTO]","TBC", IF(AND(E1029&gt;=F1029,E1029&lt;=G1029 ),"Pass","Fail"))</f>
        <v>TBC</v>
      </c>
      <c r="J1029" s="384"/>
      <c r="K1029" s="395" t="s">
        <v>80</v>
      </c>
      <c r="L1029" s="395"/>
      <c r="M1029" s="396"/>
      <c r="N1029" s="396"/>
      <c r="O1029" s="396"/>
      <c r="P1029" s="275"/>
      <c r="Q1029" s="245">
        <f ca="1">C1029+(INDEX(tblProductScalesMeasures[Min],MATCH(_xlfn.CONCAT(B1029),tblProductScalesMeasures[Description],0)))</f>
        <v>3</v>
      </c>
      <c r="R1029" s="245">
        <f ca="1">C1029+(INDEX(tblProductScalesMeasures[Max],MATCH(_xlfn.CONCAT(B1029),tblProductScalesMeasures[Description],0)))</f>
        <v>150</v>
      </c>
      <c r="S1029" s="245" t="str">
        <f ca="1">(INDEX(tblProductScalesMeasures[Unit],MATCH(_xlfn.CONCAT(B1029),tblProductScalesMeasures[Description],0)))</f>
        <v>mV pk-pk</v>
      </c>
      <c r="V1029" s="381"/>
      <c r="W1029" s="245" t="e">
        <f>IF(COUNTIF(tblExempt[],T1029)&gt;0,0,INDEX(tblScaling[Divider],MATCH(_xlfn.CONCAT(IF(ISNUMBER(SEARCH(" ",section_2_heading))=TRUE,SUBSTITUTE(section_2_heading," ",""),"")," ",T1029),tblScaling[Description],0)))</f>
        <v>#N/A</v>
      </c>
      <c r="X1029" s="382"/>
      <c r="Y1029" s="382"/>
      <c r="Z1029" s="382"/>
      <c r="AA1029" s="382"/>
      <c r="AB1029" s="382"/>
      <c r="AC1029" s="382"/>
      <c r="AD1029" s="382"/>
      <c r="AE1029" s="382"/>
      <c r="AF1029" s="382"/>
      <c r="AG1029" s="382"/>
      <c r="AH1029" s="382"/>
      <c r="AI1029" s="382"/>
      <c r="AJ1029" s="382"/>
    </row>
    <row r="1030" spans="1:36" s="391" customFormat="1" ht="16.5" hidden="1" customHeight="1" thickBot="1">
      <c r="A1030" s="401"/>
      <c r="B1030" s="398" t="s">
        <v>70</v>
      </c>
      <c r="C1030" s="386"/>
      <c r="D1030" s="386"/>
      <c r="E1030" s="392"/>
      <c r="F1030" s="386"/>
      <c r="G1030" s="386"/>
      <c r="H1030" s="386"/>
      <c r="I1030" s="386"/>
      <c r="J1030" s="384"/>
      <c r="K1030" s="397" t="s">
        <v>27</v>
      </c>
      <c r="L1030" s="397" t="s">
        <v>42</v>
      </c>
      <c r="M1030" s="397" t="s">
        <v>129</v>
      </c>
      <c r="N1030" s="397" t="str">
        <f ca="1">SUBSTITUTE(CELL("address",K1025),"$","")</f>
        <v>K1025</v>
      </c>
      <c r="O1030" s="397" t="s">
        <v>130</v>
      </c>
      <c r="P1030" s="228" t="s">
        <v>75</v>
      </c>
      <c r="Q1030" s="250" t="str">
        <f ca="1">INDEX(tblGoSubRoutineStartCell[StartCell],MATCH(B1030,tblGoSubRoutineStartCell[GoSub Routine],0))</f>
        <v>K56</v>
      </c>
      <c r="R1030" s="384"/>
      <c r="S1030" s="382"/>
      <c r="T1030" s="382"/>
      <c r="V1030" s="382"/>
      <c r="W1030" s="382"/>
      <c r="X1030" s="382"/>
      <c r="Y1030" s="382"/>
      <c r="Z1030" s="382"/>
      <c r="AA1030" s="382"/>
      <c r="AB1030" s="382"/>
      <c r="AC1030" s="382"/>
      <c r="AD1030" s="382"/>
      <c r="AE1030" s="382"/>
      <c r="AF1030" s="382"/>
      <c r="AG1030" s="382"/>
      <c r="AH1030" s="382"/>
      <c r="AI1030" s="382"/>
      <c r="AJ1030" s="382"/>
    </row>
    <row r="1031" spans="1:36" s="391" customFormat="1" ht="15.75" hidden="1" thickBot="1">
      <c r="A1031" s="399"/>
      <c r="B1031" s="393"/>
      <c r="C1031" s="390"/>
      <c r="D1031" s="387"/>
      <c r="E1031" s="387"/>
      <c r="F1031" s="387"/>
      <c r="G1031" s="387"/>
      <c r="H1031" s="387"/>
      <c r="I1031" s="387"/>
      <c r="J1031" s="384"/>
      <c r="K1031" s="385" t="s">
        <v>80</v>
      </c>
      <c r="L1031" s="384"/>
      <c r="M1031" s="384"/>
      <c r="N1031" s="384"/>
      <c r="O1031" s="384"/>
      <c r="R1031" s="382"/>
      <c r="S1031" s="382"/>
      <c r="T1031" s="382"/>
      <c r="U1031" s="382"/>
      <c r="V1031" s="382"/>
      <c r="W1031" s="382"/>
      <c r="X1031" s="382"/>
      <c r="Y1031" s="382"/>
      <c r="Z1031" s="382"/>
      <c r="AA1031" s="382"/>
      <c r="AB1031" s="382"/>
      <c r="AC1031" s="382"/>
      <c r="AD1031" s="382"/>
      <c r="AE1031" s="382"/>
      <c r="AF1031" s="382"/>
      <c r="AG1031" s="382"/>
      <c r="AH1031" s="382"/>
      <c r="AI1031" s="382"/>
      <c r="AJ1031" s="382"/>
    </row>
    <row r="1032" spans="1:36" s="175" customFormat="1" ht="20.25" hidden="1" customHeight="1" thickBot="1">
      <c r="A1032" s="321"/>
      <c r="B1032" s="322"/>
      <c r="C1032" s="322"/>
      <c r="D1032" s="324" t="s">
        <v>448</v>
      </c>
      <c r="E1032" s="322"/>
      <c r="F1032" s="322"/>
      <c r="G1032" s="322"/>
      <c r="H1032" s="322"/>
      <c r="I1032" s="323"/>
      <c r="J1032" s="184"/>
      <c r="K1032" s="89" t="s">
        <v>80</v>
      </c>
      <c r="L1032" s="184"/>
      <c r="M1032" s="184"/>
      <c r="N1032" s="184"/>
      <c r="O1032" s="184"/>
      <c r="P1032" s="184"/>
      <c r="Q1032" s="184"/>
    </row>
    <row r="1033" spans="1:36" s="180" customFormat="1" ht="15.75" hidden="1" thickBot="1">
      <c r="A1033" s="130"/>
      <c r="B1033" s="84"/>
      <c r="C1033" s="78"/>
      <c r="D1033" s="58"/>
      <c r="E1033" s="58"/>
      <c r="F1033" s="58"/>
      <c r="G1033" s="58"/>
      <c r="H1033" s="58"/>
      <c r="I1033" s="58"/>
      <c r="J1033" s="184"/>
      <c r="K1033" s="301" t="s">
        <v>80</v>
      </c>
      <c r="L1033" s="184"/>
      <c r="M1033" s="184"/>
      <c r="N1033" s="184"/>
      <c r="O1033" s="184"/>
      <c r="R1033" s="178"/>
      <c r="S1033" s="178"/>
      <c r="T1033" s="178"/>
      <c r="U1033" s="178"/>
      <c r="V1033" s="178"/>
      <c r="W1033" s="178"/>
      <c r="X1033" s="178"/>
      <c r="Y1033" s="178"/>
      <c r="Z1033" s="178"/>
      <c r="AA1033" s="178"/>
      <c r="AB1033" s="178"/>
      <c r="AC1033" s="178"/>
      <c r="AD1033" s="178"/>
      <c r="AE1033" s="178"/>
      <c r="AF1033" s="178"/>
      <c r="AG1033" s="178"/>
      <c r="AH1033" s="178"/>
      <c r="AI1033" s="178"/>
      <c r="AJ1033" s="178"/>
    </row>
    <row r="1034" spans="1:36" s="175" customFormat="1" ht="15.75" hidden="1" thickBot="1">
      <c r="A1034" s="130"/>
      <c r="B1034" s="300" t="s">
        <v>188</v>
      </c>
      <c r="C1034" s="58"/>
      <c r="D1034" s="58"/>
      <c r="E1034" s="58"/>
      <c r="F1034" s="58"/>
      <c r="G1034" s="58"/>
      <c r="H1034" s="58"/>
      <c r="I1034" s="58"/>
      <c r="J1034" s="301"/>
      <c r="K1034" s="301" t="s">
        <v>77</v>
      </c>
      <c r="L1034" s="301" t="s">
        <v>75</v>
      </c>
      <c r="M1034" s="238" t="s">
        <v>437</v>
      </c>
      <c r="N1034" s="184"/>
      <c r="O1034" s="184"/>
      <c r="P1034" s="184"/>
      <c r="Q1034" s="184"/>
    </row>
    <row r="1035" spans="1:36" s="175" customFormat="1" ht="15" hidden="1">
      <c r="A1035" s="130"/>
      <c r="B1035" s="240" t="s">
        <v>343</v>
      </c>
      <c r="C1035" s="78"/>
      <c r="D1035" s="58"/>
      <c r="E1035" s="58"/>
      <c r="F1035" s="58"/>
      <c r="G1035" s="58"/>
      <c r="H1035" s="58"/>
      <c r="I1035" s="58"/>
      <c r="J1035" s="184"/>
      <c r="K1035" s="301" t="s">
        <v>27</v>
      </c>
      <c r="L1035" s="301" t="s">
        <v>313</v>
      </c>
      <c r="M1035" s="301" t="s">
        <v>91</v>
      </c>
      <c r="N1035" s="301" t="s">
        <v>315</v>
      </c>
      <c r="O1035" s="241" t="s">
        <v>316</v>
      </c>
      <c r="P1035" s="241" t="s">
        <v>312</v>
      </c>
      <c r="Q1035" s="184"/>
    </row>
    <row r="1036" spans="1:36" s="175" customFormat="1" ht="15" hidden="1">
      <c r="A1036" s="130"/>
      <c r="B1036" s="240" t="s">
        <v>559</v>
      </c>
      <c r="C1036" s="78">
        <v>11</v>
      </c>
      <c r="D1036" s="58"/>
      <c r="E1036" s="58"/>
      <c r="F1036" s="58"/>
      <c r="G1036" s="58"/>
      <c r="H1036" s="58"/>
      <c r="I1036" s="58"/>
      <c r="J1036" s="184"/>
      <c r="K1036" s="241" t="str">
        <f>_xlfn.CONCAT("734|GND|REG1|DEC(",C1036,")")</f>
        <v>734|GND|REG1|DEC(11)</v>
      </c>
      <c r="L1036" s="301"/>
      <c r="M1036" s="301"/>
      <c r="N1036" s="301"/>
      <c r="O1036" s="241"/>
      <c r="P1036" s="241"/>
      <c r="Q1036" s="184"/>
    </row>
    <row r="1037" spans="1:36" s="175" customFormat="1" ht="15" hidden="1">
      <c r="A1037" s="130"/>
      <c r="B1037" s="240" t="s">
        <v>568</v>
      </c>
      <c r="C1037" s="78" t="s">
        <v>726</v>
      </c>
      <c r="D1037" s="58"/>
      <c r="E1037" s="58"/>
      <c r="F1037" s="58"/>
      <c r="G1037" s="58"/>
      <c r="H1037" s="58"/>
      <c r="I1037" s="58"/>
      <c r="J1037" s="184"/>
      <c r="K1037" s="301" t="s">
        <v>27</v>
      </c>
      <c r="L1037" s="301" t="s">
        <v>313</v>
      </c>
      <c r="M1037" s="301" t="s">
        <v>32</v>
      </c>
      <c r="N1037" s="301" t="s">
        <v>315</v>
      </c>
      <c r="O1037" s="241" t="str">
        <f>C1037</f>
        <v>12,15</v>
      </c>
      <c r="P1037" s="241"/>
      <c r="Q1037" s="184"/>
    </row>
    <row r="1038" spans="1:36" s="175" customFormat="1" ht="15" hidden="1">
      <c r="A1038" s="130"/>
      <c r="B1038" s="240" t="s">
        <v>563</v>
      </c>
      <c r="C1038" s="78">
        <v>-1960</v>
      </c>
      <c r="D1038" s="58"/>
      <c r="E1038" s="58"/>
      <c r="F1038" s="58"/>
      <c r="G1038" s="58"/>
      <c r="H1038" s="58"/>
      <c r="I1038" s="58"/>
      <c r="J1038" s="184"/>
      <c r="K1038" s="241" t="str">
        <f>_xlfn.CONCAT("734|FLOAT|OUT3|FLT(",C1038,")")</f>
        <v>734|FLOAT|OUT3|FLT(-1960)</v>
      </c>
      <c r="L1038" s="301"/>
      <c r="M1038" s="301"/>
      <c r="N1038" s="301"/>
      <c r="O1038" s="241"/>
      <c r="P1038" s="241"/>
      <c r="Q1038" s="184"/>
    </row>
    <row r="1039" spans="1:36" s="175" customFormat="1" ht="15" hidden="1">
      <c r="A1039" s="130"/>
      <c r="B1039" s="293" t="s">
        <v>564</v>
      </c>
      <c r="C1039" s="390">
        <v>2000</v>
      </c>
      <c r="D1039" s="58"/>
      <c r="E1039" s="58"/>
      <c r="F1039" s="58"/>
      <c r="G1039" s="58"/>
      <c r="H1039" s="58"/>
      <c r="I1039" s="58"/>
      <c r="J1039" s="184"/>
      <c r="K1039" s="301" t="s">
        <v>27</v>
      </c>
      <c r="L1039" s="301" t="s">
        <v>42</v>
      </c>
      <c r="M1039" s="216" t="s">
        <v>60</v>
      </c>
      <c r="N1039" s="247" t="str">
        <f>B1039</f>
        <v xml:space="preserve">Supressor Initialising… </v>
      </c>
      <c r="O1039" s="210">
        <f>C1039</f>
        <v>2000</v>
      </c>
      <c r="P1039" s="184"/>
      <c r="Q1039" s="184"/>
    </row>
    <row r="1040" spans="1:36" s="175" customFormat="1" ht="15.75" hidden="1" thickBot="1">
      <c r="A1040" s="130"/>
      <c r="B1040" s="240" t="s">
        <v>471</v>
      </c>
      <c r="C1040" s="78">
        <v>5</v>
      </c>
      <c r="D1040" s="58"/>
      <c r="E1040" s="455"/>
      <c r="F1040" s="58"/>
      <c r="G1040" s="58"/>
      <c r="H1040" s="58"/>
      <c r="I1040" s="58"/>
      <c r="J1040" s="184"/>
      <c r="K1040" s="301" t="s">
        <v>27</v>
      </c>
      <c r="L1040" s="301" t="s">
        <v>318</v>
      </c>
      <c r="M1040" s="301" t="s">
        <v>55</v>
      </c>
      <c r="N1040" s="301" t="s">
        <v>33</v>
      </c>
      <c r="O1040" s="241">
        <f>C1040</f>
        <v>5</v>
      </c>
      <c r="P1040" s="241"/>
      <c r="Q1040" s="184"/>
    </row>
    <row r="1041" spans="1:36" s="175" customFormat="1" ht="15" hidden="1" customHeight="1" thickBot="1">
      <c r="A1041" s="132" cm="1">
        <f t="array" ref="A1041">SSATSLineNumbers(A1041,0.01)</f>
        <v>6.1</v>
      </c>
      <c r="B1041" s="244" t="s">
        <v>569</v>
      </c>
      <c r="C1041" s="66">
        <v>2000</v>
      </c>
      <c r="D1041" s="84"/>
      <c r="E1041" s="457" t="str">
        <f>IF(E1040="","[AUTO]",E1040*T1041)</f>
        <v>[AUTO]</v>
      </c>
      <c r="F1041" s="58"/>
      <c r="G1041" s="58"/>
      <c r="H1041" s="58"/>
      <c r="I1041" s="58"/>
      <c r="J1041" s="184"/>
      <c r="K1041" s="301" t="s">
        <v>80</v>
      </c>
      <c r="L1041" s="184"/>
      <c r="M1041" s="184"/>
      <c r="N1041" s="184"/>
      <c r="O1041" s="184"/>
      <c r="P1041" s="245">
        <f ca="1">C1041+(INDEX(tblProductScalesMeasures[Min],MATCH(_xlfn.CONCAT(B1041),tblProductScalesMeasures[Description],0)))</f>
        <v>1980</v>
      </c>
      <c r="Q1041" s="245">
        <f ca="1">C1041+(INDEX(tblProductScalesMeasures[Max],MATCH(_xlfn.CONCAT(B1041),tblProductScalesMeasures[Description],0)))</f>
        <v>2020</v>
      </c>
      <c r="R1041" s="245" t="str">
        <f ca="1">(INDEX(tblProductScalesMeasures[Unit],MATCH(_xlfn.CONCAT(B1041),tblProductScalesMeasures[Description],0)))</f>
        <v>V</v>
      </c>
      <c r="S1041" s="177"/>
      <c r="T1041" s="245">
        <f ca="1">IF(COUNTIF(tblExempt[],R1041)&gt;0,0,INDEX(tblScaling[Divider],MATCH(_xlfn.CONCAT(IF(ISNUMBER(SEARCH(" ",section_6_heading))=FALSE,SUBSTITUTE(section_6_heading," ",""),"")," ",R1041),tblScaling[Description],0)))</f>
        <v>10000</v>
      </c>
    </row>
    <row r="1042" spans="1:36" s="175" customFormat="1" ht="15" hidden="1">
      <c r="A1042" s="130"/>
      <c r="B1042" s="240" t="s">
        <v>343</v>
      </c>
      <c r="C1042" s="78"/>
      <c r="D1042" s="58"/>
      <c r="E1042" s="58"/>
      <c r="F1042" s="58"/>
      <c r="G1042" s="58"/>
      <c r="H1042" s="58"/>
      <c r="I1042" s="58"/>
      <c r="J1042" s="184"/>
      <c r="K1042" s="301" t="s">
        <v>27</v>
      </c>
      <c r="L1042" s="301" t="s">
        <v>313</v>
      </c>
      <c r="M1042" s="301" t="s">
        <v>91</v>
      </c>
      <c r="N1042" s="301" t="s">
        <v>315</v>
      </c>
      <c r="O1042" s="241" t="s">
        <v>316</v>
      </c>
      <c r="P1042" s="241" t="s">
        <v>312</v>
      </c>
      <c r="Q1042" s="184"/>
    </row>
    <row r="1043" spans="1:36" s="380" customFormat="1" ht="15" hidden="1">
      <c r="A1043" s="399"/>
      <c r="B1043" s="240" t="s">
        <v>728</v>
      </c>
      <c r="C1043" s="390">
        <v>15</v>
      </c>
      <c r="D1043" s="387"/>
      <c r="E1043" s="387"/>
      <c r="F1043" s="387"/>
      <c r="G1043" s="387"/>
      <c r="H1043" s="387"/>
      <c r="I1043" s="387"/>
      <c r="J1043" s="384"/>
      <c r="K1043" s="427" t="s">
        <v>27</v>
      </c>
      <c r="L1043" s="427" t="s">
        <v>313</v>
      </c>
      <c r="M1043" s="427" t="s">
        <v>32</v>
      </c>
      <c r="N1043" s="427" t="s">
        <v>315</v>
      </c>
      <c r="O1043" s="241">
        <f>C1043</f>
        <v>15</v>
      </c>
      <c r="P1043" s="241"/>
      <c r="Q1043" s="384"/>
    </row>
    <row r="1044" spans="1:36" s="175" customFormat="1" ht="15" hidden="1">
      <c r="A1044" s="130"/>
      <c r="B1044" s="293" t="s">
        <v>589</v>
      </c>
      <c r="C1044" s="390">
        <v>5000</v>
      </c>
      <c r="D1044" s="58"/>
      <c r="E1044" s="58"/>
      <c r="F1044" s="58"/>
      <c r="G1044" s="58"/>
      <c r="H1044" s="58"/>
      <c r="I1044" s="58"/>
      <c r="J1044" s="184"/>
      <c r="K1044" s="301" t="s">
        <v>27</v>
      </c>
      <c r="L1044" s="301" t="s">
        <v>42</v>
      </c>
      <c r="M1044" s="216" t="s">
        <v>60</v>
      </c>
      <c r="N1044" s="247" t="str">
        <f>B1044</f>
        <v>Going Off Load…</v>
      </c>
      <c r="O1044" s="210">
        <f>C1044</f>
        <v>5000</v>
      </c>
      <c r="P1044" s="184"/>
      <c r="Q1044" s="184"/>
    </row>
    <row r="1045" spans="1:36" s="175" customFormat="1" ht="15.75" hidden="1" thickBot="1">
      <c r="A1045" s="130"/>
      <c r="B1045" s="240" t="s">
        <v>471</v>
      </c>
      <c r="C1045" s="78">
        <v>5</v>
      </c>
      <c r="D1045" s="58"/>
      <c r="E1045" s="455"/>
      <c r="F1045" s="58"/>
      <c r="G1045" s="58"/>
      <c r="H1045" s="58"/>
      <c r="I1045" s="58"/>
      <c r="J1045" s="184"/>
      <c r="K1045" s="301" t="s">
        <v>27</v>
      </c>
      <c r="L1045" s="301" t="s">
        <v>318</v>
      </c>
      <c r="M1045" s="301" t="s">
        <v>55</v>
      </c>
      <c r="N1045" s="301" t="s">
        <v>33</v>
      </c>
      <c r="O1045" s="241">
        <f>C1045</f>
        <v>5</v>
      </c>
      <c r="P1045" s="241"/>
      <c r="Q1045" s="184"/>
    </row>
    <row r="1046" spans="1:36" s="175" customFormat="1" ht="15" hidden="1" customHeight="1" thickBot="1">
      <c r="A1046" s="132" cm="1">
        <f t="array" ref="A1046">SSATSLineNumbers(A1046,0.01)</f>
        <v>6.11</v>
      </c>
      <c r="B1046" s="244" t="s">
        <v>569</v>
      </c>
      <c r="C1046" s="66">
        <v>2000</v>
      </c>
      <c r="D1046" s="84"/>
      <c r="E1046" s="457" t="str">
        <f>IF(E1045="","[AUTO]",E1045*T1046)</f>
        <v>[AUTO]</v>
      </c>
      <c r="F1046" s="58"/>
      <c r="G1046" s="58"/>
      <c r="H1046" s="58"/>
      <c r="I1046" s="58"/>
      <c r="J1046" s="184"/>
      <c r="K1046" s="301" t="s">
        <v>80</v>
      </c>
      <c r="L1046" s="184"/>
      <c r="M1046" s="184"/>
      <c r="N1046" s="184"/>
      <c r="O1046" s="184"/>
      <c r="P1046" s="245">
        <f ca="1">C1046+(INDEX(tblProductScalesMeasures[Min],MATCH(_xlfn.CONCAT(B1046),tblProductScalesMeasures[Description],0)))</f>
        <v>1980</v>
      </c>
      <c r="Q1046" s="245">
        <f ca="1">C1046+(INDEX(tblProductScalesMeasures[Max],MATCH(_xlfn.CONCAT(B1046),tblProductScalesMeasures[Description],0)))</f>
        <v>2020</v>
      </c>
      <c r="R1046" s="245" t="str">
        <f ca="1">(INDEX(tblProductScalesMeasures[Unit],MATCH(_xlfn.CONCAT(B1046),tblProductScalesMeasures[Description],0)))</f>
        <v>V</v>
      </c>
      <c r="S1046" s="177"/>
      <c r="T1046" s="245">
        <f ca="1">IF(COUNTIF(tblExempt[],R1046)&gt;0,0,INDEX(tblScaling[Divider],MATCH(_xlfn.CONCAT(IF(ISNUMBER(SEARCH(" ",section_6_heading))=FALSE,SUBSTITUTE(section_6_heading," ",""),"")," ",R1046),tblScaling[Description],0)))</f>
        <v>10000</v>
      </c>
    </row>
    <row r="1047" spans="1:36" s="45" customFormat="1" ht="16.5" hidden="1" customHeight="1" thickBot="1">
      <c r="A1047" s="132" cm="1">
        <f t="array" ref="A1047">SSATSLineNumbers(A1047,0.01)</f>
        <v>6.12</v>
      </c>
      <c r="B1047" s="244" t="str">
        <f ca="1">ATE_Settings!Y105</f>
        <v>SUP Load Regulation Pos (V)</v>
      </c>
      <c r="C1047" s="243"/>
      <c r="D1047" s="84"/>
      <c r="E1047" s="457" t="str">
        <f>IF(OR(E1046="[AUTO]",E1041="[AUTO]")=TRUE,"[AUTO]",E1041-E1046)</f>
        <v>[AUTO]</v>
      </c>
      <c r="F1047" s="86">
        <f t="shared" ref="F1047" ca="1" si="13">P1047</f>
        <v>-0.2</v>
      </c>
      <c r="G1047" s="86">
        <f t="shared" ref="G1047" ca="1" si="14">Q1047</f>
        <v>0.2</v>
      </c>
      <c r="H1047" s="86" t="str">
        <f t="shared" ref="H1047" ca="1" si="15">R1047</f>
        <v>V</v>
      </c>
      <c r="I1047" s="59" t="str">
        <f>IF(E1047 ="[AUTO]","TBC", IF(AND(E1047&gt;=F1047,E1047&lt;=G1047 ),"Pass","Fail"))</f>
        <v>TBC</v>
      </c>
      <c r="J1047" s="184"/>
      <c r="K1047" s="301" t="s">
        <v>80</v>
      </c>
      <c r="L1047" s="301"/>
      <c r="M1047" s="301"/>
      <c r="N1047" s="301"/>
      <c r="O1047" s="184"/>
      <c r="P1047" s="245">
        <f ca="1">C1047+(INDEX(tblProductScalesMeasures[Min],MATCH(_xlfn.CONCAT(B1047),tblProductScalesMeasures[Description],0)))</f>
        <v>-0.2</v>
      </c>
      <c r="Q1047" s="245">
        <f ca="1">C1047+(INDEX(tblProductScalesMeasures[Max],MATCH(_xlfn.CONCAT(B1047),tblProductScalesMeasures[Description],0)))</f>
        <v>0.2</v>
      </c>
      <c r="R1047" s="245" t="str">
        <f ca="1">(INDEX(tblProductScalesMeasures[Unit],MATCH(_xlfn.CONCAT(B1047),tblProductScalesMeasures[Description],0)))</f>
        <v>V</v>
      </c>
      <c r="S1047" s="177"/>
      <c r="T1047" s="245">
        <f ca="1">IF(COUNTIF(tblExempt[],R1047)&gt;0,0,INDEX(tblScaling[Divider],MATCH(_xlfn.CONCAT(IF(ISNUMBER(SEARCH(" ",section_3_heading))=TRUE,SUBSTITUTE(section_3_heading," ",""),"")," ",R1047),tblScaling[Description],0)))</f>
        <v>10000</v>
      </c>
      <c r="U1047" s="177"/>
      <c r="V1047" s="177"/>
      <c r="W1047" s="177"/>
      <c r="X1047" s="177"/>
      <c r="Y1047" s="177"/>
      <c r="Z1047" s="177"/>
      <c r="AA1047" s="177"/>
      <c r="AB1047" s="177"/>
      <c r="AC1047" s="177"/>
      <c r="AD1047" s="177"/>
      <c r="AE1047" s="177"/>
      <c r="AF1047" s="177"/>
      <c r="AG1047" s="177"/>
      <c r="AH1047" s="177"/>
      <c r="AI1047" s="177"/>
      <c r="AJ1047" s="177"/>
    </row>
    <row r="1048" spans="1:36" s="180" customFormat="1" ht="16.5" hidden="1" customHeight="1" thickBot="1">
      <c r="A1048" s="133"/>
      <c r="B1048" s="237" t="s">
        <v>70</v>
      </c>
      <c r="C1048" s="57"/>
      <c r="D1048" s="57"/>
      <c r="E1048" s="80"/>
      <c r="F1048" s="57"/>
      <c r="G1048" s="57"/>
      <c r="H1048" s="57"/>
      <c r="I1048" s="57"/>
      <c r="J1048" s="184"/>
      <c r="K1048" s="116" t="s">
        <v>27</v>
      </c>
      <c r="L1048" s="116" t="s">
        <v>42</v>
      </c>
      <c r="M1048" s="116" t="s">
        <v>129</v>
      </c>
      <c r="N1048" s="116" t="str">
        <f ca="1">SUBSTITUTE(CELL("address",K1034),"$","")</f>
        <v>K1034</v>
      </c>
      <c r="O1048" s="116" t="s">
        <v>130</v>
      </c>
      <c r="P1048" s="228" t="s">
        <v>75</v>
      </c>
      <c r="Q1048" s="250" t="str">
        <f ca="1">INDEX(tblGoSubRoutineStartCell[StartCell],MATCH(B1048,tblGoSubRoutineStartCell[GoSub Routine],0))</f>
        <v>K56</v>
      </c>
      <c r="R1048" s="184"/>
      <c r="S1048" s="178"/>
      <c r="T1048" s="178"/>
      <c r="U1048" s="178"/>
      <c r="V1048" s="178"/>
      <c r="W1048" s="178"/>
      <c r="X1048" s="178"/>
      <c r="Y1048" s="178"/>
      <c r="Z1048" s="178"/>
      <c r="AA1048" s="178"/>
      <c r="AB1048" s="178"/>
      <c r="AC1048" s="178"/>
      <c r="AD1048" s="178"/>
      <c r="AE1048" s="178"/>
      <c r="AF1048" s="178"/>
      <c r="AG1048" s="178"/>
      <c r="AH1048" s="178"/>
      <c r="AI1048" s="178"/>
      <c r="AJ1048" s="178"/>
    </row>
    <row r="1049" spans="1:36" s="180" customFormat="1" ht="15.75" hidden="1" thickBot="1">
      <c r="A1049" s="130"/>
      <c r="B1049" s="84"/>
      <c r="C1049" s="78"/>
      <c r="D1049" s="58"/>
      <c r="E1049" s="58"/>
      <c r="F1049" s="58"/>
      <c r="G1049" s="58"/>
      <c r="H1049" s="58"/>
      <c r="I1049" s="58"/>
      <c r="J1049" s="184"/>
      <c r="K1049" s="301" t="s">
        <v>80</v>
      </c>
      <c r="L1049" s="184"/>
      <c r="M1049" s="184"/>
      <c r="N1049" s="184"/>
      <c r="O1049" s="184"/>
      <c r="R1049" s="178"/>
      <c r="S1049" s="178"/>
      <c r="T1049" s="178"/>
      <c r="U1049" s="178"/>
      <c r="V1049" s="178"/>
      <c r="W1049" s="178"/>
      <c r="X1049" s="178"/>
      <c r="Y1049" s="178"/>
      <c r="Z1049" s="178"/>
      <c r="AA1049" s="178"/>
      <c r="AB1049" s="178"/>
      <c r="AC1049" s="178"/>
      <c r="AD1049" s="178"/>
      <c r="AE1049" s="178"/>
      <c r="AF1049" s="178"/>
      <c r="AG1049" s="178"/>
      <c r="AH1049" s="178"/>
      <c r="AI1049" s="178"/>
      <c r="AJ1049" s="178"/>
    </row>
    <row r="1050" spans="1:36" s="175" customFormat="1" ht="20.25" hidden="1" customHeight="1" thickBot="1">
      <c r="A1050" s="321"/>
      <c r="B1050" s="322"/>
      <c r="C1050" s="322"/>
      <c r="D1050" s="324" t="s">
        <v>445</v>
      </c>
      <c r="E1050" s="322"/>
      <c r="F1050" s="322"/>
      <c r="G1050" s="322"/>
      <c r="H1050" s="322"/>
      <c r="I1050" s="323"/>
      <c r="J1050" s="184"/>
      <c r="K1050" s="89" t="s">
        <v>80</v>
      </c>
      <c r="L1050" s="184"/>
      <c r="M1050" s="184"/>
      <c r="N1050" s="184"/>
      <c r="O1050" s="184"/>
      <c r="P1050" s="184"/>
      <c r="Q1050" s="184"/>
    </row>
    <row r="1051" spans="1:36" s="180" customFormat="1" ht="15.75" hidden="1" thickBot="1">
      <c r="A1051" s="130"/>
      <c r="B1051" s="84"/>
      <c r="C1051" s="78"/>
      <c r="D1051" s="58"/>
      <c r="E1051" s="58"/>
      <c r="F1051" s="58"/>
      <c r="G1051" s="58"/>
      <c r="H1051" s="58"/>
      <c r="I1051" s="58"/>
      <c r="J1051" s="184"/>
      <c r="K1051" s="301" t="s">
        <v>80</v>
      </c>
      <c r="L1051" s="184"/>
      <c r="M1051" s="184"/>
      <c r="N1051" s="184"/>
      <c r="O1051" s="184"/>
      <c r="R1051" s="178"/>
      <c r="S1051" s="178"/>
      <c r="T1051" s="178"/>
      <c r="U1051" s="178"/>
      <c r="V1051" s="178"/>
      <c r="W1051" s="178"/>
      <c r="X1051" s="178"/>
      <c r="Y1051" s="178"/>
      <c r="Z1051" s="178"/>
      <c r="AA1051" s="178"/>
      <c r="AB1051" s="178"/>
      <c r="AC1051" s="178"/>
      <c r="AD1051" s="178"/>
      <c r="AE1051" s="178"/>
      <c r="AF1051" s="178"/>
      <c r="AG1051" s="178"/>
      <c r="AH1051" s="178"/>
      <c r="AI1051" s="178"/>
      <c r="AJ1051" s="178"/>
    </row>
    <row r="1052" spans="1:36" s="175" customFormat="1" ht="15.75" hidden="1" thickBot="1">
      <c r="A1052" s="130"/>
      <c r="B1052" s="332" t="s">
        <v>188</v>
      </c>
      <c r="C1052" s="58"/>
      <c r="D1052" s="58"/>
      <c r="E1052" s="58"/>
      <c r="F1052" s="58"/>
      <c r="G1052" s="58"/>
      <c r="H1052" s="58"/>
      <c r="I1052" s="58"/>
      <c r="J1052" s="331"/>
      <c r="K1052" s="331" t="s">
        <v>77</v>
      </c>
      <c r="L1052" s="331" t="s">
        <v>75</v>
      </c>
      <c r="M1052" s="238" t="s">
        <v>437</v>
      </c>
      <c r="N1052" s="184"/>
      <c r="O1052" s="184"/>
      <c r="P1052" s="184"/>
      <c r="Q1052" s="184"/>
    </row>
    <row r="1053" spans="1:36" s="175" customFormat="1" ht="15" hidden="1">
      <c r="A1053" s="130"/>
      <c r="B1053" s="240" t="s">
        <v>343</v>
      </c>
      <c r="C1053" s="78"/>
      <c r="D1053" s="58"/>
      <c r="E1053" s="58"/>
      <c r="F1053" s="58"/>
      <c r="G1053" s="58"/>
      <c r="H1053" s="58"/>
      <c r="I1053" s="58"/>
      <c r="J1053" s="184"/>
      <c r="K1053" s="331" t="s">
        <v>27</v>
      </c>
      <c r="L1053" s="331" t="s">
        <v>313</v>
      </c>
      <c r="M1053" s="331" t="s">
        <v>91</v>
      </c>
      <c r="N1053" s="331" t="s">
        <v>315</v>
      </c>
      <c r="O1053" s="241" t="s">
        <v>316</v>
      </c>
      <c r="P1053" s="241" t="s">
        <v>312</v>
      </c>
      <c r="Q1053" s="184"/>
    </row>
    <row r="1054" spans="1:36" s="175" customFormat="1" ht="15" hidden="1">
      <c r="A1054" s="130"/>
      <c r="B1054" s="240" t="s">
        <v>559</v>
      </c>
      <c r="C1054" s="78">
        <v>11</v>
      </c>
      <c r="D1054" s="58"/>
      <c r="E1054" s="58"/>
      <c r="F1054" s="58"/>
      <c r="G1054" s="58"/>
      <c r="H1054" s="58"/>
      <c r="I1054" s="58"/>
      <c r="J1054" s="184"/>
      <c r="K1054" s="241" t="str">
        <f>_xlfn.CONCAT("734|GND|REG1|DEC(",C1054,")")</f>
        <v>734|GND|REG1|DEC(11)</v>
      </c>
      <c r="L1054" s="331"/>
      <c r="M1054" s="331"/>
      <c r="N1054" s="331"/>
      <c r="O1054" s="241"/>
      <c r="P1054" s="241"/>
      <c r="Q1054" s="184"/>
    </row>
    <row r="1055" spans="1:36" s="175" customFormat="1" ht="15" hidden="1">
      <c r="A1055" s="130"/>
      <c r="B1055" s="240" t="s">
        <v>567</v>
      </c>
      <c r="C1055" s="78" t="s">
        <v>727</v>
      </c>
      <c r="D1055" s="58"/>
      <c r="E1055" s="58"/>
      <c r="F1055" s="58"/>
      <c r="G1055" s="58"/>
      <c r="H1055" s="58"/>
      <c r="I1055" s="58"/>
      <c r="J1055" s="184"/>
      <c r="K1055" s="331" t="s">
        <v>27</v>
      </c>
      <c r="L1055" s="331" t="s">
        <v>313</v>
      </c>
      <c r="M1055" s="331" t="s">
        <v>32</v>
      </c>
      <c r="N1055" s="331" t="s">
        <v>315</v>
      </c>
      <c r="O1055" s="241" t="str">
        <f>C1055</f>
        <v>13,15</v>
      </c>
      <c r="P1055" s="241"/>
      <c r="Q1055" s="184"/>
    </row>
    <row r="1056" spans="1:36" s="175" customFormat="1" ht="15" hidden="1">
      <c r="A1056" s="130"/>
      <c r="B1056" s="240" t="s">
        <v>563</v>
      </c>
      <c r="C1056" s="78">
        <v>2000</v>
      </c>
      <c r="D1056" s="58"/>
      <c r="E1056" s="58"/>
      <c r="F1056" s="58"/>
      <c r="G1056" s="58"/>
      <c r="H1056" s="58"/>
      <c r="I1056" s="58"/>
      <c r="J1056" s="184"/>
      <c r="K1056" s="241" t="str">
        <f>_xlfn.CONCAT("734|FLOAT|OUT3|FLT(",C1056,")")</f>
        <v>734|FLOAT|OUT3|FLT(2000)</v>
      </c>
      <c r="L1056" s="331"/>
      <c r="M1056" s="331"/>
      <c r="N1056" s="331"/>
      <c r="O1056" s="241"/>
      <c r="P1056" s="241"/>
      <c r="Q1056" s="184"/>
    </row>
    <row r="1057" spans="1:36" s="175" customFormat="1" ht="15.75" hidden="1" thickBot="1">
      <c r="A1057" s="130"/>
      <c r="B1057" s="253" t="s">
        <v>523</v>
      </c>
      <c r="C1057" s="390">
        <v>2000</v>
      </c>
      <c r="D1057" s="58"/>
      <c r="E1057" s="58"/>
      <c r="F1057" s="58"/>
      <c r="G1057" s="58"/>
      <c r="H1057" s="58"/>
      <c r="I1057" s="58"/>
      <c r="J1057" s="184"/>
      <c r="K1057" s="331" t="s">
        <v>27</v>
      </c>
      <c r="L1057" s="331" t="s">
        <v>42</v>
      </c>
      <c r="M1057" s="216" t="s">
        <v>60</v>
      </c>
      <c r="N1057" s="247" t="str">
        <f>B1057</f>
        <v>Settling…</v>
      </c>
      <c r="O1057" s="210">
        <f>C1057</f>
        <v>2000</v>
      </c>
      <c r="P1057" s="184"/>
      <c r="Q1057" s="184"/>
    </row>
    <row r="1058" spans="1:36" s="175" customFormat="1" ht="15.75" hidden="1" thickBot="1">
      <c r="A1058" s="130"/>
      <c r="B1058" s="255" t="s">
        <v>70</v>
      </c>
      <c r="C1058" s="78"/>
      <c r="D1058" s="58"/>
      <c r="E1058" s="58"/>
      <c r="F1058" s="58"/>
      <c r="G1058" s="58"/>
      <c r="H1058" s="58"/>
      <c r="I1058" s="58"/>
      <c r="J1058" s="184"/>
      <c r="K1058" s="116" t="s">
        <v>27</v>
      </c>
      <c r="L1058" s="116" t="s">
        <v>42</v>
      </c>
      <c r="M1058" s="116" t="s">
        <v>129</v>
      </c>
      <c r="N1058" s="116" t="str">
        <f ca="1">SUBSTITUTE(CELL("address",K1052),"$","")</f>
        <v>K1052</v>
      </c>
      <c r="O1058" s="116" t="s">
        <v>130</v>
      </c>
      <c r="P1058" s="228" t="s">
        <v>75</v>
      </c>
      <c r="Q1058" s="185" t="str">
        <f ca="1">INDEX(tblGoSubRoutineStartCell[StartCell],MATCH(B1058,tblGoSubRoutineStartCell[GoSub Routine],0))</f>
        <v>K56</v>
      </c>
    </row>
    <row r="1059" spans="1:36" s="380" customFormat="1" ht="15.75" hidden="1" customHeight="1" thickBot="1">
      <c r="A1059" s="399"/>
      <c r="B1059" s="240" t="s">
        <v>335</v>
      </c>
      <c r="C1059" s="390"/>
      <c r="D1059" s="387"/>
      <c r="E1059" s="459"/>
      <c r="F1059" s="387"/>
      <c r="G1059" s="387"/>
      <c r="H1059" s="387"/>
      <c r="I1059" s="387"/>
      <c r="J1059" s="384"/>
      <c r="K1059" s="426" t="s">
        <v>27</v>
      </c>
      <c r="L1059" s="426" t="s">
        <v>319</v>
      </c>
      <c r="M1059" s="426" t="s">
        <v>55</v>
      </c>
      <c r="N1059" s="241" t="s">
        <v>310</v>
      </c>
      <c r="O1059" s="384"/>
      <c r="P1059" s="384"/>
      <c r="Q1059" s="384"/>
    </row>
    <row r="1060" spans="1:36" s="175" customFormat="1" ht="16.5" hidden="1" customHeight="1" thickBot="1">
      <c r="A1060" s="132" cm="1">
        <f t="array" ref="A1060">SSATSLineNumbers(A1060,0.01)</f>
        <v>6.13</v>
      </c>
      <c r="B1060" s="244" t="s">
        <v>733</v>
      </c>
      <c r="C1060" s="84"/>
      <c r="D1060" s="211"/>
      <c r="E1060" s="458" t="str">
        <f>IF(E1059="","[AUTO]",(E1059*T1060))</f>
        <v>[AUTO]</v>
      </c>
      <c r="F1060" s="212">
        <f ca="1">P1060</f>
        <v>70</v>
      </c>
      <c r="G1060" s="86">
        <f ca="1">Q1060</f>
        <v>80</v>
      </c>
      <c r="H1060" s="86" t="str">
        <f ca="1">R1060</f>
        <v>uA</v>
      </c>
      <c r="I1060" s="59" t="str">
        <f>IF(E1060 ="[AUTO]","TBC", IF(AND(E1060&gt;=F1060,E1060&lt;=G1060 ),"Pass","Fail"))</f>
        <v>TBC</v>
      </c>
      <c r="J1060" s="184"/>
      <c r="K1060" s="331" t="s">
        <v>80</v>
      </c>
      <c r="L1060" s="184"/>
      <c r="M1060" s="184"/>
      <c r="N1060" s="184"/>
      <c r="O1060" s="184"/>
      <c r="P1060" s="245">
        <f ca="1">C1060+(INDEX(tblProductScalesMeasures[Min],MATCH(_xlfn.CONCAT(B1060),tblProductScalesMeasures[Description],0)))</f>
        <v>70</v>
      </c>
      <c r="Q1060" s="245">
        <f ca="1">C1060+(INDEX(tblProductScalesMeasures[Max],MATCH(_xlfn.CONCAT(B1060),tblProductScalesMeasures[Description],0)))</f>
        <v>80</v>
      </c>
      <c r="R1060" s="245" t="str">
        <f ca="1">(INDEX(tblProductScalesMeasures[Unit],MATCH(_xlfn.CONCAT(B1060),tblProductScalesMeasures[Description],0)))</f>
        <v>uA</v>
      </c>
      <c r="S1060" s="177"/>
      <c r="T1060" s="245">
        <f ca="1">IF(COUNTIF(tblExempt[],R1060)&gt;0,0,INDEX(tblScaling[Divider],MATCH(_xlfn.CONCAT(IF(ISNUMBER(SEARCH(" ",section_3_heading))=TRUE,SUBSTITUTE(section_3_heading," ",""),"")," ",R1060),tblScaling[Description],0)))</f>
        <v>1000000</v>
      </c>
      <c r="U1060" s="184"/>
    </row>
    <row r="1061" spans="1:36" s="180" customFormat="1" ht="16.5" hidden="1" customHeight="1" thickBot="1">
      <c r="A1061" s="133"/>
      <c r="B1061" s="237" t="s">
        <v>70</v>
      </c>
      <c r="C1061" s="57"/>
      <c r="D1061" s="57"/>
      <c r="E1061" s="464"/>
      <c r="F1061" s="57"/>
      <c r="G1061" s="57"/>
      <c r="H1061" s="57"/>
      <c r="I1061" s="57"/>
      <c r="J1061" s="184"/>
      <c r="K1061" s="116" t="s">
        <v>27</v>
      </c>
      <c r="L1061" s="116" t="s">
        <v>42</v>
      </c>
      <c r="M1061" s="116" t="s">
        <v>129</v>
      </c>
      <c r="N1061" s="116" t="str">
        <f ca="1">SUBSTITUTE(CELL("address",K1059),"$","")</f>
        <v>K1059</v>
      </c>
      <c r="O1061" s="116" t="s">
        <v>130</v>
      </c>
      <c r="P1061" s="228" t="s">
        <v>75</v>
      </c>
      <c r="Q1061" s="250" t="str">
        <f ca="1">INDEX(tblGoSubRoutineStartCell[StartCell],MATCH(B1061,tblGoSubRoutineStartCell[GoSub Routine],0))</f>
        <v>K56</v>
      </c>
      <c r="R1061" s="184"/>
      <c r="S1061" s="178"/>
      <c r="T1061" s="178"/>
      <c r="U1061" s="178"/>
      <c r="V1061" s="178"/>
      <c r="W1061" s="178"/>
      <c r="X1061" s="178"/>
      <c r="Y1061" s="178"/>
      <c r="Z1061" s="178"/>
      <c r="AA1061" s="178"/>
      <c r="AB1061" s="178"/>
      <c r="AC1061" s="178"/>
      <c r="AD1061" s="178"/>
      <c r="AE1061" s="178"/>
      <c r="AF1061" s="178"/>
      <c r="AG1061" s="178"/>
      <c r="AH1061" s="178"/>
      <c r="AI1061" s="178"/>
      <c r="AJ1061" s="178"/>
    </row>
    <row r="1062" spans="1:36" s="175" customFormat="1" ht="29.25" hidden="1" customHeight="1">
      <c r="A1062" s="131"/>
      <c r="B1062" s="249" t="s">
        <v>549</v>
      </c>
      <c r="C1062" s="113"/>
      <c r="D1062" s="113"/>
      <c r="E1062" s="465"/>
      <c r="F1062" s="113"/>
      <c r="G1062" s="113"/>
      <c r="H1062" s="113"/>
      <c r="I1062" s="113"/>
      <c r="J1062" s="184"/>
      <c r="K1062" s="331" t="s">
        <v>82</v>
      </c>
      <c r="L1062" s="89" t="str">
        <f>B1062</f>
        <v>Please press the "Reset" button on the GUI.</v>
      </c>
      <c r="M1062" s="331"/>
      <c r="N1062" s="184"/>
      <c r="O1062" s="184"/>
      <c r="P1062" s="184"/>
      <c r="Q1062" s="184"/>
    </row>
    <row r="1063" spans="1:36" s="175" customFormat="1" ht="15" hidden="1">
      <c r="A1063" s="130"/>
      <c r="B1063" s="240" t="s">
        <v>343</v>
      </c>
      <c r="C1063" s="78"/>
      <c r="D1063" s="58"/>
      <c r="E1063" s="466"/>
      <c r="F1063" s="58"/>
      <c r="G1063" s="58"/>
      <c r="H1063" s="58"/>
      <c r="I1063" s="58"/>
      <c r="J1063" s="184"/>
      <c r="K1063" s="301" t="s">
        <v>27</v>
      </c>
      <c r="L1063" s="301" t="s">
        <v>313</v>
      </c>
      <c r="M1063" s="301" t="s">
        <v>91</v>
      </c>
      <c r="N1063" s="301" t="s">
        <v>315</v>
      </c>
      <c r="O1063" s="241" t="s">
        <v>316</v>
      </c>
      <c r="P1063" s="241" t="s">
        <v>312</v>
      </c>
      <c r="Q1063" s="184"/>
    </row>
    <row r="1064" spans="1:36" s="175" customFormat="1" ht="15" hidden="1">
      <c r="A1064" s="130"/>
      <c r="B1064" s="240" t="s">
        <v>559</v>
      </c>
      <c r="C1064" s="78">
        <v>11</v>
      </c>
      <c r="D1064" s="58"/>
      <c r="E1064" s="466"/>
      <c r="F1064" s="58"/>
      <c r="G1064" s="58"/>
      <c r="H1064" s="58"/>
      <c r="I1064" s="58"/>
      <c r="J1064" s="184"/>
      <c r="K1064" s="241" t="str">
        <f>_xlfn.CONCAT("734|GND|REG1|DEC(",C1064,")")</f>
        <v>734|GND|REG1|DEC(11)</v>
      </c>
      <c r="L1064" s="301"/>
      <c r="M1064" s="301"/>
      <c r="N1064" s="301"/>
      <c r="O1064" s="241"/>
      <c r="P1064" s="241"/>
      <c r="Q1064" s="184"/>
    </row>
    <row r="1065" spans="1:36" s="175" customFormat="1" ht="15" hidden="1">
      <c r="A1065" s="130"/>
      <c r="B1065" s="240" t="s">
        <v>568</v>
      </c>
      <c r="C1065" s="78" t="s">
        <v>726</v>
      </c>
      <c r="D1065" s="58"/>
      <c r="E1065" s="466"/>
      <c r="F1065" s="58"/>
      <c r="G1065" s="58"/>
      <c r="H1065" s="58"/>
      <c r="I1065" s="58"/>
      <c r="J1065" s="184"/>
      <c r="K1065" s="301" t="s">
        <v>27</v>
      </c>
      <c r="L1065" s="301" t="s">
        <v>313</v>
      </c>
      <c r="M1065" s="301" t="s">
        <v>32</v>
      </c>
      <c r="N1065" s="301" t="s">
        <v>315</v>
      </c>
      <c r="O1065" s="241" t="str">
        <f>C1065</f>
        <v>12,15</v>
      </c>
      <c r="P1065" s="241"/>
      <c r="Q1065" s="184"/>
    </row>
    <row r="1066" spans="1:36" s="175" customFormat="1" ht="15" hidden="1">
      <c r="A1066" s="130"/>
      <c r="B1066" s="240" t="s">
        <v>563</v>
      </c>
      <c r="C1066" s="78">
        <v>-1960</v>
      </c>
      <c r="D1066" s="58"/>
      <c r="E1066" s="466"/>
      <c r="F1066" s="58"/>
      <c r="G1066" s="58"/>
      <c r="H1066" s="58"/>
      <c r="I1066" s="58"/>
      <c r="J1066" s="184"/>
      <c r="K1066" s="241" t="str">
        <f>_xlfn.CONCAT("734|FLOAT|OUT3|FLT(",C1066,")")</f>
        <v>734|FLOAT|OUT3|FLT(-1960)</v>
      </c>
      <c r="L1066" s="301"/>
      <c r="M1066" s="301"/>
      <c r="N1066" s="301"/>
      <c r="O1066" s="241"/>
      <c r="P1066" s="241"/>
      <c r="Q1066" s="184"/>
    </row>
    <row r="1067" spans="1:36" s="175" customFormat="1" ht="15" hidden="1">
      <c r="A1067" s="130"/>
      <c r="B1067" s="293" t="s">
        <v>564</v>
      </c>
      <c r="C1067" s="390">
        <v>2000</v>
      </c>
      <c r="D1067" s="58"/>
      <c r="E1067" s="466"/>
      <c r="F1067" s="58"/>
      <c r="G1067" s="58"/>
      <c r="H1067" s="58"/>
      <c r="I1067" s="58"/>
      <c r="J1067" s="184"/>
      <c r="K1067" s="301" t="s">
        <v>27</v>
      </c>
      <c r="L1067" s="301" t="s">
        <v>42</v>
      </c>
      <c r="M1067" s="216" t="s">
        <v>60</v>
      </c>
      <c r="N1067" s="247" t="str">
        <f>B1067</f>
        <v xml:space="preserve">Supressor Initialising… </v>
      </c>
      <c r="O1067" s="210">
        <f>C1067</f>
        <v>2000</v>
      </c>
      <c r="P1067" s="184"/>
      <c r="Q1067" s="184"/>
    </row>
    <row r="1068" spans="1:36" s="175" customFormat="1" ht="15.75" hidden="1" thickBot="1">
      <c r="A1068" s="130"/>
      <c r="B1068" s="240" t="s">
        <v>471</v>
      </c>
      <c r="C1068" s="78">
        <v>5</v>
      </c>
      <c r="D1068" s="58"/>
      <c r="E1068" s="455"/>
      <c r="F1068" s="58"/>
      <c r="G1068" s="58"/>
      <c r="H1068" s="58"/>
      <c r="I1068" s="58"/>
      <c r="J1068" s="184"/>
      <c r="K1068" s="301" t="s">
        <v>27</v>
      </c>
      <c r="L1068" s="301" t="s">
        <v>318</v>
      </c>
      <c r="M1068" s="301" t="s">
        <v>55</v>
      </c>
      <c r="N1068" s="301" t="s">
        <v>33</v>
      </c>
      <c r="O1068" s="241">
        <f>C1068</f>
        <v>5</v>
      </c>
      <c r="P1068" s="241"/>
      <c r="Q1068" s="184"/>
    </row>
    <row r="1069" spans="1:36" s="175" customFormat="1" ht="15" hidden="1" customHeight="1" thickBot="1">
      <c r="A1069" s="132" cm="1">
        <f t="array" ref="A1069">SSATSLineNumbers(A1069,0.01)</f>
        <v>6.14</v>
      </c>
      <c r="B1069" s="244" t="s">
        <v>571</v>
      </c>
      <c r="C1069" s="66">
        <v>-1960</v>
      </c>
      <c r="D1069" s="84"/>
      <c r="E1069" s="457" t="str">
        <f>IF(E1068="","[AUTO]",E1068*T1069)</f>
        <v>[AUTO]</v>
      </c>
      <c r="F1069" s="86">
        <f ca="1">P1069</f>
        <v>-1980</v>
      </c>
      <c r="G1069" s="86">
        <f ca="1">Q1069</f>
        <v>-1940</v>
      </c>
      <c r="H1069" s="86" t="str">
        <f ca="1">R1069</f>
        <v>V</v>
      </c>
      <c r="I1069" s="59" t="str">
        <f>IF(E1069 ="[AUTO]","TBC", IF(AND(E1069&gt;=F1069,E1069&lt;=G1069 ),"Pass","Fail"))</f>
        <v>TBC</v>
      </c>
      <c r="J1069" s="184"/>
      <c r="K1069" s="301" t="s">
        <v>80</v>
      </c>
      <c r="L1069" s="184"/>
      <c r="M1069" s="184"/>
      <c r="N1069" s="184"/>
      <c r="O1069" s="184"/>
      <c r="P1069" s="245">
        <f ca="1">C1069+(INDEX(tblProductScalesMeasures[Min],MATCH(_xlfn.CONCAT(B1069),tblProductScalesMeasures[Description],0)))</f>
        <v>-1980</v>
      </c>
      <c r="Q1069" s="245">
        <f ca="1">C1069+(INDEX(tblProductScalesMeasures[Max],MATCH(_xlfn.CONCAT(B1069),tblProductScalesMeasures[Description],0)))</f>
        <v>-1940</v>
      </c>
      <c r="R1069" s="245" t="str">
        <f ca="1">(INDEX(tblProductScalesMeasures[Unit],MATCH(_xlfn.CONCAT(B1069),tblProductScalesMeasures[Description],0)))</f>
        <v>V</v>
      </c>
      <c r="S1069" s="177"/>
      <c r="T1069" s="245">
        <f ca="1">IF(COUNTIF(tblExempt[],R1069)&gt;0,0,INDEX(tblScaling[Divider],MATCH(_xlfn.CONCAT(IF(ISNUMBER(SEARCH(" ",section_6_heading))=FALSE,SUBSTITUTE(section_6_heading," ",""),"")," ",R1069),tblScaling[Description],0)))</f>
        <v>10000</v>
      </c>
    </row>
    <row r="1070" spans="1:36" s="180" customFormat="1" ht="16.5" hidden="1" customHeight="1" thickBot="1">
      <c r="A1070" s="133"/>
      <c r="B1070" s="237" t="s">
        <v>70</v>
      </c>
      <c r="C1070" s="57"/>
      <c r="D1070" s="57"/>
      <c r="E1070" s="464"/>
      <c r="F1070" s="57"/>
      <c r="G1070" s="57"/>
      <c r="H1070" s="57"/>
      <c r="I1070" s="57"/>
      <c r="J1070" s="184"/>
      <c r="K1070" s="116" t="s">
        <v>27</v>
      </c>
      <c r="L1070" s="116" t="s">
        <v>42</v>
      </c>
      <c r="M1070" s="116" t="s">
        <v>129</v>
      </c>
      <c r="N1070" s="116" t="e">
        <f ca="1">SUBSTITUTE(CELL("address",#REF!),"$","")</f>
        <v>#REF!</v>
      </c>
      <c r="O1070" s="116" t="s">
        <v>130</v>
      </c>
      <c r="P1070" s="228" t="s">
        <v>75</v>
      </c>
      <c r="Q1070" s="250" t="str">
        <f ca="1">INDEX(tblGoSubRoutineStartCell[StartCell],MATCH(B1070,tblGoSubRoutineStartCell[GoSub Routine],0))</f>
        <v>K56</v>
      </c>
      <c r="R1070" s="184"/>
      <c r="S1070" s="178"/>
      <c r="T1070" s="178"/>
      <c r="U1070" s="178"/>
      <c r="V1070" s="178"/>
      <c r="W1070" s="178"/>
      <c r="X1070" s="178"/>
      <c r="Y1070" s="178"/>
      <c r="Z1070" s="178"/>
      <c r="AA1070" s="178"/>
      <c r="AB1070" s="178"/>
      <c r="AC1070" s="178"/>
      <c r="AD1070" s="178"/>
      <c r="AE1070" s="178"/>
      <c r="AF1070" s="178"/>
      <c r="AG1070" s="178"/>
      <c r="AH1070" s="178"/>
      <c r="AI1070" s="178"/>
      <c r="AJ1070" s="178"/>
    </row>
    <row r="1071" spans="1:36" s="45" customFormat="1" ht="16.5" hidden="1" customHeight="1" thickBot="1">
      <c r="A1071" s="131"/>
      <c r="B1071" s="244" t="s">
        <v>570</v>
      </c>
      <c r="C1071" s="66"/>
      <c r="D1071" s="84"/>
      <c r="E1071" s="437"/>
      <c r="F1071" s="113"/>
      <c r="G1071" s="113"/>
      <c r="H1071" s="113"/>
      <c r="I1071" s="113"/>
      <c r="J1071" s="184"/>
      <c r="K1071" s="241" t="s">
        <v>734</v>
      </c>
      <c r="L1071" s="301"/>
      <c r="M1071" s="301"/>
      <c r="R1071" s="177"/>
      <c r="S1071" s="177"/>
      <c r="T1071" s="177"/>
      <c r="U1071" s="177"/>
      <c r="V1071" s="177"/>
      <c r="W1071" s="177"/>
      <c r="X1071" s="177"/>
      <c r="Y1071" s="177"/>
      <c r="Z1071" s="177"/>
      <c r="AA1071" s="177"/>
      <c r="AB1071" s="177"/>
      <c r="AC1071" s="177"/>
      <c r="AD1071" s="177"/>
      <c r="AE1071" s="177"/>
      <c r="AF1071" s="177"/>
      <c r="AG1071" s="177"/>
      <c r="AH1071" s="177"/>
      <c r="AI1071" s="177"/>
      <c r="AJ1071" s="177"/>
    </row>
    <row r="1072" spans="1:36" s="180" customFormat="1" ht="15.75" hidden="1" thickBot="1">
      <c r="A1072" s="132" cm="1">
        <f t="array" ref="A1072">SSATSLineNumbers(A1072,0.01)</f>
        <v>6.15</v>
      </c>
      <c r="B1072" s="244" t="str">
        <f ca="1">ATE_Settings!Y110</f>
        <v>SUP Voltage Monitor Error Neg (%)</v>
      </c>
      <c r="C1072" s="66"/>
      <c r="D1072" s="206"/>
      <c r="E1072" s="454" t="str" cm="1">
        <f t="array" ref="E1072">SSATSPercent_Error(E1069,E1071)</f>
        <v>[AUTO]</v>
      </c>
      <c r="F1072" s="207">
        <f ca="1">P1072</f>
        <v>-1</v>
      </c>
      <c r="G1072" s="86">
        <f ca="1">Q1072</f>
        <v>1</v>
      </c>
      <c r="H1072" s="86" t="str">
        <f ca="1">R1072</f>
        <v>%</v>
      </c>
      <c r="I1072" s="59" t="str">
        <f>IF(E1072 ="[AUTO]","TBC", IF(AND(E1072&gt;=F1072,E1072&lt;=G1072 ),"Pass","Fail"))</f>
        <v>TBC</v>
      </c>
      <c r="J1072" s="184"/>
      <c r="K1072" s="115" t="s">
        <v>80</v>
      </c>
      <c r="L1072" s="184"/>
      <c r="M1072" s="184"/>
      <c r="N1072" s="184"/>
      <c r="O1072" s="184"/>
      <c r="P1072" s="204">
        <f ca="1">C1072+(INDEX(tblProductScalesMeasures[Min],MATCH(_xlfn.CONCAT(B1072),tblProductScalesMeasures[Description],0)))</f>
        <v>-1</v>
      </c>
      <c r="Q1072" s="204">
        <f ca="1">C1072+(INDEX(tblProductScalesMeasures[Max],MATCH(_xlfn.CONCAT(B1072),tblProductScalesMeasures[Description],0)))</f>
        <v>1</v>
      </c>
      <c r="R1072" s="205" t="str">
        <f ca="1">(INDEX(tblProductScalesMeasures[Unit],MATCH(_xlfn.CONCAT(B1072),tblProductScalesMeasures[Description],0)))</f>
        <v>%</v>
      </c>
      <c r="S1072" s="203"/>
      <c r="T1072" s="205">
        <f ca="1">IF(COUNTIF(tblExempt[],R1072)&gt;0,0,INDEX(tblScaling[Divider],MATCH(_xlfn.CONCAT(IF(ISNUMBER(SEARCH(" ",section_3_heading))=TRUE,SUBSTITUTE(section_3_heading," ",""),"")," ",R1072),tblScaling[Description],0)))</f>
        <v>0</v>
      </c>
      <c r="U1072" s="178"/>
      <c r="V1072" s="178"/>
      <c r="W1072" s="178"/>
      <c r="X1072" s="178"/>
      <c r="Y1072" s="178"/>
      <c r="Z1072" s="178"/>
      <c r="AA1072" s="178"/>
      <c r="AB1072" s="178"/>
      <c r="AC1072" s="178"/>
      <c r="AD1072" s="178"/>
      <c r="AE1072" s="178"/>
      <c r="AF1072" s="178"/>
      <c r="AG1072" s="178"/>
      <c r="AH1072" s="178"/>
      <c r="AI1072" s="178"/>
      <c r="AJ1072" s="178"/>
    </row>
    <row r="1073" spans="1:36" s="180" customFormat="1" ht="16.5" hidden="1" customHeight="1" thickBot="1">
      <c r="A1073" s="133"/>
      <c r="B1073" s="237" t="s">
        <v>70</v>
      </c>
      <c r="C1073" s="57"/>
      <c r="D1073" s="57"/>
      <c r="E1073" s="464"/>
      <c r="F1073" s="57"/>
      <c r="G1073" s="57"/>
      <c r="H1073" s="57"/>
      <c r="I1073" s="57"/>
      <c r="J1073" s="184"/>
      <c r="K1073" s="116" t="s">
        <v>27</v>
      </c>
      <c r="L1073" s="116" t="s">
        <v>42</v>
      </c>
      <c r="M1073" s="116" t="s">
        <v>129</v>
      </c>
      <c r="N1073" s="116" t="e">
        <f ca="1">SUBSTITUTE(CELL("address",#REF!),"$","")</f>
        <v>#REF!</v>
      </c>
      <c r="O1073" s="116" t="s">
        <v>130</v>
      </c>
      <c r="P1073" s="228" t="s">
        <v>75</v>
      </c>
      <c r="Q1073" s="250" t="str">
        <f ca="1">INDEX(tblGoSubRoutineStartCell[StartCell],MATCH(B1073,tblGoSubRoutineStartCell[GoSub Routine],0))</f>
        <v>K56</v>
      </c>
      <c r="R1073" s="184"/>
      <c r="S1073" s="178"/>
      <c r="T1073" s="178"/>
      <c r="U1073" s="178"/>
      <c r="V1073" s="178"/>
      <c r="W1073" s="178"/>
      <c r="X1073" s="178"/>
      <c r="Y1073" s="178"/>
      <c r="Z1073" s="178"/>
      <c r="AA1073" s="178"/>
      <c r="AB1073" s="178"/>
      <c r="AC1073" s="178"/>
      <c r="AD1073" s="178"/>
      <c r="AE1073" s="178"/>
      <c r="AF1073" s="178"/>
      <c r="AG1073" s="178"/>
      <c r="AH1073" s="178"/>
      <c r="AI1073" s="178"/>
      <c r="AJ1073" s="178"/>
    </row>
    <row r="1074" spans="1:36" s="380" customFormat="1" ht="17.25" hidden="1" customHeight="1">
      <c r="A1074" s="399"/>
      <c r="B1074" s="240" t="s">
        <v>707</v>
      </c>
      <c r="C1074" s="390"/>
      <c r="D1074" s="387"/>
      <c r="E1074" s="466"/>
      <c r="F1074" s="387"/>
      <c r="G1074" s="387"/>
      <c r="H1074" s="387"/>
      <c r="I1074" s="387"/>
      <c r="J1074" s="384"/>
      <c r="K1074" s="385" t="s">
        <v>27</v>
      </c>
      <c r="L1074" s="385" t="s">
        <v>98</v>
      </c>
      <c r="M1074" s="385" t="s">
        <v>324</v>
      </c>
      <c r="N1074" s="385" t="s">
        <v>325</v>
      </c>
      <c r="O1074" s="241" t="s">
        <v>326</v>
      </c>
      <c r="P1074" s="241">
        <f>ATE_Settings!AK66</f>
        <v>0</v>
      </c>
      <c r="R1074" s="384"/>
    </row>
    <row r="1075" spans="1:36" s="380" customFormat="1" ht="15" hidden="1">
      <c r="A1075" s="399"/>
      <c r="B1075" s="246" t="s">
        <v>340</v>
      </c>
      <c r="C1075" s="390">
        <v>3000</v>
      </c>
      <c r="D1075" s="387"/>
      <c r="E1075" s="466"/>
      <c r="F1075" s="387"/>
      <c r="G1075" s="387"/>
      <c r="H1075" s="387"/>
      <c r="I1075" s="387"/>
      <c r="J1075" s="384"/>
      <c r="K1075" s="385" t="s">
        <v>27</v>
      </c>
      <c r="L1075" s="385" t="s">
        <v>42</v>
      </c>
      <c r="M1075" s="216" t="s">
        <v>60</v>
      </c>
      <c r="N1075" s="247" t="str">
        <f>B1075</f>
        <v>Initialsing Scope…</v>
      </c>
      <c r="O1075" s="210">
        <f>C1075</f>
        <v>3000</v>
      </c>
      <c r="P1075" s="384"/>
      <c r="Q1075" s="384"/>
    </row>
    <row r="1076" spans="1:36" s="380" customFormat="1" ht="15" hidden="1">
      <c r="A1076" s="399"/>
      <c r="B1076" s="240" t="s">
        <v>702</v>
      </c>
      <c r="C1076" s="390"/>
      <c r="D1076" s="387"/>
      <c r="E1076" s="466"/>
      <c r="F1076" s="387"/>
      <c r="G1076" s="387"/>
      <c r="H1076" s="387"/>
      <c r="I1076" s="387"/>
      <c r="J1076" s="384"/>
      <c r="K1076" s="395" t="s">
        <v>27</v>
      </c>
      <c r="L1076" s="395" t="s">
        <v>98</v>
      </c>
      <c r="M1076" s="396" t="s">
        <v>156</v>
      </c>
      <c r="N1076" s="396" t="s">
        <v>141</v>
      </c>
      <c r="O1076" s="384" t="s">
        <v>701</v>
      </c>
      <c r="P1076" s="384"/>
      <c r="Q1076" s="384"/>
    </row>
    <row r="1077" spans="1:36" s="380" customFormat="1" ht="15.75" hidden="1" thickBot="1">
      <c r="A1077" s="399"/>
      <c r="B1077" s="244" t="s">
        <v>735</v>
      </c>
      <c r="C1077" s="390"/>
      <c r="D1077" s="387"/>
      <c r="E1077" s="456"/>
      <c r="F1077" s="387"/>
      <c r="G1077" s="387"/>
      <c r="H1077" s="387"/>
      <c r="I1077" s="387"/>
      <c r="J1077" s="384"/>
      <c r="K1077" s="395" t="s">
        <v>27</v>
      </c>
      <c r="L1077" s="395" t="s">
        <v>98</v>
      </c>
      <c r="M1077" s="396" t="s">
        <v>55</v>
      </c>
      <c r="N1077" s="396" t="s">
        <v>141</v>
      </c>
      <c r="O1077" s="396" t="s">
        <v>700</v>
      </c>
      <c r="P1077" s="384"/>
      <c r="Q1077" s="384"/>
    </row>
    <row r="1078" spans="1:36" s="391" customFormat="1" ht="16.5" hidden="1" customHeight="1" thickBot="1">
      <c r="A1078" s="400" cm="1">
        <f t="array" ref="A1078">SSATSLineNumbers(A1078,0.01)</f>
        <v>6.16</v>
      </c>
      <c r="B1078" s="244" t="str">
        <f ca="1">ATE_Settings!Y112</f>
        <v>SUP Ripple (mV pk-pk)</v>
      </c>
      <c r="C1078" s="202"/>
      <c r="D1078" s="202" t="s">
        <v>296</v>
      </c>
      <c r="E1078" s="457" t="str">
        <f>IF(E1077="","[AUTO]",E1077*1000)</f>
        <v>[AUTO]</v>
      </c>
      <c r="F1078" s="394">
        <f ca="1">Q1078</f>
        <v>3</v>
      </c>
      <c r="G1078" s="394">
        <f ca="1">R1078</f>
        <v>150</v>
      </c>
      <c r="H1078" s="394" t="str">
        <f ca="1">S1078</f>
        <v>mV pk-pk</v>
      </c>
      <c r="I1078" s="434" t="str">
        <f>IF(E1078 ="[AUTO]","TBC", IF(AND(E1078&gt;=F1078,E1078&lt;=G1078 ),"Pass","Fail"))</f>
        <v>TBC</v>
      </c>
      <c r="J1078" s="384"/>
      <c r="K1078" s="395" t="s">
        <v>80</v>
      </c>
      <c r="L1078" s="395"/>
      <c r="M1078" s="396"/>
      <c r="N1078" s="396"/>
      <c r="O1078" s="396"/>
      <c r="P1078" s="226"/>
      <c r="Q1078" s="245">
        <f ca="1">C1078+(INDEX(tblProductScalesMeasures[Min],MATCH(_xlfn.CONCAT(B1078),tblProductScalesMeasures[Description],0)))</f>
        <v>3</v>
      </c>
      <c r="R1078" s="245">
        <f ca="1">C1078+(INDEX(tblProductScalesMeasures[Max],MATCH(_xlfn.CONCAT(B1078),tblProductScalesMeasures[Description],0)))</f>
        <v>150</v>
      </c>
      <c r="S1078" s="245" t="str">
        <f ca="1">(INDEX(tblProductScalesMeasures[Unit],MATCH(_xlfn.CONCAT(B1078),tblProductScalesMeasures[Description],0)))</f>
        <v>mV pk-pk</v>
      </c>
      <c r="V1078" s="381"/>
      <c r="W1078" s="245" t="e">
        <f>IF(COUNTIF(tblExempt[],T1078)&gt;0,0,INDEX(tblScaling[Divider],MATCH(_xlfn.CONCAT(IF(ISNUMBER(SEARCH(" ",section_2_heading))=TRUE,SUBSTITUTE(section_2_heading," ",""),"")," ",T1078),tblScaling[Description],0)))</f>
        <v>#N/A</v>
      </c>
      <c r="X1078" s="382"/>
      <c r="Y1078" s="382"/>
      <c r="Z1078" s="382"/>
      <c r="AA1078" s="382"/>
      <c r="AB1078" s="382"/>
      <c r="AC1078" s="382"/>
      <c r="AD1078" s="382"/>
      <c r="AE1078" s="382"/>
      <c r="AF1078" s="382"/>
      <c r="AG1078" s="382"/>
      <c r="AH1078" s="382"/>
      <c r="AI1078" s="382"/>
      <c r="AJ1078" s="382"/>
    </row>
    <row r="1079" spans="1:36" s="391" customFormat="1" ht="16.5" hidden="1" customHeight="1" thickBot="1">
      <c r="A1079" s="401"/>
      <c r="B1079" s="398" t="s">
        <v>70</v>
      </c>
      <c r="C1079" s="386"/>
      <c r="D1079" s="386"/>
      <c r="E1079" s="392"/>
      <c r="F1079" s="386"/>
      <c r="G1079" s="386"/>
      <c r="H1079" s="386"/>
      <c r="I1079" s="386"/>
      <c r="J1079" s="384"/>
      <c r="K1079" s="397" t="s">
        <v>27</v>
      </c>
      <c r="L1079" s="397" t="s">
        <v>42</v>
      </c>
      <c r="M1079" s="397" t="s">
        <v>129</v>
      </c>
      <c r="N1079" s="397" t="str">
        <f ca="1">SUBSTITUTE(CELL("address",K1074),"$","")</f>
        <v>K1074</v>
      </c>
      <c r="O1079" s="397" t="s">
        <v>130</v>
      </c>
      <c r="P1079" s="228" t="s">
        <v>75</v>
      </c>
      <c r="Q1079" s="250" t="str">
        <f ca="1">INDEX(tblGoSubRoutineStartCell[StartCell],MATCH(B1079,tblGoSubRoutineStartCell[GoSub Routine],0))</f>
        <v>K56</v>
      </c>
      <c r="R1079" s="384"/>
      <c r="S1079" s="382"/>
      <c r="T1079" s="382"/>
      <c r="V1079" s="382"/>
      <c r="W1079" s="382"/>
      <c r="X1079" s="382"/>
      <c r="Y1079" s="382"/>
      <c r="Z1079" s="382"/>
      <c r="AA1079" s="382"/>
      <c r="AB1079" s="382"/>
      <c r="AC1079" s="382"/>
      <c r="AD1079" s="382"/>
      <c r="AE1079" s="382"/>
      <c r="AF1079" s="382"/>
      <c r="AG1079" s="382"/>
      <c r="AH1079" s="382"/>
      <c r="AI1079" s="382"/>
      <c r="AJ1079" s="382"/>
    </row>
    <row r="1080" spans="1:36" s="380" customFormat="1" ht="17.25" hidden="1" customHeight="1">
      <c r="A1080" s="399"/>
      <c r="B1080" s="240" t="s">
        <v>708</v>
      </c>
      <c r="C1080" s="390"/>
      <c r="D1080" s="387"/>
      <c r="E1080" s="387"/>
      <c r="F1080" s="387"/>
      <c r="G1080" s="387"/>
      <c r="H1080" s="387"/>
      <c r="I1080" s="387"/>
      <c r="J1080" s="385"/>
      <c r="K1080" s="385" t="s">
        <v>27</v>
      </c>
      <c r="L1080" s="385" t="s">
        <v>98</v>
      </c>
      <c r="M1080" s="385" t="s">
        <v>324</v>
      </c>
      <c r="N1080" s="385" t="s">
        <v>325</v>
      </c>
      <c r="O1080" s="241" t="s">
        <v>326</v>
      </c>
      <c r="P1080" s="241">
        <f>ATE_Settings!AK67</f>
        <v>0</v>
      </c>
      <c r="Q1080" s="384"/>
    </row>
    <row r="1081" spans="1:36" s="380" customFormat="1" ht="15" hidden="1">
      <c r="A1081" s="399"/>
      <c r="B1081" s="246" t="s">
        <v>340</v>
      </c>
      <c r="C1081" s="390">
        <v>7000</v>
      </c>
      <c r="D1081" s="387"/>
      <c r="E1081" s="387"/>
      <c r="F1081" s="387"/>
      <c r="G1081" s="387"/>
      <c r="H1081" s="387"/>
      <c r="I1081" s="387"/>
      <c r="J1081" s="384"/>
      <c r="K1081" s="385" t="s">
        <v>27</v>
      </c>
      <c r="L1081" s="385" t="s">
        <v>42</v>
      </c>
      <c r="M1081" s="216" t="s">
        <v>60</v>
      </c>
      <c r="N1081" s="247" t="str">
        <f>B1081</f>
        <v>Initialsing Scope…</v>
      </c>
      <c r="O1081" s="210">
        <f>C1081</f>
        <v>7000</v>
      </c>
      <c r="P1081" s="384"/>
      <c r="Q1081" s="384"/>
    </row>
    <row r="1082" spans="1:36" s="380" customFormat="1" ht="15" hidden="1">
      <c r="A1082" s="399"/>
      <c r="B1082" s="240" t="s">
        <v>702</v>
      </c>
      <c r="C1082" s="390"/>
      <c r="D1082" s="387"/>
      <c r="E1082" s="387"/>
      <c r="F1082" s="387"/>
      <c r="G1082" s="387"/>
      <c r="H1082" s="387"/>
      <c r="I1082" s="387"/>
      <c r="J1082" s="384"/>
      <c r="K1082" s="395" t="s">
        <v>27</v>
      </c>
      <c r="L1082" s="395" t="s">
        <v>98</v>
      </c>
      <c r="M1082" s="396" t="s">
        <v>156</v>
      </c>
      <c r="N1082" s="396" t="s">
        <v>141</v>
      </c>
      <c r="O1082" s="384" t="s">
        <v>701</v>
      </c>
      <c r="P1082" s="384"/>
      <c r="Q1082" s="384"/>
    </row>
    <row r="1083" spans="1:36" s="380" customFormat="1" ht="15.75" hidden="1" thickBot="1">
      <c r="A1083" s="399"/>
      <c r="B1083" s="244" t="s">
        <v>735</v>
      </c>
      <c r="C1083" s="390"/>
      <c r="D1083" s="387"/>
      <c r="E1083" s="456"/>
      <c r="F1083" s="387"/>
      <c r="G1083" s="387"/>
      <c r="H1083" s="387"/>
      <c r="I1083" s="387"/>
      <c r="J1083" s="384"/>
      <c r="K1083" s="395" t="s">
        <v>27</v>
      </c>
      <c r="L1083" s="395" t="s">
        <v>98</v>
      </c>
      <c r="M1083" s="396" t="s">
        <v>55</v>
      </c>
      <c r="N1083" s="396" t="s">
        <v>141</v>
      </c>
      <c r="O1083" s="396" t="s">
        <v>700</v>
      </c>
      <c r="P1083" s="384"/>
      <c r="Q1083" s="384"/>
    </row>
    <row r="1084" spans="1:36" s="391" customFormat="1" ht="16.5" hidden="1" customHeight="1" thickBot="1">
      <c r="A1084" s="400" cm="1">
        <f t="array" ref="A1084">SSATSLineNumbers(A1084,0.01)</f>
        <v>6.17</v>
      </c>
      <c r="B1084" s="244" t="str">
        <f ca="1">ATE_Settings!Y112</f>
        <v>SUP Ripple (mV pk-pk)</v>
      </c>
      <c r="C1084" s="202"/>
      <c r="D1084" s="202" t="s">
        <v>296</v>
      </c>
      <c r="E1084" s="457" t="str">
        <f>IF(E1083="","[AUTO]",E1083*1000)</f>
        <v>[AUTO]</v>
      </c>
      <c r="F1084" s="394">
        <f ca="1">Q1084</f>
        <v>3</v>
      </c>
      <c r="G1084" s="394">
        <f ca="1">R1084</f>
        <v>150</v>
      </c>
      <c r="H1084" s="394" t="str">
        <f ca="1">S1084</f>
        <v>mV pk-pk</v>
      </c>
      <c r="I1084" s="434" t="str">
        <f>IF(E1084 ="[AUTO]","TBC", IF(AND(E1084&gt;=F1084,E1084&lt;=G1084 ),"Pass","Fail"))</f>
        <v>TBC</v>
      </c>
      <c r="J1084" s="384"/>
      <c r="K1084" s="395" t="s">
        <v>80</v>
      </c>
      <c r="L1084" s="395"/>
      <c r="M1084" s="396"/>
      <c r="N1084" s="396"/>
      <c r="O1084" s="396"/>
      <c r="P1084" s="226"/>
      <c r="Q1084" s="245">
        <f ca="1">C1084+(INDEX(tblProductScalesMeasures[Min],MATCH(_xlfn.CONCAT(B1084),tblProductScalesMeasures[Description],0)))</f>
        <v>3</v>
      </c>
      <c r="R1084" s="245">
        <f ca="1">C1084+(INDEX(tblProductScalesMeasures[Max],MATCH(_xlfn.CONCAT(B1084),tblProductScalesMeasures[Description],0)))</f>
        <v>150</v>
      </c>
      <c r="S1084" s="245" t="str">
        <f ca="1">(INDEX(tblProductScalesMeasures[Unit],MATCH(_xlfn.CONCAT(B1084),tblProductScalesMeasures[Description],0)))</f>
        <v>mV pk-pk</v>
      </c>
      <c r="V1084" s="381"/>
      <c r="W1084" s="245" t="e">
        <f>IF(COUNTIF(tblExempt[],T1084)&gt;0,0,INDEX(tblScaling[Divider],MATCH(_xlfn.CONCAT(IF(ISNUMBER(SEARCH(" ",section_2_heading))=TRUE,SUBSTITUTE(section_2_heading," ",""),"")," ",T1084),tblScaling[Description],0)))</f>
        <v>#N/A</v>
      </c>
      <c r="X1084" s="382"/>
      <c r="Y1084" s="382"/>
      <c r="Z1084" s="382"/>
      <c r="AA1084" s="382"/>
      <c r="AB1084" s="382"/>
      <c r="AC1084" s="382"/>
      <c r="AD1084" s="382"/>
      <c r="AE1084" s="382"/>
      <c r="AF1084" s="382"/>
      <c r="AG1084" s="382"/>
      <c r="AH1084" s="382"/>
      <c r="AI1084" s="382"/>
      <c r="AJ1084" s="382"/>
    </row>
    <row r="1085" spans="1:36" s="391" customFormat="1" ht="16.5" hidden="1" customHeight="1" thickBot="1">
      <c r="A1085" s="401"/>
      <c r="B1085" s="398" t="s">
        <v>70</v>
      </c>
      <c r="C1085" s="386"/>
      <c r="D1085" s="386"/>
      <c r="E1085" s="392"/>
      <c r="F1085" s="386"/>
      <c r="G1085" s="386"/>
      <c r="H1085" s="386"/>
      <c r="I1085" s="386"/>
      <c r="J1085" s="384"/>
      <c r="K1085" s="397" t="s">
        <v>27</v>
      </c>
      <c r="L1085" s="397" t="s">
        <v>42</v>
      </c>
      <c r="M1085" s="397" t="s">
        <v>129</v>
      </c>
      <c r="N1085" s="397" t="str">
        <f ca="1">SUBSTITUTE(CELL("address",K1080),"$","")</f>
        <v>K1080</v>
      </c>
      <c r="O1085" s="397" t="s">
        <v>130</v>
      </c>
      <c r="P1085" s="228" t="s">
        <v>75</v>
      </c>
      <c r="Q1085" s="250" t="str">
        <f ca="1">INDEX(tblGoSubRoutineStartCell[StartCell],MATCH(B1085,tblGoSubRoutineStartCell[GoSub Routine],0))</f>
        <v>K56</v>
      </c>
      <c r="R1085" s="384"/>
      <c r="S1085" s="382"/>
      <c r="T1085" s="382"/>
      <c r="V1085" s="382"/>
      <c r="W1085" s="382"/>
      <c r="X1085" s="382"/>
      <c r="Y1085" s="382"/>
      <c r="Z1085" s="382"/>
      <c r="AA1085" s="382"/>
      <c r="AB1085" s="382"/>
      <c r="AC1085" s="382"/>
      <c r="AD1085" s="382"/>
      <c r="AE1085" s="382"/>
      <c r="AF1085" s="382"/>
      <c r="AG1085" s="382"/>
      <c r="AH1085" s="382"/>
      <c r="AI1085" s="382"/>
      <c r="AJ1085" s="382"/>
    </row>
    <row r="1086" spans="1:36" s="391" customFormat="1" ht="15.75" hidden="1" thickBot="1">
      <c r="A1086" s="399"/>
      <c r="B1086" s="393"/>
      <c r="C1086" s="390"/>
      <c r="D1086" s="387"/>
      <c r="E1086" s="387"/>
      <c r="F1086" s="387"/>
      <c r="G1086" s="387"/>
      <c r="H1086" s="387"/>
      <c r="I1086" s="387"/>
      <c r="J1086" s="384"/>
      <c r="K1086" s="385" t="s">
        <v>80</v>
      </c>
      <c r="L1086" s="384"/>
      <c r="M1086" s="384"/>
      <c r="N1086" s="384"/>
      <c r="O1086" s="384"/>
      <c r="R1086" s="382"/>
      <c r="S1086" s="382"/>
      <c r="T1086" s="382"/>
      <c r="U1086" s="382"/>
      <c r="V1086" s="382"/>
      <c r="W1086" s="382"/>
      <c r="X1086" s="382"/>
      <c r="Y1086" s="382"/>
      <c r="Z1086" s="382"/>
      <c r="AA1086" s="382"/>
      <c r="AB1086" s="382"/>
      <c r="AC1086" s="382"/>
      <c r="AD1086" s="382"/>
      <c r="AE1086" s="382"/>
      <c r="AF1086" s="382"/>
      <c r="AG1086" s="382"/>
      <c r="AH1086" s="382"/>
      <c r="AI1086" s="382"/>
      <c r="AJ1086" s="382"/>
    </row>
    <row r="1087" spans="1:36" s="175" customFormat="1" ht="20.25" hidden="1" customHeight="1" thickBot="1">
      <c r="A1087" s="321"/>
      <c r="B1087" s="322"/>
      <c r="C1087" s="322"/>
      <c r="D1087" s="324" t="s">
        <v>452</v>
      </c>
      <c r="E1087" s="322"/>
      <c r="F1087" s="322"/>
      <c r="G1087" s="322"/>
      <c r="H1087" s="322"/>
      <c r="I1087" s="323"/>
      <c r="J1087" s="184"/>
      <c r="K1087" s="89" t="s">
        <v>80</v>
      </c>
      <c r="L1087" s="184"/>
      <c r="M1087" s="184"/>
      <c r="N1087" s="184"/>
      <c r="O1087" s="184"/>
      <c r="P1087" s="184"/>
      <c r="Q1087" s="184"/>
    </row>
    <row r="1088" spans="1:36" s="180" customFormat="1" ht="15.75" hidden="1" thickBot="1">
      <c r="A1088" s="130"/>
      <c r="B1088" s="84"/>
      <c r="C1088" s="78"/>
      <c r="D1088" s="58"/>
      <c r="E1088" s="58"/>
      <c r="F1088" s="58"/>
      <c r="G1088" s="58"/>
      <c r="H1088" s="58"/>
      <c r="I1088" s="58"/>
      <c r="J1088" s="184"/>
      <c r="K1088" s="301" t="s">
        <v>80</v>
      </c>
      <c r="L1088" s="184"/>
      <c r="M1088" s="184"/>
      <c r="N1088" s="184"/>
      <c r="O1088" s="184"/>
      <c r="R1088" s="178"/>
      <c r="S1088" s="178"/>
      <c r="T1088" s="178"/>
      <c r="U1088" s="178"/>
      <c r="V1088" s="178"/>
      <c r="W1088" s="178"/>
      <c r="X1088" s="178"/>
      <c r="Y1088" s="178"/>
      <c r="Z1088" s="178"/>
      <c r="AA1088" s="178"/>
      <c r="AB1088" s="178"/>
      <c r="AC1088" s="178"/>
      <c r="AD1088" s="178"/>
      <c r="AE1088" s="178"/>
      <c r="AF1088" s="178"/>
      <c r="AG1088" s="178"/>
      <c r="AH1088" s="178"/>
      <c r="AI1088" s="178"/>
      <c r="AJ1088" s="178"/>
    </row>
    <row r="1089" spans="1:36" s="175" customFormat="1" ht="15.75" hidden="1" thickBot="1">
      <c r="A1089" s="130"/>
      <c r="B1089" s="300" t="s">
        <v>188</v>
      </c>
      <c r="C1089" s="58"/>
      <c r="D1089" s="58"/>
      <c r="E1089" s="58"/>
      <c r="F1089" s="58"/>
      <c r="G1089" s="58"/>
      <c r="H1089" s="58"/>
      <c r="I1089" s="58"/>
      <c r="J1089" s="301"/>
      <c r="K1089" s="301" t="s">
        <v>77</v>
      </c>
      <c r="L1089" s="301" t="s">
        <v>75</v>
      </c>
      <c r="M1089" s="238" t="s">
        <v>437</v>
      </c>
      <c r="N1089" s="184"/>
      <c r="O1089" s="184"/>
      <c r="P1089" s="184"/>
      <c r="Q1089" s="184"/>
    </row>
    <row r="1090" spans="1:36" s="175" customFormat="1" ht="15" hidden="1">
      <c r="A1090" s="130"/>
      <c r="B1090" s="240" t="s">
        <v>343</v>
      </c>
      <c r="C1090" s="78"/>
      <c r="D1090" s="58"/>
      <c r="E1090" s="58"/>
      <c r="F1090" s="58"/>
      <c r="G1090" s="58"/>
      <c r="H1090" s="58"/>
      <c r="I1090" s="58"/>
      <c r="J1090" s="184"/>
      <c r="K1090" s="301" t="s">
        <v>27</v>
      </c>
      <c r="L1090" s="301" t="s">
        <v>313</v>
      </c>
      <c r="M1090" s="301" t="s">
        <v>91</v>
      </c>
      <c r="N1090" s="301" t="s">
        <v>315</v>
      </c>
      <c r="O1090" s="241" t="s">
        <v>316</v>
      </c>
      <c r="P1090" s="241" t="s">
        <v>312</v>
      </c>
      <c r="Q1090" s="184"/>
    </row>
    <row r="1091" spans="1:36" s="175" customFormat="1" ht="15" hidden="1">
      <c r="A1091" s="130"/>
      <c r="B1091" s="240" t="s">
        <v>559</v>
      </c>
      <c r="C1091" s="78">
        <v>11</v>
      </c>
      <c r="D1091" s="58"/>
      <c r="E1091" s="58"/>
      <c r="F1091" s="58"/>
      <c r="G1091" s="58"/>
      <c r="H1091" s="58"/>
      <c r="I1091" s="58"/>
      <c r="J1091" s="184"/>
      <c r="K1091" s="241" t="str">
        <f>_xlfn.CONCAT("734|GND|REG1|DEC(",C1091,")")</f>
        <v>734|GND|REG1|DEC(11)</v>
      </c>
      <c r="L1091" s="301"/>
      <c r="M1091" s="301"/>
      <c r="N1091" s="301"/>
      <c r="O1091" s="241"/>
      <c r="P1091" s="241"/>
      <c r="Q1091" s="184"/>
    </row>
    <row r="1092" spans="1:36" s="175" customFormat="1" ht="15" hidden="1">
      <c r="A1092" s="130"/>
      <c r="B1092" s="240" t="s">
        <v>568</v>
      </c>
      <c r="C1092" s="78" t="s">
        <v>726</v>
      </c>
      <c r="D1092" s="58"/>
      <c r="E1092" s="58"/>
      <c r="F1092" s="58"/>
      <c r="G1092" s="58"/>
      <c r="H1092" s="58"/>
      <c r="I1092" s="58"/>
      <c r="J1092" s="184"/>
      <c r="K1092" s="301" t="s">
        <v>27</v>
      </c>
      <c r="L1092" s="301" t="s">
        <v>313</v>
      </c>
      <c r="M1092" s="301" t="s">
        <v>32</v>
      </c>
      <c r="N1092" s="301" t="s">
        <v>315</v>
      </c>
      <c r="O1092" s="241" t="str">
        <f>C1092</f>
        <v>12,15</v>
      </c>
      <c r="P1092" s="241"/>
      <c r="Q1092" s="184"/>
    </row>
    <row r="1093" spans="1:36" s="175" customFormat="1" ht="15" hidden="1">
      <c r="A1093" s="130"/>
      <c r="B1093" s="240" t="s">
        <v>563</v>
      </c>
      <c r="C1093" s="78">
        <v>-1960</v>
      </c>
      <c r="D1093" s="58"/>
      <c r="E1093" s="58"/>
      <c r="F1093" s="58"/>
      <c r="G1093" s="58"/>
      <c r="H1093" s="58"/>
      <c r="I1093" s="58"/>
      <c r="J1093" s="184"/>
      <c r="K1093" s="241" t="str">
        <f>_xlfn.CONCAT("734|FLOAT|OUT3|FLT(",C1093,")")</f>
        <v>734|FLOAT|OUT3|FLT(-1960)</v>
      </c>
      <c r="L1093" s="301"/>
      <c r="M1093" s="301"/>
      <c r="N1093" s="301"/>
      <c r="O1093" s="241"/>
      <c r="P1093" s="241"/>
      <c r="Q1093" s="184"/>
    </row>
    <row r="1094" spans="1:36" s="175" customFormat="1" ht="15" hidden="1">
      <c r="A1094" s="130"/>
      <c r="B1094" s="293" t="s">
        <v>564</v>
      </c>
      <c r="C1094" s="390">
        <v>2000</v>
      </c>
      <c r="D1094" s="58"/>
      <c r="E1094" s="58"/>
      <c r="F1094" s="58"/>
      <c r="G1094" s="58"/>
      <c r="H1094" s="58"/>
      <c r="I1094" s="58"/>
      <c r="J1094" s="184"/>
      <c r="K1094" s="301" t="s">
        <v>27</v>
      </c>
      <c r="L1094" s="301" t="s">
        <v>42</v>
      </c>
      <c r="M1094" s="216" t="s">
        <v>60</v>
      </c>
      <c r="N1094" s="247" t="str">
        <f>B1094</f>
        <v xml:space="preserve">Supressor Initialising… </v>
      </c>
      <c r="O1094" s="210">
        <f>C1094</f>
        <v>2000</v>
      </c>
      <c r="P1094" s="184"/>
      <c r="Q1094" s="184"/>
    </row>
    <row r="1095" spans="1:36" s="175" customFormat="1" ht="15.75" hidden="1" thickBot="1">
      <c r="A1095" s="130"/>
      <c r="B1095" s="240" t="s">
        <v>471</v>
      </c>
      <c r="C1095" s="78">
        <v>5</v>
      </c>
      <c r="D1095" s="58"/>
      <c r="E1095" s="455"/>
      <c r="F1095" s="58"/>
      <c r="G1095" s="58"/>
      <c r="H1095" s="58"/>
      <c r="I1095" s="58"/>
      <c r="J1095" s="184"/>
      <c r="K1095" s="301" t="s">
        <v>27</v>
      </c>
      <c r="L1095" s="301" t="s">
        <v>318</v>
      </c>
      <c r="M1095" s="301" t="s">
        <v>55</v>
      </c>
      <c r="N1095" s="301" t="s">
        <v>33</v>
      </c>
      <c r="O1095" s="241">
        <f>C1095</f>
        <v>5</v>
      </c>
      <c r="P1095" s="241"/>
      <c r="Q1095" s="184"/>
    </row>
    <row r="1096" spans="1:36" s="175" customFormat="1" ht="15" hidden="1" customHeight="1" thickBot="1">
      <c r="A1096" s="132" cm="1">
        <f t="array" ref="A1096">SSATSLineNumbers(A1096,0.01)</f>
        <v>6.18</v>
      </c>
      <c r="B1096" s="244" t="s">
        <v>571</v>
      </c>
      <c r="C1096" s="66">
        <v>2000</v>
      </c>
      <c r="D1096" s="84"/>
      <c r="E1096" s="457" t="str">
        <f>IF(E1095="","[AUTO]",E1095*T1096)</f>
        <v>[AUTO]</v>
      </c>
      <c r="F1096" s="58"/>
      <c r="G1096" s="58"/>
      <c r="H1096" s="58"/>
      <c r="I1096" s="58"/>
      <c r="J1096" s="184"/>
      <c r="K1096" s="301" t="s">
        <v>80</v>
      </c>
      <c r="L1096" s="184"/>
      <c r="M1096" s="184"/>
      <c r="N1096" s="184"/>
      <c r="O1096" s="184"/>
      <c r="P1096" s="245">
        <f ca="1">C1096+(INDEX(tblProductScalesMeasures[Min],MATCH(_xlfn.CONCAT(B1096),tblProductScalesMeasures[Description],0)))</f>
        <v>1980</v>
      </c>
      <c r="Q1096" s="245">
        <f ca="1">C1096+(INDEX(tblProductScalesMeasures[Max],MATCH(_xlfn.CONCAT(B1096),tblProductScalesMeasures[Description],0)))</f>
        <v>2020</v>
      </c>
      <c r="R1096" s="245" t="str">
        <f ca="1">(INDEX(tblProductScalesMeasures[Unit],MATCH(_xlfn.CONCAT(B1096),tblProductScalesMeasures[Description],0)))</f>
        <v>V</v>
      </c>
      <c r="S1096" s="177"/>
      <c r="T1096" s="245">
        <f ca="1">IF(COUNTIF(tblExempt[],R1096)&gt;0,0,INDEX(tblScaling[Divider],MATCH(_xlfn.CONCAT(IF(ISNUMBER(SEARCH(" ",section_6_heading))=FALSE,SUBSTITUTE(section_6_heading," ",""),"")," ",R1096),tblScaling[Description],0)))</f>
        <v>10000</v>
      </c>
    </row>
    <row r="1097" spans="1:36" s="175" customFormat="1" ht="15" hidden="1">
      <c r="A1097" s="130"/>
      <c r="B1097" s="240" t="s">
        <v>343</v>
      </c>
      <c r="C1097" s="78"/>
      <c r="D1097" s="58"/>
      <c r="E1097" s="466"/>
      <c r="F1097" s="58"/>
      <c r="G1097" s="58"/>
      <c r="H1097" s="58"/>
      <c r="I1097" s="58"/>
      <c r="J1097" s="184"/>
      <c r="K1097" s="301" t="s">
        <v>27</v>
      </c>
      <c r="L1097" s="301" t="s">
        <v>313</v>
      </c>
      <c r="M1097" s="301" t="s">
        <v>91</v>
      </c>
      <c r="N1097" s="301" t="s">
        <v>315</v>
      </c>
      <c r="O1097" s="241" t="s">
        <v>316</v>
      </c>
      <c r="P1097" s="241" t="s">
        <v>312</v>
      </c>
      <c r="Q1097" s="184"/>
    </row>
    <row r="1098" spans="1:36" s="380" customFormat="1" ht="15" hidden="1">
      <c r="A1098" s="399"/>
      <c r="B1098" s="240" t="s">
        <v>728</v>
      </c>
      <c r="C1098" s="390">
        <v>15</v>
      </c>
      <c r="D1098" s="387"/>
      <c r="E1098" s="466"/>
      <c r="F1098" s="387"/>
      <c r="G1098" s="387"/>
      <c r="H1098" s="387"/>
      <c r="I1098" s="387"/>
      <c r="J1098" s="384"/>
      <c r="K1098" s="427" t="s">
        <v>27</v>
      </c>
      <c r="L1098" s="427" t="s">
        <v>313</v>
      </c>
      <c r="M1098" s="427" t="s">
        <v>32</v>
      </c>
      <c r="N1098" s="427" t="s">
        <v>315</v>
      </c>
      <c r="O1098" s="241">
        <f>C1098</f>
        <v>15</v>
      </c>
      <c r="P1098" s="241"/>
      <c r="Q1098" s="384"/>
    </row>
    <row r="1099" spans="1:36" s="175" customFormat="1" ht="15" hidden="1">
      <c r="A1099" s="130"/>
      <c r="B1099" s="293" t="s">
        <v>589</v>
      </c>
      <c r="C1099" s="390">
        <v>5000</v>
      </c>
      <c r="D1099" s="58"/>
      <c r="E1099" s="466"/>
      <c r="F1099" s="58"/>
      <c r="G1099" s="58"/>
      <c r="H1099" s="58"/>
      <c r="I1099" s="58"/>
      <c r="J1099" s="184"/>
      <c r="K1099" s="301" t="s">
        <v>27</v>
      </c>
      <c r="L1099" s="301" t="s">
        <v>42</v>
      </c>
      <c r="M1099" s="216" t="s">
        <v>60</v>
      </c>
      <c r="N1099" s="247" t="str">
        <f>B1099</f>
        <v>Going Off Load…</v>
      </c>
      <c r="O1099" s="210">
        <f>C1099</f>
        <v>5000</v>
      </c>
      <c r="P1099" s="184"/>
      <c r="Q1099" s="184"/>
    </row>
    <row r="1100" spans="1:36" s="175" customFormat="1" ht="15.75" hidden="1" thickBot="1">
      <c r="A1100" s="130"/>
      <c r="B1100" s="240" t="s">
        <v>471</v>
      </c>
      <c r="C1100" s="78">
        <v>5</v>
      </c>
      <c r="D1100" s="58"/>
      <c r="E1100" s="455"/>
      <c r="F1100" s="58"/>
      <c r="G1100" s="58"/>
      <c r="H1100" s="58"/>
      <c r="I1100" s="58"/>
      <c r="J1100" s="184"/>
      <c r="K1100" s="301" t="s">
        <v>27</v>
      </c>
      <c r="L1100" s="301" t="s">
        <v>318</v>
      </c>
      <c r="M1100" s="301" t="s">
        <v>55</v>
      </c>
      <c r="N1100" s="301" t="s">
        <v>33</v>
      </c>
      <c r="O1100" s="241">
        <f>C1100</f>
        <v>5</v>
      </c>
      <c r="P1100" s="241"/>
      <c r="Q1100" s="184"/>
    </row>
    <row r="1101" spans="1:36" s="175" customFormat="1" ht="15" hidden="1" customHeight="1" thickBot="1">
      <c r="A1101" s="132" cm="1">
        <f t="array" ref="A1101">SSATSLineNumbers(A1101,0.01)</f>
        <v>6.19</v>
      </c>
      <c r="B1101" s="244" t="s">
        <v>571</v>
      </c>
      <c r="C1101" s="66">
        <v>2000</v>
      </c>
      <c r="D1101" s="84"/>
      <c r="E1101" s="457" t="str">
        <f>IF(E1100="","[AUTO]",E1100*T1101)</f>
        <v>[AUTO]</v>
      </c>
      <c r="F1101" s="58"/>
      <c r="G1101" s="58"/>
      <c r="H1101" s="58"/>
      <c r="I1101" s="58"/>
      <c r="J1101" s="184"/>
      <c r="K1101" s="301" t="s">
        <v>80</v>
      </c>
      <c r="L1101" s="184"/>
      <c r="M1101" s="184"/>
      <c r="N1101" s="184"/>
      <c r="O1101" s="184"/>
      <c r="P1101" s="245">
        <f ca="1">C1101+(INDEX(tblProductScalesMeasures[Min],MATCH(_xlfn.CONCAT(B1101),tblProductScalesMeasures[Description],0)))</f>
        <v>1980</v>
      </c>
      <c r="Q1101" s="245">
        <f ca="1">C1101+(INDEX(tblProductScalesMeasures[Max],MATCH(_xlfn.CONCAT(B1101),tblProductScalesMeasures[Description],0)))</f>
        <v>2020</v>
      </c>
      <c r="R1101" s="245" t="str">
        <f ca="1">(INDEX(tblProductScalesMeasures[Unit],MATCH(_xlfn.CONCAT(B1101),tblProductScalesMeasures[Description],0)))</f>
        <v>V</v>
      </c>
      <c r="S1101" s="177"/>
      <c r="T1101" s="245">
        <f ca="1">IF(COUNTIF(tblExempt[],R1101)&gt;0,0,INDEX(tblScaling[Divider],MATCH(_xlfn.CONCAT(IF(ISNUMBER(SEARCH(" ",section_6_heading))=FALSE,SUBSTITUTE(section_6_heading," ",""),"")," ",R1101),tblScaling[Description],0)))</f>
        <v>10000</v>
      </c>
    </row>
    <row r="1102" spans="1:36" s="45" customFormat="1" ht="16.5" hidden="1" customHeight="1" thickBot="1">
      <c r="A1102" s="132" cm="1">
        <f t="array" ref="A1102">SSATSLineNumbers(A1102,0.01)</f>
        <v>6.2</v>
      </c>
      <c r="B1102" s="244" t="str">
        <f ca="1">ATE_Settings!Y109</f>
        <v>SUP Load Regulation Neg (V)</v>
      </c>
      <c r="C1102" s="243"/>
      <c r="D1102" s="84"/>
      <c r="E1102" s="457" t="str">
        <f>IF(OR(E1101="[AUTO]",E1096="[AUTO]")=TRUE,"[AUTO]",E1096-E1101)</f>
        <v>[AUTO]</v>
      </c>
      <c r="F1102" s="86">
        <f t="shared" ref="F1102" ca="1" si="16">P1102</f>
        <v>-0.2</v>
      </c>
      <c r="G1102" s="86">
        <f t="shared" ref="G1102" ca="1" si="17">Q1102</f>
        <v>0.2</v>
      </c>
      <c r="H1102" s="86" t="str">
        <f t="shared" ref="H1102" ca="1" si="18">R1102</f>
        <v>V</v>
      </c>
      <c r="I1102" s="59" t="str">
        <f>IF(E1102 ="[AUTO]","TBC", IF(AND(E1102&gt;=F1102,E1102&lt;=G1102 ),"Pass","Fail"))</f>
        <v>TBC</v>
      </c>
      <c r="J1102" s="184"/>
      <c r="K1102" s="301" t="s">
        <v>80</v>
      </c>
      <c r="L1102" s="301"/>
      <c r="M1102" s="301"/>
      <c r="N1102" s="301"/>
      <c r="O1102" s="184"/>
      <c r="P1102" s="245">
        <f ca="1">C1102+(INDEX(tblProductScalesMeasures[Min],MATCH(_xlfn.CONCAT(B1102),tblProductScalesMeasures[Description],0)))</f>
        <v>-0.2</v>
      </c>
      <c r="Q1102" s="245">
        <f ca="1">C1102+(INDEX(tblProductScalesMeasures[Max],MATCH(_xlfn.CONCAT(B1102),tblProductScalesMeasures[Description],0)))</f>
        <v>0.2</v>
      </c>
      <c r="R1102" s="245" t="str">
        <f ca="1">(INDEX(tblProductScalesMeasures[Unit],MATCH(_xlfn.CONCAT(B1102),tblProductScalesMeasures[Description],0)))</f>
        <v>V</v>
      </c>
      <c r="S1102" s="177"/>
      <c r="T1102" s="245">
        <f ca="1">IF(COUNTIF(tblExempt[],R1102)&gt;0,0,INDEX(tblScaling[Divider],MATCH(_xlfn.CONCAT(IF(ISNUMBER(SEARCH(" ",section_3_heading))=TRUE,SUBSTITUTE(section_3_heading," ",""),"")," ",R1102),tblScaling[Description],0)))</f>
        <v>10000</v>
      </c>
      <c r="U1102" s="177"/>
      <c r="V1102" s="177"/>
      <c r="W1102" s="177"/>
      <c r="X1102" s="177"/>
      <c r="Y1102" s="177"/>
      <c r="Z1102" s="177"/>
      <c r="AA1102" s="177"/>
      <c r="AB1102" s="177"/>
      <c r="AC1102" s="177"/>
      <c r="AD1102" s="177"/>
      <c r="AE1102" s="177"/>
      <c r="AF1102" s="177"/>
      <c r="AG1102" s="177"/>
      <c r="AH1102" s="177"/>
      <c r="AI1102" s="177"/>
      <c r="AJ1102" s="177"/>
    </row>
    <row r="1103" spans="1:36" s="180" customFormat="1" ht="16.5" hidden="1" customHeight="1" thickBot="1">
      <c r="A1103" s="133"/>
      <c r="B1103" s="237" t="s">
        <v>70</v>
      </c>
      <c r="C1103" s="57"/>
      <c r="D1103" s="57"/>
      <c r="E1103" s="80"/>
      <c r="F1103" s="57"/>
      <c r="G1103" s="57"/>
      <c r="H1103" s="57"/>
      <c r="I1103" s="57"/>
      <c r="J1103" s="184"/>
      <c r="K1103" s="116" t="s">
        <v>27</v>
      </c>
      <c r="L1103" s="116" t="s">
        <v>42</v>
      </c>
      <c r="M1103" s="116" t="s">
        <v>129</v>
      </c>
      <c r="N1103" s="116" t="str">
        <f ca="1">SUBSTITUTE(CELL("address",K1089),"$","")</f>
        <v>K1089</v>
      </c>
      <c r="O1103" s="116" t="s">
        <v>130</v>
      </c>
      <c r="P1103" s="228" t="s">
        <v>75</v>
      </c>
      <c r="Q1103" s="250" t="str">
        <f ca="1">INDEX(tblGoSubRoutineStartCell[StartCell],MATCH(B1103,tblGoSubRoutineStartCell[GoSub Routine],0))</f>
        <v>K56</v>
      </c>
      <c r="R1103" s="184"/>
      <c r="S1103" s="178"/>
      <c r="T1103" s="178"/>
      <c r="U1103" s="178"/>
      <c r="V1103" s="178"/>
      <c r="W1103" s="178"/>
      <c r="X1103" s="178"/>
      <c r="Y1103" s="178"/>
      <c r="Z1103" s="178"/>
      <c r="AA1103" s="178"/>
      <c r="AB1103" s="178"/>
      <c r="AC1103" s="178"/>
      <c r="AD1103" s="178"/>
      <c r="AE1103" s="178"/>
      <c r="AF1103" s="178"/>
      <c r="AG1103" s="178"/>
      <c r="AH1103" s="178"/>
      <c r="AI1103" s="178"/>
      <c r="AJ1103" s="178"/>
    </row>
    <row r="1104" spans="1:36" s="180" customFormat="1" ht="15.75" hidden="1" thickBot="1">
      <c r="A1104" s="130"/>
      <c r="B1104" s="84"/>
      <c r="C1104" s="78"/>
      <c r="D1104" s="58"/>
      <c r="E1104" s="58"/>
      <c r="F1104" s="58"/>
      <c r="G1104" s="58"/>
      <c r="H1104" s="58"/>
      <c r="I1104" s="58"/>
      <c r="J1104" s="184"/>
      <c r="K1104" s="301" t="s">
        <v>80</v>
      </c>
      <c r="L1104" s="184"/>
      <c r="M1104" s="184"/>
      <c r="N1104" s="184"/>
      <c r="O1104" s="184"/>
      <c r="R1104" s="178"/>
      <c r="S1104" s="178"/>
      <c r="T1104" s="178"/>
      <c r="U1104" s="178"/>
      <c r="V1104" s="178"/>
      <c r="W1104" s="178"/>
      <c r="X1104" s="178"/>
      <c r="Y1104" s="178"/>
      <c r="Z1104" s="178"/>
      <c r="AA1104" s="178"/>
      <c r="AB1104" s="178"/>
      <c r="AC1104" s="178"/>
      <c r="AD1104" s="178"/>
      <c r="AE1104" s="178"/>
      <c r="AF1104" s="178"/>
      <c r="AG1104" s="178"/>
      <c r="AH1104" s="178"/>
      <c r="AI1104" s="178"/>
      <c r="AJ1104" s="178"/>
    </row>
    <row r="1105" spans="1:36" s="45" customFormat="1" ht="18.75" hidden="1" thickBot="1">
      <c r="A1105" s="134"/>
      <c r="B1105" s="54" t="s">
        <v>70</v>
      </c>
      <c r="C1105" s="55"/>
      <c r="D1105" s="55"/>
      <c r="E1105" s="55"/>
      <c r="F1105" s="55"/>
      <c r="G1105" s="55"/>
      <c r="H1105" s="55"/>
      <c r="I1105" s="56"/>
      <c r="K1105" s="301" t="s">
        <v>77</v>
      </c>
      <c r="L1105" s="301" t="s">
        <v>75</v>
      </c>
      <c r="M1105" s="301" t="str">
        <f ca="1">INDEX(tblGoSubRoutineStartCell[StartCell],MATCH(B1105,tblGoSubRoutineStartCell[GoSub Routine],0))</f>
        <v>K56</v>
      </c>
      <c r="R1105" s="177"/>
      <c r="S1105" s="177"/>
      <c r="T1105" s="177"/>
      <c r="U1105" s="177"/>
      <c r="V1105" s="177"/>
      <c r="W1105" s="177"/>
      <c r="X1105" s="177"/>
      <c r="Y1105" s="177"/>
      <c r="Z1105" s="177"/>
      <c r="AA1105" s="177"/>
      <c r="AB1105" s="177"/>
      <c r="AC1105" s="177"/>
      <c r="AD1105" s="177"/>
      <c r="AE1105" s="177"/>
      <c r="AF1105" s="177"/>
      <c r="AG1105" s="177"/>
      <c r="AH1105" s="177"/>
      <c r="AI1105" s="177"/>
      <c r="AJ1105" s="177"/>
    </row>
    <row r="1106" spans="1:36" s="45" customFormat="1" ht="12.75" hidden="1" customHeight="1">
      <c r="A1106" s="504" t="str">
        <f>_xlfn.CONCAT(section_6_heading," Overall Verdict")</f>
        <v>Suppressor Overall Verdict</v>
      </c>
      <c r="B1106" s="505"/>
      <c r="C1106" s="505"/>
      <c r="D1106" s="505"/>
      <c r="E1106" s="505"/>
      <c r="F1106" s="505"/>
      <c r="G1106" s="506"/>
      <c r="H1106" s="513" t="str" cm="1">
        <f t="array" ref="H1106">_xlfn.IFS(COUNTIF(section_6_results,"TBC")&gt;0,"Incomplete",COUNT(IF(ISERROR(section_6_results),1,""))&gt;0,"VALUE ERROR",COUNTIF(section_6_results,"Fail")&gt;0,"Fail",COUNTIF(unit_type,"")&gt;0,"NO UNIT TYPE",COUNTIF(serial_number,"")&gt;0,"NO SERIAL NUMBER",COUNTIF(tester_name,"")&gt;0,"NO TESTER ID",TRUE,"Pass")</f>
        <v>Incomplete</v>
      </c>
      <c r="I1106" s="514"/>
      <c r="K1106" s="50"/>
      <c r="R1106" s="177"/>
      <c r="S1106" s="177"/>
      <c r="T1106" s="177"/>
      <c r="U1106" s="177"/>
      <c r="V1106" s="177"/>
      <c r="W1106" s="177"/>
      <c r="X1106" s="177"/>
      <c r="Y1106" s="177"/>
      <c r="Z1106" s="177"/>
      <c r="AA1106" s="177"/>
      <c r="AB1106" s="177"/>
      <c r="AC1106" s="177"/>
      <c r="AD1106" s="177"/>
      <c r="AE1106" s="177"/>
      <c r="AF1106" s="177"/>
      <c r="AG1106" s="177"/>
      <c r="AH1106" s="177"/>
      <c r="AI1106" s="177"/>
      <c r="AJ1106" s="177"/>
    </row>
    <row r="1107" spans="1:36" s="45" customFormat="1" ht="12.75" hidden="1" customHeight="1">
      <c r="A1107" s="507"/>
      <c r="B1107" s="508"/>
      <c r="C1107" s="508"/>
      <c r="D1107" s="508"/>
      <c r="E1107" s="508"/>
      <c r="F1107" s="508"/>
      <c r="G1107" s="509"/>
      <c r="H1107" s="515"/>
      <c r="I1107" s="516"/>
      <c r="K1107" s="50"/>
      <c r="R1107" s="177"/>
      <c r="S1107" s="177"/>
      <c r="T1107" s="177"/>
      <c r="U1107" s="177"/>
      <c r="V1107" s="177"/>
      <c r="W1107" s="177"/>
      <c r="X1107" s="177"/>
      <c r="Y1107" s="177"/>
      <c r="Z1107" s="177"/>
      <c r="AA1107" s="177"/>
      <c r="AB1107" s="177"/>
      <c r="AC1107" s="177"/>
      <c r="AD1107" s="177"/>
      <c r="AE1107" s="177"/>
      <c r="AF1107" s="177"/>
      <c r="AG1107" s="177"/>
      <c r="AH1107" s="177"/>
      <c r="AI1107" s="177"/>
      <c r="AJ1107" s="177"/>
    </row>
    <row r="1108" spans="1:36" s="45" customFormat="1" ht="13.5" hidden="1" customHeight="1" thickBot="1">
      <c r="A1108" s="510"/>
      <c r="B1108" s="511"/>
      <c r="C1108" s="511"/>
      <c r="D1108" s="511"/>
      <c r="E1108" s="511"/>
      <c r="F1108" s="511"/>
      <c r="G1108" s="512"/>
      <c r="H1108" s="517"/>
      <c r="I1108" s="518"/>
      <c r="K1108" s="50"/>
      <c r="R1108" s="177"/>
      <c r="S1108" s="177"/>
      <c r="T1108" s="177"/>
      <c r="U1108" s="177"/>
      <c r="V1108" s="177"/>
      <c r="W1108" s="177"/>
      <c r="X1108" s="177"/>
      <c r="Y1108" s="177"/>
      <c r="Z1108" s="177"/>
      <c r="AA1108" s="177"/>
      <c r="AB1108" s="177"/>
      <c r="AC1108" s="177"/>
      <c r="AD1108" s="177"/>
      <c r="AE1108" s="177"/>
      <c r="AF1108" s="177"/>
      <c r="AG1108" s="177"/>
      <c r="AH1108" s="177"/>
      <c r="AI1108" s="177"/>
      <c r="AJ1108" s="177"/>
    </row>
    <row r="1109" spans="1:36" s="45" customFormat="1" ht="24" hidden="1" thickBot="1">
      <c r="A1109" s="304">
        <v>7</v>
      </c>
      <c r="B1109" s="633" t="s">
        <v>530</v>
      </c>
      <c r="C1109" s="634"/>
      <c r="D1109" s="634"/>
      <c r="E1109" s="634"/>
      <c r="F1109" s="634"/>
      <c r="G1109" s="634"/>
      <c r="H1109" s="634"/>
      <c r="I1109" s="635"/>
      <c r="K1109" s="50"/>
      <c r="R1109" s="177"/>
      <c r="S1109" s="177"/>
      <c r="T1109" s="177"/>
      <c r="U1109" s="177"/>
      <c r="V1109" s="177"/>
      <c r="W1109" s="177"/>
      <c r="X1109" s="177"/>
      <c r="Y1109" s="177"/>
      <c r="Z1109" s="177"/>
      <c r="AA1109" s="177"/>
      <c r="AB1109" s="177"/>
      <c r="AC1109" s="177"/>
      <c r="AD1109" s="177"/>
      <c r="AE1109" s="177"/>
      <c r="AF1109" s="177"/>
      <c r="AG1109" s="177"/>
      <c r="AH1109" s="177"/>
      <c r="AI1109" s="177"/>
      <c r="AJ1109" s="177"/>
    </row>
    <row r="1110" spans="1:36" s="45" customFormat="1" hidden="1">
      <c r="A1110" s="468" t="s">
        <v>363</v>
      </c>
      <c r="B1110" s="469"/>
      <c r="C1110" s="469"/>
      <c r="D1110" s="469"/>
      <c r="E1110" s="469"/>
      <c r="F1110" s="469"/>
      <c r="G1110" s="469"/>
      <c r="H1110" s="469"/>
      <c r="I1110" s="470"/>
      <c r="K1110" s="50"/>
      <c r="R1110" s="177"/>
      <c r="S1110" s="177"/>
      <c r="T1110" s="177"/>
      <c r="U1110" s="177"/>
      <c r="V1110" s="177"/>
      <c r="W1110" s="177"/>
      <c r="X1110" s="177"/>
      <c r="Y1110" s="177"/>
      <c r="Z1110" s="177"/>
      <c r="AA1110" s="177"/>
      <c r="AB1110" s="177"/>
      <c r="AC1110" s="177"/>
      <c r="AD1110" s="177"/>
      <c r="AE1110" s="177"/>
      <c r="AF1110" s="177"/>
      <c r="AG1110" s="177"/>
      <c r="AH1110" s="177"/>
      <c r="AI1110" s="177"/>
      <c r="AJ1110" s="177"/>
    </row>
    <row r="1111" spans="1:36" s="45" customFormat="1" hidden="1">
      <c r="A1111" s="471"/>
      <c r="B1111" s="472"/>
      <c r="C1111" s="472"/>
      <c r="D1111" s="472"/>
      <c r="E1111" s="472"/>
      <c r="F1111" s="472"/>
      <c r="G1111" s="472"/>
      <c r="H1111" s="472"/>
      <c r="I1111" s="473"/>
      <c r="K1111" s="50"/>
      <c r="R1111" s="177"/>
      <c r="S1111" s="177"/>
      <c r="T1111" s="177"/>
      <c r="U1111" s="177"/>
      <c r="V1111" s="177"/>
      <c r="W1111" s="177"/>
      <c r="X1111" s="177"/>
      <c r="Y1111" s="177"/>
      <c r="Z1111" s="177"/>
      <c r="AA1111" s="177"/>
      <c r="AB1111" s="177"/>
      <c r="AC1111" s="177"/>
      <c r="AD1111" s="177"/>
      <c r="AE1111" s="177"/>
      <c r="AF1111" s="177"/>
      <c r="AG1111" s="177"/>
      <c r="AH1111" s="177"/>
      <c r="AI1111" s="177"/>
      <c r="AJ1111" s="177"/>
    </row>
    <row r="1112" spans="1:36" s="45" customFormat="1" hidden="1">
      <c r="A1112" s="471"/>
      <c r="B1112" s="472"/>
      <c r="C1112" s="472"/>
      <c r="D1112" s="472"/>
      <c r="E1112" s="472"/>
      <c r="F1112" s="472"/>
      <c r="G1112" s="472"/>
      <c r="H1112" s="472"/>
      <c r="I1112" s="473"/>
      <c r="K1112" s="50"/>
      <c r="R1112" s="177"/>
      <c r="S1112" s="177"/>
      <c r="T1112" s="177"/>
      <c r="U1112" s="177"/>
      <c r="V1112" s="177"/>
      <c r="W1112" s="177"/>
      <c r="X1112" s="177"/>
      <c r="Y1112" s="177"/>
      <c r="Z1112" s="177"/>
      <c r="AA1112" s="177"/>
      <c r="AB1112" s="177"/>
      <c r="AC1112" s="177"/>
      <c r="AD1112" s="177"/>
      <c r="AE1112" s="177"/>
      <c r="AF1112" s="177"/>
      <c r="AG1112" s="177"/>
      <c r="AH1112" s="177"/>
      <c r="AI1112" s="177"/>
      <c r="AJ1112" s="177"/>
    </row>
    <row r="1113" spans="1:36" s="45" customFormat="1" hidden="1">
      <c r="A1113" s="471"/>
      <c r="B1113" s="472"/>
      <c r="C1113" s="472"/>
      <c r="D1113" s="472"/>
      <c r="E1113" s="472"/>
      <c r="F1113" s="472"/>
      <c r="G1113" s="472"/>
      <c r="H1113" s="472"/>
      <c r="I1113" s="473"/>
      <c r="K1113" s="50"/>
      <c r="R1113" s="177"/>
      <c r="S1113" s="177"/>
      <c r="T1113" s="177"/>
      <c r="U1113" s="177"/>
      <c r="V1113" s="177"/>
      <c r="W1113" s="177"/>
      <c r="X1113" s="177"/>
      <c r="Y1113" s="177"/>
      <c r="Z1113" s="177"/>
      <c r="AA1113" s="177"/>
      <c r="AB1113" s="177"/>
      <c r="AC1113" s="177"/>
      <c r="AD1113" s="177"/>
      <c r="AE1113" s="177"/>
      <c r="AF1113" s="177"/>
      <c r="AG1113" s="177"/>
      <c r="AH1113" s="177"/>
      <c r="AI1113" s="177"/>
      <c r="AJ1113" s="177"/>
    </row>
    <row r="1114" spans="1:36" s="45" customFormat="1" hidden="1">
      <c r="A1114" s="471"/>
      <c r="B1114" s="472"/>
      <c r="C1114" s="472"/>
      <c r="D1114" s="472"/>
      <c r="E1114" s="472"/>
      <c r="F1114" s="472"/>
      <c r="G1114" s="472"/>
      <c r="H1114" s="472"/>
      <c r="I1114" s="473"/>
      <c r="K1114" s="50"/>
      <c r="R1114" s="177"/>
      <c r="S1114" s="177"/>
      <c r="T1114" s="177"/>
      <c r="U1114" s="177"/>
      <c r="V1114" s="177"/>
      <c r="W1114" s="177"/>
      <c r="X1114" s="177"/>
      <c r="Y1114" s="177"/>
      <c r="Z1114" s="177"/>
      <c r="AA1114" s="177"/>
      <c r="AB1114" s="177"/>
      <c r="AC1114" s="177"/>
      <c r="AD1114" s="177"/>
      <c r="AE1114" s="177"/>
      <c r="AF1114" s="177"/>
      <c r="AG1114" s="177"/>
      <c r="AH1114" s="177"/>
      <c r="AI1114" s="177"/>
      <c r="AJ1114" s="177"/>
    </row>
    <row r="1115" spans="1:36" s="45" customFormat="1" hidden="1">
      <c r="A1115" s="471"/>
      <c r="B1115" s="472"/>
      <c r="C1115" s="472"/>
      <c r="D1115" s="472"/>
      <c r="E1115" s="472"/>
      <c r="F1115" s="472"/>
      <c r="G1115" s="472"/>
      <c r="H1115" s="472"/>
      <c r="I1115" s="473"/>
      <c r="K1115" s="50"/>
      <c r="R1115" s="177"/>
      <c r="S1115" s="177"/>
      <c r="T1115" s="177"/>
      <c r="U1115" s="177"/>
      <c r="V1115" s="177"/>
      <c r="W1115" s="177"/>
      <c r="X1115" s="177"/>
      <c r="Y1115" s="177"/>
      <c r="Z1115" s="177"/>
      <c r="AA1115" s="177"/>
      <c r="AB1115" s="177"/>
      <c r="AC1115" s="177"/>
      <c r="AD1115" s="177"/>
      <c r="AE1115" s="177"/>
      <c r="AF1115" s="177"/>
      <c r="AG1115" s="177"/>
      <c r="AH1115" s="177"/>
      <c r="AI1115" s="177"/>
      <c r="AJ1115" s="177"/>
    </row>
    <row r="1116" spans="1:36" s="45" customFormat="1" hidden="1">
      <c r="A1116" s="471"/>
      <c r="B1116" s="472"/>
      <c r="C1116" s="472"/>
      <c r="D1116" s="472"/>
      <c r="E1116" s="472"/>
      <c r="F1116" s="472"/>
      <c r="G1116" s="472"/>
      <c r="H1116" s="472"/>
      <c r="I1116" s="473"/>
      <c r="K1116" s="50"/>
      <c r="R1116" s="177"/>
      <c r="S1116" s="177"/>
      <c r="T1116" s="177"/>
      <c r="U1116" s="177"/>
      <c r="V1116" s="177"/>
      <c r="W1116" s="177"/>
      <c r="X1116" s="177"/>
      <c r="Y1116" s="177"/>
      <c r="Z1116" s="177"/>
      <c r="AA1116" s="177"/>
      <c r="AB1116" s="177"/>
      <c r="AC1116" s="177"/>
      <c r="AD1116" s="177"/>
      <c r="AE1116" s="177"/>
      <c r="AF1116" s="177"/>
      <c r="AG1116" s="177"/>
      <c r="AH1116" s="177"/>
      <c r="AI1116" s="177"/>
      <c r="AJ1116" s="177"/>
    </row>
    <row r="1117" spans="1:36" s="45" customFormat="1" hidden="1">
      <c r="A1117" s="471"/>
      <c r="B1117" s="472"/>
      <c r="C1117" s="472"/>
      <c r="D1117" s="472"/>
      <c r="E1117" s="472"/>
      <c r="F1117" s="472"/>
      <c r="G1117" s="472"/>
      <c r="H1117" s="472"/>
      <c r="I1117" s="473"/>
      <c r="K1117" s="50"/>
      <c r="R1117" s="177"/>
      <c r="S1117" s="177"/>
      <c r="T1117" s="177"/>
      <c r="U1117" s="177"/>
      <c r="V1117" s="177"/>
      <c r="W1117" s="177"/>
      <c r="X1117" s="177"/>
      <c r="Y1117" s="177"/>
      <c r="Z1117" s="177"/>
      <c r="AA1117" s="177"/>
      <c r="AB1117" s="177"/>
      <c r="AC1117" s="177"/>
      <c r="AD1117" s="177"/>
      <c r="AE1117" s="177"/>
      <c r="AF1117" s="177"/>
      <c r="AG1117" s="177"/>
      <c r="AH1117" s="177"/>
      <c r="AI1117" s="177"/>
      <c r="AJ1117" s="177"/>
    </row>
    <row r="1118" spans="1:36" s="45" customFormat="1" hidden="1">
      <c r="A1118" s="471"/>
      <c r="B1118" s="472"/>
      <c r="C1118" s="472"/>
      <c r="D1118" s="472"/>
      <c r="E1118" s="472"/>
      <c r="F1118" s="472"/>
      <c r="G1118" s="472"/>
      <c r="H1118" s="472"/>
      <c r="I1118" s="473"/>
      <c r="K1118" s="50"/>
      <c r="R1118" s="177"/>
      <c r="S1118" s="177"/>
      <c r="T1118" s="177"/>
      <c r="U1118" s="177"/>
      <c r="V1118" s="177"/>
      <c r="W1118" s="177"/>
      <c r="X1118" s="177"/>
      <c r="Y1118" s="177"/>
      <c r="Z1118" s="177"/>
      <c r="AA1118" s="177"/>
      <c r="AB1118" s="177"/>
      <c r="AC1118" s="177"/>
      <c r="AD1118" s="177"/>
      <c r="AE1118" s="177"/>
      <c r="AF1118" s="177"/>
      <c r="AG1118" s="177"/>
      <c r="AH1118" s="177"/>
      <c r="AI1118" s="177"/>
      <c r="AJ1118" s="177"/>
    </row>
    <row r="1119" spans="1:36" s="45" customFormat="1" hidden="1">
      <c r="A1119" s="471"/>
      <c r="B1119" s="472"/>
      <c r="C1119" s="472"/>
      <c r="D1119" s="472"/>
      <c r="E1119" s="472"/>
      <c r="F1119" s="472"/>
      <c r="G1119" s="472"/>
      <c r="H1119" s="472"/>
      <c r="I1119" s="473"/>
      <c r="K1119" s="50"/>
      <c r="R1119" s="177"/>
      <c r="S1119" s="177"/>
      <c r="T1119" s="177"/>
      <c r="U1119" s="177"/>
      <c r="V1119" s="177"/>
      <c r="W1119" s="177"/>
      <c r="X1119" s="177"/>
      <c r="Y1119" s="177"/>
      <c r="Z1119" s="177"/>
      <c r="AA1119" s="177"/>
      <c r="AB1119" s="177"/>
      <c r="AC1119" s="177"/>
      <c r="AD1119" s="177"/>
      <c r="AE1119" s="177"/>
      <c r="AF1119" s="177"/>
      <c r="AG1119" s="177"/>
      <c r="AH1119" s="177"/>
      <c r="AI1119" s="177"/>
      <c r="AJ1119" s="177"/>
    </row>
    <row r="1120" spans="1:36" s="45" customFormat="1" hidden="1">
      <c r="A1120" s="471"/>
      <c r="B1120" s="472"/>
      <c r="C1120" s="472"/>
      <c r="D1120" s="472"/>
      <c r="E1120" s="472"/>
      <c r="F1120" s="472"/>
      <c r="G1120" s="472"/>
      <c r="H1120" s="472"/>
      <c r="I1120" s="473"/>
      <c r="K1120" s="50"/>
      <c r="R1120" s="177"/>
      <c r="S1120" s="177"/>
      <c r="T1120" s="177"/>
      <c r="U1120" s="177"/>
      <c r="V1120" s="177"/>
      <c r="W1120" s="177"/>
      <c r="X1120" s="177"/>
      <c r="Y1120" s="177"/>
      <c r="Z1120" s="177"/>
      <c r="AA1120" s="177"/>
      <c r="AB1120" s="177"/>
      <c r="AC1120" s="177"/>
      <c r="AD1120" s="177"/>
      <c r="AE1120" s="177"/>
      <c r="AF1120" s="177"/>
      <c r="AG1120" s="177"/>
      <c r="AH1120" s="177"/>
      <c r="AI1120" s="177"/>
      <c r="AJ1120" s="177"/>
    </row>
    <row r="1121" spans="1:36" s="45" customFormat="1" hidden="1">
      <c r="A1121" s="471"/>
      <c r="B1121" s="472"/>
      <c r="C1121" s="472"/>
      <c r="D1121" s="472"/>
      <c r="E1121" s="472"/>
      <c r="F1121" s="472"/>
      <c r="G1121" s="472"/>
      <c r="H1121" s="472"/>
      <c r="I1121" s="473"/>
      <c r="K1121" s="50"/>
      <c r="R1121" s="177"/>
      <c r="S1121" s="177"/>
      <c r="T1121" s="177"/>
      <c r="U1121" s="177"/>
      <c r="V1121" s="177"/>
      <c r="W1121" s="177"/>
      <c r="X1121" s="177"/>
      <c r="Y1121" s="177"/>
      <c r="Z1121" s="177"/>
      <c r="AA1121" s="177"/>
      <c r="AB1121" s="177"/>
      <c r="AC1121" s="177"/>
      <c r="AD1121" s="177"/>
      <c r="AE1121" s="177"/>
      <c r="AF1121" s="177"/>
      <c r="AG1121" s="177"/>
      <c r="AH1121" s="177"/>
      <c r="AI1121" s="177"/>
      <c r="AJ1121" s="177"/>
    </row>
    <row r="1122" spans="1:36" s="45" customFormat="1" hidden="1">
      <c r="A1122" s="471"/>
      <c r="B1122" s="472"/>
      <c r="C1122" s="472"/>
      <c r="D1122" s="472"/>
      <c r="E1122" s="472"/>
      <c r="F1122" s="472"/>
      <c r="G1122" s="472"/>
      <c r="H1122" s="472"/>
      <c r="I1122" s="473"/>
      <c r="K1122" s="50"/>
      <c r="R1122" s="177"/>
      <c r="S1122" s="177"/>
      <c r="T1122" s="177"/>
      <c r="U1122" s="177"/>
      <c r="V1122" s="177"/>
      <c r="W1122" s="177"/>
      <c r="X1122" s="177"/>
      <c r="Y1122" s="177"/>
      <c r="Z1122" s="177"/>
      <c r="AA1122" s="177"/>
      <c r="AB1122" s="177"/>
      <c r="AC1122" s="177"/>
      <c r="AD1122" s="177"/>
      <c r="AE1122" s="177"/>
      <c r="AF1122" s="177"/>
      <c r="AG1122" s="177"/>
      <c r="AH1122" s="177"/>
      <c r="AI1122" s="177"/>
      <c r="AJ1122" s="177"/>
    </row>
    <row r="1123" spans="1:36" s="45" customFormat="1" hidden="1">
      <c r="A1123" s="471"/>
      <c r="B1123" s="472"/>
      <c r="C1123" s="472"/>
      <c r="D1123" s="472"/>
      <c r="E1123" s="472"/>
      <c r="F1123" s="472"/>
      <c r="G1123" s="472"/>
      <c r="H1123" s="472"/>
      <c r="I1123" s="473"/>
      <c r="K1123" s="50"/>
      <c r="R1123" s="177"/>
      <c r="S1123" s="177"/>
      <c r="T1123" s="177"/>
      <c r="U1123" s="177"/>
      <c r="V1123" s="177"/>
      <c r="W1123" s="177"/>
      <c r="X1123" s="177"/>
      <c r="Y1123" s="177"/>
      <c r="Z1123" s="177"/>
      <c r="AA1123" s="177"/>
      <c r="AB1123" s="177"/>
      <c r="AC1123" s="177"/>
      <c r="AD1123" s="177"/>
      <c r="AE1123" s="177"/>
      <c r="AF1123" s="177"/>
      <c r="AG1123" s="177"/>
      <c r="AH1123" s="177"/>
      <c r="AI1123" s="177"/>
      <c r="AJ1123" s="177"/>
    </row>
    <row r="1124" spans="1:36" s="45" customFormat="1" hidden="1">
      <c r="A1124" s="471"/>
      <c r="B1124" s="472"/>
      <c r="C1124" s="472"/>
      <c r="D1124" s="472"/>
      <c r="E1124" s="472"/>
      <c r="F1124" s="472"/>
      <c r="G1124" s="472"/>
      <c r="H1124" s="472"/>
      <c r="I1124" s="473"/>
      <c r="K1124" s="50"/>
      <c r="R1124" s="177"/>
      <c r="S1124" s="177"/>
      <c r="T1124" s="177"/>
      <c r="U1124" s="177"/>
      <c r="V1124" s="177"/>
      <c r="W1124" s="177"/>
      <c r="X1124" s="177"/>
      <c r="Y1124" s="177"/>
      <c r="Z1124" s="177"/>
      <c r="AA1124" s="177"/>
      <c r="AB1124" s="177"/>
      <c r="AC1124" s="177"/>
      <c r="AD1124" s="177"/>
      <c r="AE1124" s="177"/>
      <c r="AF1124" s="177"/>
      <c r="AG1124" s="177"/>
      <c r="AH1124" s="177"/>
      <c r="AI1124" s="177"/>
      <c r="AJ1124" s="177"/>
    </row>
    <row r="1125" spans="1:36" s="45" customFormat="1" hidden="1">
      <c r="A1125" s="471"/>
      <c r="B1125" s="472"/>
      <c r="C1125" s="472"/>
      <c r="D1125" s="472"/>
      <c r="E1125" s="472"/>
      <c r="F1125" s="472"/>
      <c r="G1125" s="472"/>
      <c r="H1125" s="472"/>
      <c r="I1125" s="473"/>
      <c r="K1125" s="50"/>
      <c r="R1125" s="177"/>
      <c r="S1125" s="177"/>
      <c r="T1125" s="177"/>
      <c r="U1125" s="177"/>
      <c r="V1125" s="177"/>
      <c r="W1125" s="177"/>
      <c r="X1125" s="177"/>
      <c r="Y1125" s="177"/>
      <c r="Z1125" s="177"/>
      <c r="AA1125" s="177"/>
      <c r="AB1125" s="177"/>
      <c r="AC1125" s="177"/>
      <c r="AD1125" s="177"/>
      <c r="AE1125" s="177"/>
      <c r="AF1125" s="177"/>
      <c r="AG1125" s="177"/>
      <c r="AH1125" s="177"/>
      <c r="AI1125" s="177"/>
      <c r="AJ1125" s="177"/>
    </row>
    <row r="1126" spans="1:36" s="45" customFormat="1" hidden="1">
      <c r="A1126" s="471"/>
      <c r="B1126" s="472"/>
      <c r="C1126" s="472"/>
      <c r="D1126" s="472"/>
      <c r="E1126" s="472"/>
      <c r="F1126" s="472"/>
      <c r="G1126" s="472"/>
      <c r="H1126" s="472"/>
      <c r="I1126" s="473"/>
      <c r="K1126" s="50"/>
      <c r="R1126" s="177"/>
      <c r="S1126" s="177"/>
      <c r="T1126" s="177"/>
      <c r="U1126" s="177"/>
      <c r="V1126" s="177"/>
      <c r="W1126" s="177"/>
      <c r="X1126" s="177"/>
      <c r="Y1126" s="177"/>
      <c r="Z1126" s="177"/>
      <c r="AA1126" s="177"/>
      <c r="AB1126" s="177"/>
      <c r="AC1126" s="177"/>
      <c r="AD1126" s="177"/>
      <c r="AE1126" s="177"/>
      <c r="AF1126" s="177"/>
      <c r="AG1126" s="177"/>
      <c r="AH1126" s="177"/>
      <c r="AI1126" s="177"/>
      <c r="AJ1126" s="177"/>
    </row>
    <row r="1127" spans="1:36" s="45" customFormat="1" hidden="1">
      <c r="A1127" s="471"/>
      <c r="B1127" s="472"/>
      <c r="C1127" s="472"/>
      <c r="D1127" s="472"/>
      <c r="E1127" s="472"/>
      <c r="F1127" s="472"/>
      <c r="G1127" s="472"/>
      <c r="H1127" s="472"/>
      <c r="I1127" s="473"/>
      <c r="K1127" s="50"/>
      <c r="R1127" s="177"/>
      <c r="S1127" s="177"/>
      <c r="T1127" s="177"/>
      <c r="U1127" s="177"/>
      <c r="V1127" s="177"/>
      <c r="W1127" s="177"/>
      <c r="X1127" s="177"/>
      <c r="Y1127" s="177"/>
      <c r="Z1127" s="177"/>
      <c r="AA1127" s="177"/>
      <c r="AB1127" s="177"/>
      <c r="AC1127" s="177"/>
      <c r="AD1127" s="177"/>
      <c r="AE1127" s="177"/>
      <c r="AF1127" s="177"/>
      <c r="AG1127" s="177"/>
      <c r="AH1127" s="177"/>
      <c r="AI1127" s="177"/>
      <c r="AJ1127" s="177"/>
    </row>
    <row r="1128" spans="1:36" s="45" customFormat="1" hidden="1">
      <c r="A1128" s="471"/>
      <c r="B1128" s="472"/>
      <c r="C1128" s="472"/>
      <c r="D1128" s="472"/>
      <c r="E1128" s="472"/>
      <c r="F1128" s="472"/>
      <c r="G1128" s="472"/>
      <c r="H1128" s="472"/>
      <c r="I1128" s="473"/>
      <c r="K1128" s="50"/>
      <c r="R1128" s="177"/>
      <c r="S1128" s="177"/>
      <c r="T1128" s="177"/>
      <c r="U1128" s="177"/>
      <c r="V1128" s="177"/>
      <c r="W1128" s="177"/>
      <c r="X1128" s="177"/>
      <c r="Y1128" s="177"/>
      <c r="Z1128" s="177"/>
      <c r="AA1128" s="177"/>
      <c r="AB1128" s="177"/>
      <c r="AC1128" s="177"/>
      <c r="AD1128" s="177"/>
      <c r="AE1128" s="177"/>
      <c r="AF1128" s="177"/>
      <c r="AG1128" s="177"/>
      <c r="AH1128" s="177"/>
      <c r="AI1128" s="177"/>
      <c r="AJ1128" s="177"/>
    </row>
    <row r="1129" spans="1:36" s="45" customFormat="1" hidden="1">
      <c r="A1129" s="471"/>
      <c r="B1129" s="472"/>
      <c r="C1129" s="472"/>
      <c r="D1129" s="472"/>
      <c r="E1129" s="472"/>
      <c r="F1129" s="472"/>
      <c r="G1129" s="472"/>
      <c r="H1129" s="472"/>
      <c r="I1129" s="473"/>
      <c r="K1129" s="50"/>
      <c r="R1129" s="177"/>
      <c r="S1129" s="177"/>
      <c r="T1129" s="177"/>
      <c r="U1129" s="177"/>
      <c r="V1129" s="177"/>
      <c r="W1129" s="177"/>
      <c r="X1129" s="177"/>
      <c r="Y1129" s="177"/>
      <c r="Z1129" s="177"/>
      <c r="AA1129" s="177"/>
      <c r="AB1129" s="177"/>
      <c r="AC1129" s="177"/>
      <c r="AD1129" s="177"/>
      <c r="AE1129" s="177"/>
      <c r="AF1129" s="177"/>
      <c r="AG1129" s="177"/>
      <c r="AH1129" s="177"/>
      <c r="AI1129" s="177"/>
      <c r="AJ1129" s="177"/>
    </row>
    <row r="1130" spans="1:36" s="45" customFormat="1" ht="14.25" hidden="1" customHeight="1">
      <c r="A1130" s="471"/>
      <c r="B1130" s="472"/>
      <c r="C1130" s="472"/>
      <c r="D1130" s="472"/>
      <c r="E1130" s="472"/>
      <c r="F1130" s="472"/>
      <c r="G1130" s="472"/>
      <c r="H1130" s="472"/>
      <c r="I1130" s="473"/>
      <c r="K1130" s="50"/>
      <c r="R1130" s="177"/>
      <c r="S1130" s="177"/>
      <c r="T1130" s="177"/>
      <c r="U1130" s="177"/>
      <c r="V1130" s="177"/>
      <c r="W1130" s="177"/>
      <c r="X1130" s="177"/>
      <c r="Y1130" s="177"/>
      <c r="Z1130" s="177"/>
      <c r="AA1130" s="177"/>
      <c r="AB1130" s="177"/>
      <c r="AC1130" s="177"/>
      <c r="AD1130" s="177"/>
      <c r="AE1130" s="177"/>
      <c r="AF1130" s="177"/>
      <c r="AG1130" s="177"/>
      <c r="AH1130" s="177"/>
      <c r="AI1130" s="177"/>
      <c r="AJ1130" s="177"/>
    </row>
    <row r="1131" spans="1:36" s="45" customFormat="1" hidden="1">
      <c r="A1131" s="471"/>
      <c r="B1131" s="472"/>
      <c r="C1131" s="472"/>
      <c r="D1131" s="472"/>
      <c r="E1131" s="472"/>
      <c r="F1131" s="472"/>
      <c r="G1131" s="472"/>
      <c r="H1131" s="472"/>
      <c r="I1131" s="473"/>
      <c r="K1131" s="50"/>
      <c r="R1131" s="177"/>
      <c r="S1131" s="177"/>
      <c r="T1131" s="177"/>
      <c r="U1131" s="177"/>
      <c r="V1131" s="177"/>
      <c r="W1131" s="177"/>
      <c r="X1131" s="177"/>
      <c r="Y1131" s="177"/>
      <c r="Z1131" s="177"/>
      <c r="AA1131" s="177"/>
      <c r="AB1131" s="177"/>
      <c r="AC1131" s="177"/>
      <c r="AD1131" s="177"/>
      <c r="AE1131" s="177"/>
      <c r="AF1131" s="177"/>
      <c r="AG1131" s="177"/>
      <c r="AH1131" s="177"/>
      <c r="AI1131" s="177"/>
      <c r="AJ1131" s="177"/>
    </row>
    <row r="1132" spans="1:36" s="45" customFormat="1" hidden="1">
      <c r="A1132" s="471"/>
      <c r="B1132" s="472"/>
      <c r="C1132" s="472"/>
      <c r="D1132" s="472"/>
      <c r="E1132" s="472"/>
      <c r="F1132" s="472"/>
      <c r="G1132" s="472"/>
      <c r="H1132" s="472"/>
      <c r="I1132" s="473"/>
      <c r="K1132" s="50"/>
      <c r="R1132" s="177"/>
      <c r="S1132" s="177"/>
      <c r="T1132" s="177"/>
      <c r="U1132" s="177"/>
      <c r="V1132" s="177"/>
      <c r="W1132" s="177"/>
      <c r="X1132" s="177"/>
      <c r="Y1132" s="177"/>
      <c r="Z1132" s="177"/>
      <c r="AA1132" s="177"/>
      <c r="AB1132" s="177"/>
      <c r="AC1132" s="177"/>
      <c r="AD1132" s="177"/>
      <c r="AE1132" s="177"/>
      <c r="AF1132" s="177"/>
      <c r="AG1132" s="177"/>
      <c r="AH1132" s="177"/>
      <c r="AI1132" s="177"/>
      <c r="AJ1132" s="177"/>
    </row>
    <row r="1133" spans="1:36" s="45" customFormat="1" hidden="1">
      <c r="A1133" s="471"/>
      <c r="B1133" s="472"/>
      <c r="C1133" s="472"/>
      <c r="D1133" s="472"/>
      <c r="E1133" s="472"/>
      <c r="F1133" s="472"/>
      <c r="G1133" s="472"/>
      <c r="H1133" s="472"/>
      <c r="I1133" s="473"/>
      <c r="K1133" s="50"/>
      <c r="R1133" s="177"/>
      <c r="S1133" s="177"/>
      <c r="T1133" s="177"/>
      <c r="U1133" s="177"/>
      <c r="V1133" s="177"/>
      <c r="W1133" s="177"/>
      <c r="X1133" s="177"/>
      <c r="Y1133" s="177"/>
      <c r="Z1133" s="177"/>
      <c r="AA1133" s="177"/>
      <c r="AB1133" s="177"/>
      <c r="AC1133" s="177"/>
      <c r="AD1133" s="177"/>
      <c r="AE1133" s="177"/>
      <c r="AF1133" s="177"/>
      <c r="AG1133" s="177"/>
      <c r="AH1133" s="177"/>
      <c r="AI1133" s="177"/>
      <c r="AJ1133" s="177"/>
    </row>
    <row r="1134" spans="1:36" s="45" customFormat="1" hidden="1">
      <c r="A1134" s="471"/>
      <c r="B1134" s="472"/>
      <c r="C1134" s="472"/>
      <c r="D1134" s="472"/>
      <c r="E1134" s="472"/>
      <c r="F1134" s="472"/>
      <c r="G1134" s="472"/>
      <c r="H1134" s="472"/>
      <c r="I1134" s="473"/>
      <c r="K1134" s="50"/>
      <c r="R1134" s="177"/>
      <c r="S1134" s="177"/>
      <c r="T1134" s="177"/>
      <c r="U1134" s="177"/>
      <c r="V1134" s="177"/>
      <c r="W1134" s="177"/>
      <c r="X1134" s="177"/>
      <c r="Y1134" s="177"/>
      <c r="Z1134" s="177"/>
      <c r="AA1134" s="177"/>
      <c r="AB1134" s="177"/>
      <c r="AC1134" s="177"/>
      <c r="AD1134" s="177"/>
      <c r="AE1134" s="177"/>
      <c r="AF1134" s="177"/>
      <c r="AG1134" s="177"/>
      <c r="AH1134" s="177"/>
      <c r="AI1134" s="177"/>
      <c r="AJ1134" s="177"/>
    </row>
    <row r="1135" spans="1:36" s="45" customFormat="1" hidden="1">
      <c r="A1135" s="471"/>
      <c r="B1135" s="472"/>
      <c r="C1135" s="472"/>
      <c r="D1135" s="472"/>
      <c r="E1135" s="472"/>
      <c r="F1135" s="472"/>
      <c r="G1135" s="472"/>
      <c r="H1135" s="472"/>
      <c r="I1135" s="473"/>
      <c r="K1135" s="50"/>
      <c r="R1135" s="177"/>
      <c r="S1135" s="177"/>
      <c r="T1135" s="177"/>
      <c r="U1135" s="177"/>
      <c r="V1135" s="177"/>
      <c r="W1135" s="177"/>
      <c r="X1135" s="177"/>
      <c r="Y1135" s="177"/>
      <c r="Z1135" s="177"/>
      <c r="AA1135" s="177"/>
      <c r="AB1135" s="177"/>
      <c r="AC1135" s="177"/>
      <c r="AD1135" s="177"/>
      <c r="AE1135" s="177"/>
      <c r="AF1135" s="177"/>
      <c r="AG1135" s="177"/>
      <c r="AH1135" s="177"/>
      <c r="AI1135" s="177"/>
      <c r="AJ1135" s="177"/>
    </row>
    <row r="1136" spans="1:36" s="45" customFormat="1" hidden="1">
      <c r="A1136" s="471"/>
      <c r="B1136" s="472"/>
      <c r="C1136" s="472"/>
      <c r="D1136" s="472"/>
      <c r="E1136" s="472"/>
      <c r="F1136" s="472"/>
      <c r="G1136" s="472"/>
      <c r="H1136" s="472"/>
      <c r="I1136" s="473"/>
      <c r="K1136" s="50"/>
      <c r="R1136" s="177"/>
      <c r="S1136" s="177"/>
      <c r="T1136" s="177"/>
      <c r="U1136" s="177"/>
      <c r="V1136" s="177"/>
      <c r="W1136" s="177"/>
      <c r="X1136" s="177"/>
      <c r="Y1136" s="177"/>
      <c r="Z1136" s="177"/>
      <c r="AA1136" s="177"/>
      <c r="AB1136" s="177"/>
      <c r="AC1136" s="177"/>
      <c r="AD1136" s="177"/>
      <c r="AE1136" s="177"/>
      <c r="AF1136" s="177"/>
      <c r="AG1136" s="177"/>
      <c r="AH1136" s="177"/>
      <c r="AI1136" s="177"/>
      <c r="AJ1136" s="177"/>
    </row>
    <row r="1137" spans="1:36" s="45" customFormat="1" hidden="1">
      <c r="A1137" s="471"/>
      <c r="B1137" s="472"/>
      <c r="C1137" s="472"/>
      <c r="D1137" s="472"/>
      <c r="E1137" s="472"/>
      <c r="F1137" s="472"/>
      <c r="G1137" s="472"/>
      <c r="H1137" s="472"/>
      <c r="I1137" s="473"/>
      <c r="K1137" s="50"/>
      <c r="R1137" s="177"/>
      <c r="S1137" s="177"/>
      <c r="T1137" s="177"/>
      <c r="U1137" s="177"/>
      <c r="V1137" s="177"/>
      <c r="W1137" s="177"/>
      <c r="X1137" s="177"/>
      <c r="Y1137" s="177"/>
      <c r="Z1137" s="177"/>
      <c r="AA1137" s="177"/>
      <c r="AB1137" s="177"/>
      <c r="AC1137" s="177"/>
      <c r="AD1137" s="177"/>
      <c r="AE1137" s="177"/>
      <c r="AF1137" s="177"/>
      <c r="AG1137" s="177"/>
      <c r="AH1137" s="177"/>
      <c r="AI1137" s="177"/>
      <c r="AJ1137" s="177"/>
    </row>
    <row r="1138" spans="1:36" s="45" customFormat="1" hidden="1">
      <c r="A1138" s="471"/>
      <c r="B1138" s="472"/>
      <c r="C1138" s="472"/>
      <c r="D1138" s="472"/>
      <c r="E1138" s="472"/>
      <c r="F1138" s="472"/>
      <c r="G1138" s="472"/>
      <c r="H1138" s="472"/>
      <c r="I1138" s="473"/>
      <c r="K1138" s="50"/>
      <c r="R1138" s="177"/>
      <c r="S1138" s="177"/>
      <c r="T1138" s="177"/>
      <c r="U1138" s="177"/>
      <c r="V1138" s="177"/>
      <c r="W1138" s="177"/>
      <c r="X1138" s="177"/>
      <c r="Y1138" s="177"/>
      <c r="Z1138" s="177"/>
      <c r="AA1138" s="177"/>
      <c r="AB1138" s="177"/>
      <c r="AC1138" s="177"/>
      <c r="AD1138" s="177"/>
      <c r="AE1138" s="177"/>
      <c r="AF1138" s="177"/>
      <c r="AG1138" s="177"/>
      <c r="AH1138" s="177"/>
      <c r="AI1138" s="177"/>
      <c r="AJ1138" s="177"/>
    </row>
    <row r="1139" spans="1:36" s="45" customFormat="1" hidden="1">
      <c r="A1139" s="471"/>
      <c r="B1139" s="472"/>
      <c r="C1139" s="472"/>
      <c r="D1139" s="472"/>
      <c r="E1139" s="472"/>
      <c r="F1139" s="472"/>
      <c r="G1139" s="472"/>
      <c r="H1139" s="472"/>
      <c r="I1139" s="473"/>
      <c r="K1139" s="50"/>
      <c r="R1139" s="177"/>
      <c r="S1139" s="177"/>
      <c r="T1139" s="177"/>
      <c r="U1139" s="177"/>
      <c r="V1139" s="177"/>
      <c r="W1139" s="177"/>
      <c r="X1139" s="177"/>
      <c r="Y1139" s="177"/>
      <c r="Z1139" s="177"/>
      <c r="AA1139" s="177"/>
      <c r="AB1139" s="177"/>
      <c r="AC1139" s="177"/>
      <c r="AD1139" s="177"/>
      <c r="AE1139" s="177"/>
      <c r="AF1139" s="177"/>
      <c r="AG1139" s="177"/>
      <c r="AH1139" s="177"/>
      <c r="AI1139" s="177"/>
      <c r="AJ1139" s="177"/>
    </row>
    <row r="1140" spans="1:36" s="45" customFormat="1" hidden="1">
      <c r="A1140" s="471"/>
      <c r="B1140" s="472"/>
      <c r="C1140" s="472"/>
      <c r="D1140" s="472"/>
      <c r="E1140" s="472"/>
      <c r="F1140" s="472"/>
      <c r="G1140" s="472"/>
      <c r="H1140" s="472"/>
      <c r="I1140" s="473"/>
      <c r="K1140" s="50"/>
      <c r="R1140" s="177"/>
      <c r="S1140" s="177"/>
      <c r="T1140" s="177"/>
      <c r="U1140" s="177"/>
      <c r="V1140" s="177"/>
      <c r="W1140" s="177"/>
      <c r="X1140" s="177"/>
      <c r="Y1140" s="177"/>
      <c r="Z1140" s="177"/>
      <c r="AA1140" s="177"/>
      <c r="AB1140" s="177"/>
      <c r="AC1140" s="177"/>
      <c r="AD1140" s="177"/>
      <c r="AE1140" s="177"/>
      <c r="AF1140" s="177"/>
      <c r="AG1140" s="177"/>
      <c r="AH1140" s="177"/>
      <c r="AI1140" s="177"/>
      <c r="AJ1140" s="177"/>
    </row>
    <row r="1141" spans="1:36" s="45" customFormat="1" hidden="1">
      <c r="A1141" s="471"/>
      <c r="B1141" s="472"/>
      <c r="C1141" s="472"/>
      <c r="D1141" s="472"/>
      <c r="E1141" s="472"/>
      <c r="F1141" s="472"/>
      <c r="G1141" s="472"/>
      <c r="H1141" s="472"/>
      <c r="I1141" s="473"/>
      <c r="K1141" s="50"/>
      <c r="R1141" s="177"/>
      <c r="S1141" s="177"/>
      <c r="T1141" s="177"/>
      <c r="U1141" s="177"/>
      <c r="V1141" s="177"/>
      <c r="W1141" s="177"/>
      <c r="X1141" s="177"/>
      <c r="Y1141" s="177"/>
      <c r="Z1141" s="177"/>
      <c r="AA1141" s="177"/>
      <c r="AB1141" s="177"/>
      <c r="AC1141" s="177"/>
      <c r="AD1141" s="177"/>
      <c r="AE1141" s="177"/>
      <c r="AF1141" s="177"/>
      <c r="AG1141" s="177"/>
      <c r="AH1141" s="177"/>
      <c r="AI1141" s="177"/>
      <c r="AJ1141" s="177"/>
    </row>
    <row r="1142" spans="1:36" s="45" customFormat="1" hidden="1">
      <c r="A1142" s="471"/>
      <c r="B1142" s="472"/>
      <c r="C1142" s="472"/>
      <c r="D1142" s="472"/>
      <c r="E1142" s="472"/>
      <c r="F1142" s="472"/>
      <c r="G1142" s="472"/>
      <c r="H1142" s="472"/>
      <c r="I1142" s="473"/>
      <c r="K1142" s="50"/>
      <c r="R1142" s="177"/>
      <c r="S1142" s="177"/>
      <c r="T1142" s="177"/>
      <c r="U1142" s="177"/>
      <c r="V1142" s="177"/>
      <c r="W1142" s="177"/>
      <c r="X1142" s="177"/>
      <c r="Y1142" s="177"/>
      <c r="Z1142" s="177"/>
      <c r="AA1142" s="177"/>
      <c r="AB1142" s="177"/>
      <c r="AC1142" s="177"/>
      <c r="AD1142" s="177"/>
      <c r="AE1142" s="177"/>
      <c r="AF1142" s="177"/>
      <c r="AG1142" s="177"/>
      <c r="AH1142" s="177"/>
      <c r="AI1142" s="177"/>
      <c r="AJ1142" s="177"/>
    </row>
    <row r="1143" spans="1:36" s="45" customFormat="1" hidden="1">
      <c r="A1143" s="471"/>
      <c r="B1143" s="472"/>
      <c r="C1143" s="472"/>
      <c r="D1143" s="472"/>
      <c r="E1143" s="472"/>
      <c r="F1143" s="472"/>
      <c r="G1143" s="472"/>
      <c r="H1143" s="472"/>
      <c r="I1143" s="473"/>
      <c r="K1143" s="50"/>
      <c r="R1143" s="177"/>
      <c r="S1143" s="177"/>
      <c r="T1143" s="177"/>
      <c r="U1143" s="177"/>
      <c r="V1143" s="177"/>
      <c r="W1143" s="177"/>
      <c r="X1143" s="177"/>
      <c r="Y1143" s="177"/>
      <c r="Z1143" s="177"/>
      <c r="AA1143" s="177"/>
      <c r="AB1143" s="177"/>
      <c r="AC1143" s="177"/>
      <c r="AD1143" s="177"/>
      <c r="AE1143" s="177"/>
      <c r="AF1143" s="177"/>
      <c r="AG1143" s="177"/>
      <c r="AH1143" s="177"/>
      <c r="AI1143" s="177"/>
      <c r="AJ1143" s="177"/>
    </row>
    <row r="1144" spans="1:36" s="45" customFormat="1" ht="13.5" hidden="1" thickBot="1">
      <c r="A1144" s="554"/>
      <c r="B1144" s="555"/>
      <c r="C1144" s="555"/>
      <c r="D1144" s="555"/>
      <c r="E1144" s="555"/>
      <c r="F1144" s="555"/>
      <c r="G1144" s="555"/>
      <c r="H1144" s="555"/>
      <c r="I1144" s="556"/>
      <c r="K1144" s="50"/>
      <c r="R1144" s="177"/>
      <c r="S1144" s="177"/>
      <c r="T1144" s="177"/>
      <c r="U1144" s="177"/>
      <c r="V1144" s="177"/>
      <c r="W1144" s="177"/>
      <c r="X1144" s="177"/>
      <c r="Y1144" s="177"/>
      <c r="Z1144" s="177"/>
      <c r="AA1144" s="177"/>
      <c r="AB1144" s="177"/>
      <c r="AC1144" s="177"/>
      <c r="AD1144" s="177"/>
      <c r="AE1144" s="177"/>
      <c r="AF1144" s="177"/>
      <c r="AG1144" s="177"/>
      <c r="AH1144" s="177"/>
      <c r="AI1144" s="177"/>
      <c r="AJ1144" s="177"/>
    </row>
    <row r="1145" spans="1:36" s="45" customFormat="1" ht="15.75" hidden="1" customHeight="1">
      <c r="A1145" s="636" t="s">
        <v>689</v>
      </c>
      <c r="B1145" s="637"/>
      <c r="C1145" s="637"/>
      <c r="D1145" s="637"/>
      <c r="E1145" s="637"/>
      <c r="F1145" s="637"/>
      <c r="G1145" s="637"/>
      <c r="H1145" s="637"/>
      <c r="I1145" s="638"/>
      <c r="K1145" s="50"/>
      <c r="R1145" s="177"/>
      <c r="S1145" s="177"/>
      <c r="T1145" s="177"/>
      <c r="U1145" s="177"/>
      <c r="V1145" s="177"/>
      <c r="W1145" s="177"/>
      <c r="X1145" s="177"/>
      <c r="Y1145" s="177"/>
      <c r="Z1145" s="177"/>
      <c r="AA1145" s="177"/>
      <c r="AB1145" s="177"/>
      <c r="AC1145" s="177"/>
      <c r="AD1145" s="177"/>
      <c r="AE1145" s="177"/>
      <c r="AF1145" s="177"/>
      <c r="AG1145" s="177"/>
      <c r="AH1145" s="177"/>
      <c r="AI1145" s="177"/>
      <c r="AJ1145" s="177"/>
    </row>
    <row r="1146" spans="1:36" s="45" customFormat="1" ht="15.75" hidden="1" customHeight="1">
      <c r="A1146" s="639"/>
      <c r="B1146" s="640"/>
      <c r="C1146" s="640"/>
      <c r="D1146" s="640"/>
      <c r="E1146" s="640"/>
      <c r="F1146" s="640"/>
      <c r="G1146" s="640"/>
      <c r="H1146" s="640"/>
      <c r="I1146" s="641"/>
      <c r="K1146" s="50"/>
      <c r="R1146" s="177"/>
      <c r="S1146" s="177"/>
      <c r="T1146" s="177"/>
      <c r="U1146" s="177"/>
      <c r="V1146" s="177"/>
      <c r="W1146" s="177"/>
      <c r="X1146" s="177"/>
      <c r="Y1146" s="177"/>
      <c r="Z1146" s="177"/>
      <c r="AA1146" s="177"/>
      <c r="AB1146" s="177"/>
      <c r="AC1146" s="177"/>
      <c r="AD1146" s="177"/>
      <c r="AE1146" s="177"/>
      <c r="AF1146" s="177"/>
      <c r="AG1146" s="177"/>
      <c r="AH1146" s="177"/>
      <c r="AI1146" s="177"/>
      <c r="AJ1146" s="177"/>
    </row>
    <row r="1147" spans="1:36" s="45" customFormat="1" ht="15" hidden="1" customHeight="1">
      <c r="A1147" s="639"/>
      <c r="B1147" s="640"/>
      <c r="C1147" s="640"/>
      <c r="D1147" s="640"/>
      <c r="E1147" s="640"/>
      <c r="F1147" s="640"/>
      <c r="G1147" s="640"/>
      <c r="H1147" s="640"/>
      <c r="I1147" s="641"/>
      <c r="K1147" s="50"/>
      <c r="R1147" s="177"/>
      <c r="S1147" s="177"/>
      <c r="T1147" s="177"/>
      <c r="U1147" s="177"/>
      <c r="V1147" s="177"/>
      <c r="W1147" s="177"/>
      <c r="X1147" s="177"/>
      <c r="Y1147" s="177"/>
      <c r="Z1147" s="177"/>
      <c r="AA1147" s="177"/>
      <c r="AB1147" s="177"/>
      <c r="AC1147" s="177"/>
      <c r="AD1147" s="177"/>
      <c r="AE1147" s="177"/>
      <c r="AF1147" s="177"/>
      <c r="AG1147" s="177"/>
      <c r="AH1147" s="177"/>
      <c r="AI1147" s="177"/>
      <c r="AJ1147" s="177"/>
    </row>
    <row r="1148" spans="1:36" s="45" customFormat="1" ht="15" hidden="1" customHeight="1">
      <c r="A1148" s="639"/>
      <c r="B1148" s="640"/>
      <c r="C1148" s="640"/>
      <c r="D1148" s="640"/>
      <c r="E1148" s="640"/>
      <c r="F1148" s="640"/>
      <c r="G1148" s="640"/>
      <c r="H1148" s="640"/>
      <c r="I1148" s="641"/>
      <c r="K1148" s="50"/>
      <c r="R1148" s="177"/>
      <c r="S1148" s="177"/>
      <c r="T1148" s="177"/>
      <c r="U1148" s="177"/>
      <c r="V1148" s="177"/>
      <c r="W1148" s="177"/>
      <c r="X1148" s="177"/>
      <c r="Y1148" s="177"/>
      <c r="Z1148" s="177"/>
      <c r="AA1148" s="177"/>
      <c r="AB1148" s="177"/>
      <c r="AC1148" s="177"/>
      <c r="AD1148" s="177"/>
      <c r="AE1148" s="177"/>
      <c r="AF1148" s="177"/>
      <c r="AG1148" s="177"/>
      <c r="AH1148" s="177"/>
      <c r="AI1148" s="177"/>
      <c r="AJ1148" s="177"/>
    </row>
    <row r="1149" spans="1:36" s="45" customFormat="1" ht="15" hidden="1" customHeight="1">
      <c r="A1149" s="639"/>
      <c r="B1149" s="640"/>
      <c r="C1149" s="640"/>
      <c r="D1149" s="640"/>
      <c r="E1149" s="640"/>
      <c r="F1149" s="640"/>
      <c r="G1149" s="640"/>
      <c r="H1149" s="640"/>
      <c r="I1149" s="641"/>
      <c r="K1149" s="50"/>
      <c r="R1149" s="177"/>
      <c r="S1149" s="177"/>
      <c r="T1149" s="177"/>
      <c r="U1149" s="177"/>
      <c r="V1149" s="177"/>
      <c r="W1149" s="177"/>
      <c r="X1149" s="177"/>
      <c r="Y1149" s="177"/>
      <c r="Z1149" s="177"/>
      <c r="AA1149" s="177"/>
      <c r="AB1149" s="177"/>
      <c r="AC1149" s="177"/>
      <c r="AD1149" s="177"/>
      <c r="AE1149" s="177"/>
      <c r="AF1149" s="177"/>
      <c r="AG1149" s="177"/>
      <c r="AH1149" s="177"/>
      <c r="AI1149" s="177"/>
      <c r="AJ1149" s="177"/>
    </row>
    <row r="1150" spans="1:36" s="45" customFormat="1" ht="15" hidden="1" customHeight="1">
      <c r="A1150" s="639"/>
      <c r="B1150" s="640"/>
      <c r="C1150" s="640"/>
      <c r="D1150" s="640"/>
      <c r="E1150" s="640"/>
      <c r="F1150" s="640"/>
      <c r="G1150" s="640"/>
      <c r="H1150" s="640"/>
      <c r="I1150" s="641"/>
      <c r="K1150" s="50"/>
      <c r="R1150" s="177"/>
      <c r="S1150" s="177"/>
      <c r="T1150" s="177"/>
      <c r="U1150" s="177"/>
      <c r="V1150" s="177"/>
      <c r="W1150" s="177"/>
      <c r="X1150" s="177"/>
      <c r="Y1150" s="177"/>
      <c r="Z1150" s="177"/>
      <c r="AA1150" s="177"/>
      <c r="AB1150" s="177"/>
      <c r="AC1150" s="177"/>
      <c r="AD1150" s="177"/>
      <c r="AE1150" s="177"/>
      <c r="AF1150" s="177"/>
      <c r="AG1150" s="177"/>
      <c r="AH1150" s="177"/>
      <c r="AI1150" s="177"/>
      <c r="AJ1150" s="177"/>
    </row>
    <row r="1151" spans="1:36" s="45" customFormat="1" ht="15" hidden="1" customHeight="1">
      <c r="A1151" s="639"/>
      <c r="B1151" s="640"/>
      <c r="C1151" s="640"/>
      <c r="D1151" s="640"/>
      <c r="E1151" s="640"/>
      <c r="F1151" s="640"/>
      <c r="G1151" s="640"/>
      <c r="H1151" s="640"/>
      <c r="I1151" s="641"/>
      <c r="K1151" s="50"/>
      <c r="R1151" s="177"/>
      <c r="S1151" s="177"/>
      <c r="T1151" s="177"/>
      <c r="U1151" s="177"/>
      <c r="V1151" s="177"/>
      <c r="W1151" s="177"/>
      <c r="X1151" s="177"/>
      <c r="Y1151" s="177"/>
      <c r="Z1151" s="177"/>
      <c r="AA1151" s="177"/>
      <c r="AB1151" s="177"/>
      <c r="AC1151" s="177"/>
      <c r="AD1151" s="177"/>
      <c r="AE1151" s="177"/>
      <c r="AF1151" s="177"/>
      <c r="AG1151" s="177"/>
      <c r="AH1151" s="177"/>
      <c r="AI1151" s="177"/>
      <c r="AJ1151" s="177"/>
    </row>
    <row r="1152" spans="1:36" s="45" customFormat="1" ht="15" hidden="1" customHeight="1">
      <c r="A1152" s="639"/>
      <c r="B1152" s="640"/>
      <c r="C1152" s="640"/>
      <c r="D1152" s="640"/>
      <c r="E1152" s="640"/>
      <c r="F1152" s="640"/>
      <c r="G1152" s="640"/>
      <c r="H1152" s="640"/>
      <c r="I1152" s="641"/>
      <c r="K1152" s="50"/>
      <c r="R1152" s="177"/>
      <c r="S1152" s="177"/>
      <c r="T1152" s="177"/>
      <c r="U1152" s="177"/>
      <c r="V1152" s="177"/>
      <c r="W1152" s="177"/>
      <c r="X1152" s="177"/>
      <c r="Y1152" s="177"/>
      <c r="Z1152" s="177"/>
      <c r="AA1152" s="177"/>
      <c r="AB1152" s="177"/>
      <c r="AC1152" s="177"/>
      <c r="AD1152" s="177"/>
      <c r="AE1152" s="177"/>
      <c r="AF1152" s="177"/>
      <c r="AG1152" s="177"/>
      <c r="AH1152" s="177"/>
      <c r="AI1152" s="177"/>
      <c r="AJ1152" s="177"/>
    </row>
    <row r="1153" spans="1:36" s="45" customFormat="1" ht="15" hidden="1" customHeight="1">
      <c r="A1153" s="639"/>
      <c r="B1153" s="640"/>
      <c r="C1153" s="640"/>
      <c r="D1153" s="640"/>
      <c r="E1153" s="640"/>
      <c r="F1153" s="640"/>
      <c r="G1153" s="640"/>
      <c r="H1153" s="640"/>
      <c r="I1153" s="641"/>
      <c r="K1153" s="50"/>
      <c r="R1153" s="177"/>
      <c r="S1153" s="177"/>
      <c r="T1153" s="177"/>
      <c r="U1153" s="177"/>
      <c r="V1153" s="177"/>
      <c r="W1153" s="177"/>
      <c r="X1153" s="177"/>
      <c r="Y1153" s="177"/>
      <c r="Z1153" s="177"/>
      <c r="AA1153" s="177"/>
      <c r="AB1153" s="177"/>
      <c r="AC1153" s="177"/>
      <c r="AD1153" s="177"/>
      <c r="AE1153" s="177"/>
      <c r="AF1153" s="177"/>
      <c r="AG1153" s="177"/>
      <c r="AH1153" s="177"/>
      <c r="AI1153" s="177"/>
      <c r="AJ1153" s="177"/>
    </row>
    <row r="1154" spans="1:36" s="45" customFormat="1" ht="15" hidden="1" customHeight="1">
      <c r="A1154" s="639"/>
      <c r="B1154" s="640"/>
      <c r="C1154" s="640"/>
      <c r="D1154" s="640"/>
      <c r="E1154" s="640"/>
      <c r="F1154" s="640"/>
      <c r="G1154" s="640"/>
      <c r="H1154" s="640"/>
      <c r="I1154" s="641"/>
      <c r="K1154" s="50"/>
      <c r="R1154" s="177"/>
      <c r="S1154" s="177"/>
      <c r="T1154" s="177"/>
      <c r="U1154" s="177"/>
      <c r="V1154" s="177"/>
      <c r="W1154" s="177"/>
      <c r="X1154" s="177"/>
      <c r="Y1154" s="177"/>
      <c r="Z1154" s="177"/>
      <c r="AA1154" s="177"/>
      <c r="AB1154" s="177"/>
      <c r="AC1154" s="177"/>
      <c r="AD1154" s="177"/>
      <c r="AE1154" s="177"/>
      <c r="AF1154" s="177"/>
      <c r="AG1154" s="177"/>
      <c r="AH1154" s="177"/>
      <c r="AI1154" s="177"/>
      <c r="AJ1154" s="177"/>
    </row>
    <row r="1155" spans="1:36" s="45" customFormat="1" ht="15" hidden="1" customHeight="1">
      <c r="A1155" s="639"/>
      <c r="B1155" s="640"/>
      <c r="C1155" s="640"/>
      <c r="D1155" s="640"/>
      <c r="E1155" s="640"/>
      <c r="F1155" s="640"/>
      <c r="G1155" s="640"/>
      <c r="H1155" s="640"/>
      <c r="I1155" s="641"/>
      <c r="K1155" s="50"/>
      <c r="R1155" s="177"/>
      <c r="S1155" s="177"/>
      <c r="T1155" s="177"/>
      <c r="U1155" s="177"/>
      <c r="V1155" s="177"/>
      <c r="W1155" s="177"/>
      <c r="X1155" s="177"/>
      <c r="Y1155" s="177"/>
      <c r="Z1155" s="177"/>
      <c r="AA1155" s="177"/>
      <c r="AB1155" s="177"/>
      <c r="AC1155" s="177"/>
      <c r="AD1155" s="177"/>
      <c r="AE1155" s="177"/>
      <c r="AF1155" s="177"/>
      <c r="AG1155" s="177"/>
      <c r="AH1155" s="177"/>
      <c r="AI1155" s="177"/>
      <c r="AJ1155" s="177"/>
    </row>
    <row r="1156" spans="1:36" s="45" customFormat="1" ht="119.25" hidden="1" customHeight="1" thickBot="1">
      <c r="A1156" s="642"/>
      <c r="B1156" s="643"/>
      <c r="C1156" s="643"/>
      <c r="D1156" s="643"/>
      <c r="E1156" s="643"/>
      <c r="F1156" s="643"/>
      <c r="G1156" s="643"/>
      <c r="H1156" s="643"/>
      <c r="I1156" s="644"/>
      <c r="K1156" s="50"/>
      <c r="R1156" s="177"/>
      <c r="S1156" s="177"/>
      <c r="T1156" s="177"/>
      <c r="U1156" s="177"/>
      <c r="V1156" s="177"/>
      <c r="W1156" s="177"/>
      <c r="X1156" s="177"/>
      <c r="Y1156" s="177"/>
      <c r="Z1156" s="177"/>
      <c r="AA1156" s="177"/>
      <c r="AB1156" s="177"/>
      <c r="AC1156" s="177"/>
      <c r="AD1156" s="177"/>
      <c r="AE1156" s="177"/>
      <c r="AF1156" s="177"/>
      <c r="AG1156" s="177"/>
      <c r="AH1156" s="177"/>
      <c r="AI1156" s="177"/>
      <c r="AJ1156" s="177"/>
    </row>
    <row r="1157" spans="1:36" s="180" customFormat="1" ht="45.75" hidden="1" customHeight="1" thickBot="1">
      <c r="A1157" s="95"/>
      <c r="B1157" s="94" t="s">
        <v>11</v>
      </c>
      <c r="C1157" s="94" t="s">
        <v>30</v>
      </c>
      <c r="D1157" s="94" t="s">
        <v>31</v>
      </c>
      <c r="E1157" s="94" t="s">
        <v>136</v>
      </c>
      <c r="F1157" s="94" t="s">
        <v>12</v>
      </c>
      <c r="G1157" s="94" t="s">
        <v>13</v>
      </c>
      <c r="H1157" s="94" t="s">
        <v>14</v>
      </c>
      <c r="I1157" s="94" t="s">
        <v>157</v>
      </c>
      <c r="J1157" s="123"/>
      <c r="K1157" s="344" t="str">
        <f>IF(I102&lt;&gt;"Pass","","DO_ALL")</f>
        <v/>
      </c>
      <c r="L1157" s="184"/>
      <c r="M1157" s="184"/>
      <c r="N1157" s="184"/>
      <c r="O1157" s="184"/>
      <c r="R1157" s="178"/>
      <c r="S1157" s="178"/>
      <c r="T1157" s="178"/>
      <c r="U1157" s="178"/>
      <c r="V1157" s="178"/>
      <c r="W1157" s="178"/>
      <c r="X1157" s="178"/>
      <c r="Y1157" s="178"/>
      <c r="Z1157" s="178"/>
      <c r="AA1157" s="178"/>
      <c r="AB1157" s="178"/>
      <c r="AC1157" s="178"/>
      <c r="AD1157" s="178"/>
      <c r="AE1157" s="178"/>
      <c r="AF1157" s="178"/>
      <c r="AG1157" s="178"/>
      <c r="AH1157" s="178"/>
      <c r="AI1157" s="178"/>
      <c r="AJ1157" s="178"/>
    </row>
    <row r="1158" spans="1:36" s="180" customFormat="1" ht="15.75" hidden="1" thickBot="1">
      <c r="A1158" s="130"/>
      <c r="B1158" s="84"/>
      <c r="C1158" s="78"/>
      <c r="D1158" s="58"/>
      <c r="E1158" s="58"/>
      <c r="F1158" s="58"/>
      <c r="G1158" s="58"/>
      <c r="H1158" s="58"/>
      <c r="I1158" s="58"/>
      <c r="J1158" s="184"/>
      <c r="K1158" s="301" t="s">
        <v>80</v>
      </c>
      <c r="L1158" s="184"/>
      <c r="M1158" s="184"/>
      <c r="N1158" s="184"/>
      <c r="O1158" s="184"/>
      <c r="R1158" s="178"/>
      <c r="S1158" s="178"/>
      <c r="T1158" s="178"/>
      <c r="U1158" s="178"/>
      <c r="V1158" s="178"/>
      <c r="W1158" s="178"/>
      <c r="X1158" s="178"/>
      <c r="Y1158" s="178"/>
      <c r="Z1158" s="178"/>
      <c r="AA1158" s="178"/>
      <c r="AB1158" s="178"/>
      <c r="AC1158" s="178"/>
      <c r="AD1158" s="178"/>
      <c r="AE1158" s="178"/>
      <c r="AF1158" s="178"/>
      <c r="AG1158" s="178"/>
      <c r="AH1158" s="178"/>
      <c r="AI1158" s="178"/>
      <c r="AJ1158" s="178"/>
    </row>
    <row r="1159" spans="1:36" s="175" customFormat="1" ht="15.75" hidden="1" thickBot="1">
      <c r="A1159" s="130"/>
      <c r="B1159" s="303" t="s">
        <v>186</v>
      </c>
      <c r="C1159" s="58"/>
      <c r="D1159" s="58"/>
      <c r="E1159" s="58"/>
      <c r="F1159" s="58"/>
      <c r="G1159" s="58"/>
      <c r="H1159" s="58"/>
      <c r="I1159" s="58"/>
      <c r="J1159" s="302"/>
      <c r="K1159" s="302" t="s">
        <v>77</v>
      </c>
      <c r="L1159" s="302" t="s">
        <v>75</v>
      </c>
      <c r="M1159" s="238" t="str">
        <f ca="1">INDEX(tblGoSubRoutineStartCell[StartCell],MATCH(B1159,tblGoSubRoutineStartCell[GoSub Routine],0))</f>
        <v>K104</v>
      </c>
      <c r="N1159" s="184"/>
      <c r="O1159" s="184"/>
      <c r="P1159" s="184"/>
      <c r="Q1159" s="184"/>
    </row>
    <row r="1160" spans="1:36" s="175" customFormat="1" ht="15.75" hidden="1" thickBot="1">
      <c r="A1160" s="130"/>
      <c r="B1160" s="303" t="s">
        <v>188</v>
      </c>
      <c r="C1160" s="58"/>
      <c r="D1160" s="58"/>
      <c r="E1160" s="58"/>
      <c r="F1160" s="58"/>
      <c r="G1160" s="58"/>
      <c r="H1160" s="58"/>
      <c r="I1160" s="58"/>
      <c r="J1160" s="302"/>
      <c r="K1160" s="302" t="s">
        <v>77</v>
      </c>
      <c r="L1160" s="302" t="s">
        <v>75</v>
      </c>
      <c r="M1160" s="238" t="str">
        <f ca="1">INDEX(tblGoSubRoutineStartCell[StartCell],MATCH(B1160,tblGoSubRoutineStartCell[GoSub Routine],0))</f>
        <v>K121</v>
      </c>
      <c r="N1160" s="184"/>
      <c r="O1160" s="184"/>
      <c r="P1160" s="184"/>
      <c r="Q1160" s="184"/>
    </row>
    <row r="1161" spans="1:36" s="175" customFormat="1" ht="108.75" hidden="1" customHeight="1">
      <c r="A1161" s="131"/>
      <c r="B1161" s="445" t="s">
        <v>535</v>
      </c>
      <c r="C1161" s="113"/>
      <c r="D1161" s="113"/>
      <c r="E1161" s="113"/>
      <c r="F1161" s="113"/>
      <c r="G1161" s="113"/>
      <c r="H1161" s="113"/>
      <c r="I1161" s="113"/>
      <c r="J1161" s="184"/>
      <c r="K1161" s="302" t="s">
        <v>82</v>
      </c>
      <c r="L1161" s="89" t="str">
        <f>B1161</f>
        <v xml:space="preserve">Make Sure Splitter Fil Low OP is connected to Filament Load Module Fil Lo IP
Make Sure Splitter Fil High OP is connected to Filament Load Module Fil Hi IP
Switch Filament Switch on Load Base to FILAMENT
</v>
      </c>
      <c r="M1161" s="184"/>
      <c r="N1161" s="184"/>
      <c r="O1161" s="184"/>
      <c r="P1161" s="184"/>
      <c r="Q1161" s="184"/>
    </row>
    <row r="1162" spans="1:36" s="175" customFormat="1" ht="40.5" hidden="1" customHeight="1">
      <c r="A1162" s="131"/>
      <c r="B1162" s="444" t="s">
        <v>453</v>
      </c>
      <c r="C1162" s="113"/>
      <c r="D1162" s="113"/>
      <c r="E1162" s="113"/>
      <c r="F1162" s="113" t="s">
        <v>596</v>
      </c>
      <c r="G1162" s="113"/>
      <c r="H1162" s="113"/>
      <c r="I1162" s="113"/>
      <c r="J1162" s="184"/>
      <c r="K1162" s="302" t="s">
        <v>82</v>
      </c>
      <c r="L1162" s="89" t="str">
        <f>B1162</f>
        <v>PLEASE ENSURE UUT IS SWITCH ON VIA FRONT PANEL!</v>
      </c>
      <c r="M1162" s="184"/>
      <c r="N1162" s="184"/>
      <c r="O1162" s="184"/>
      <c r="P1162" s="184"/>
      <c r="Q1162" s="184"/>
    </row>
    <row r="1163" spans="1:36" s="180" customFormat="1" ht="15.75" hidden="1" thickBot="1">
      <c r="A1163" s="130"/>
      <c r="B1163" s="84"/>
      <c r="C1163" s="78"/>
      <c r="D1163" s="58"/>
      <c r="E1163" s="58"/>
      <c r="F1163" s="58"/>
      <c r="G1163" s="58"/>
      <c r="H1163" s="58"/>
      <c r="I1163" s="58"/>
      <c r="J1163" s="184"/>
      <c r="K1163" s="302" t="s">
        <v>80</v>
      </c>
      <c r="L1163" s="184"/>
      <c r="M1163" s="184"/>
      <c r="N1163" s="184"/>
      <c r="O1163" s="184"/>
      <c r="R1163" s="178"/>
      <c r="S1163" s="178"/>
      <c r="T1163" s="178"/>
      <c r="U1163" s="178"/>
      <c r="V1163" s="178"/>
      <c r="W1163" s="178"/>
      <c r="X1163" s="178"/>
      <c r="Y1163" s="178"/>
      <c r="Z1163" s="178"/>
      <c r="AA1163" s="178"/>
      <c r="AB1163" s="178"/>
      <c r="AC1163" s="178"/>
      <c r="AD1163" s="178"/>
      <c r="AE1163" s="178"/>
      <c r="AF1163" s="178"/>
      <c r="AG1163" s="178"/>
      <c r="AH1163" s="178"/>
      <c r="AI1163" s="178"/>
      <c r="AJ1163" s="178"/>
    </row>
    <row r="1164" spans="1:36" s="175" customFormat="1" ht="20.25" hidden="1" customHeight="1" thickBot="1">
      <c r="A1164" s="305"/>
      <c r="B1164" s="306"/>
      <c r="C1164" s="306"/>
      <c r="D1164" s="325" t="s">
        <v>536</v>
      </c>
      <c r="E1164" s="306"/>
      <c r="F1164" s="306"/>
      <c r="G1164" s="306"/>
      <c r="H1164" s="306"/>
      <c r="I1164" s="307"/>
      <c r="J1164" s="184"/>
      <c r="K1164" s="89" t="s">
        <v>80</v>
      </c>
      <c r="L1164" s="184"/>
      <c r="M1164" s="184"/>
      <c r="N1164" s="184"/>
      <c r="O1164" s="184"/>
      <c r="P1164" s="184"/>
      <c r="Q1164" s="184"/>
    </row>
    <row r="1165" spans="1:36" s="180" customFormat="1" ht="15" hidden="1">
      <c r="A1165" s="130"/>
      <c r="B1165" s="84"/>
      <c r="C1165" s="78"/>
      <c r="D1165" s="58"/>
      <c r="E1165" s="58"/>
      <c r="F1165" s="58"/>
      <c r="G1165" s="58"/>
      <c r="H1165" s="58"/>
      <c r="I1165" s="58"/>
      <c r="J1165" s="184"/>
      <c r="K1165" s="302" t="s">
        <v>80</v>
      </c>
      <c r="L1165" s="184"/>
      <c r="M1165" s="184"/>
      <c r="N1165" s="184"/>
      <c r="O1165" s="184"/>
      <c r="R1165" s="178"/>
      <c r="S1165" s="178"/>
      <c r="T1165" s="178"/>
      <c r="U1165" s="178"/>
      <c r="V1165" s="178"/>
      <c r="W1165" s="178"/>
      <c r="X1165" s="178"/>
      <c r="Y1165" s="178"/>
      <c r="Z1165" s="178"/>
      <c r="AA1165" s="178"/>
      <c r="AB1165" s="178"/>
      <c r="AC1165" s="178"/>
      <c r="AD1165" s="178"/>
      <c r="AE1165" s="178"/>
      <c r="AF1165" s="178"/>
      <c r="AG1165" s="178"/>
      <c r="AH1165" s="178"/>
      <c r="AI1165" s="178"/>
      <c r="AJ1165" s="178"/>
    </row>
    <row r="1166" spans="1:36" s="175" customFormat="1" ht="15" hidden="1">
      <c r="A1166" s="130"/>
      <c r="B1166" s="240" t="s">
        <v>343</v>
      </c>
      <c r="C1166" s="78"/>
      <c r="D1166" s="58"/>
      <c r="E1166" s="58"/>
      <c r="F1166" s="58"/>
      <c r="G1166" s="58"/>
      <c r="H1166" s="58"/>
      <c r="I1166" s="58"/>
      <c r="J1166" s="184"/>
      <c r="K1166" s="302" t="s">
        <v>27</v>
      </c>
      <c r="L1166" s="302" t="s">
        <v>313</v>
      </c>
      <c r="M1166" s="302" t="s">
        <v>91</v>
      </c>
      <c r="N1166" s="302" t="s">
        <v>315</v>
      </c>
      <c r="O1166" s="241" t="s">
        <v>316</v>
      </c>
      <c r="P1166" s="241" t="s">
        <v>312</v>
      </c>
      <c r="Q1166" s="184"/>
    </row>
    <row r="1167" spans="1:36" s="175" customFormat="1" ht="15" hidden="1">
      <c r="A1167" s="130"/>
      <c r="B1167" s="240" t="s">
        <v>538</v>
      </c>
      <c r="C1167" s="78">
        <v>15</v>
      </c>
      <c r="D1167" s="58"/>
      <c r="E1167" s="58"/>
      <c r="F1167" s="58"/>
      <c r="G1167" s="58"/>
      <c r="H1167" s="58"/>
      <c r="I1167" s="58"/>
      <c r="J1167" s="184"/>
      <c r="K1167" s="302" t="s">
        <v>27</v>
      </c>
      <c r="L1167" s="302" t="s">
        <v>313</v>
      </c>
      <c r="M1167" s="302" t="s">
        <v>32</v>
      </c>
      <c r="N1167" s="302" t="s">
        <v>315</v>
      </c>
      <c r="O1167" s="241">
        <f>C1167</f>
        <v>15</v>
      </c>
      <c r="P1167" s="241"/>
      <c r="Q1167" s="184"/>
    </row>
    <row r="1168" spans="1:36" s="175" customFormat="1" ht="15" hidden="1">
      <c r="A1168" s="130"/>
      <c r="B1168" s="240" t="s">
        <v>537</v>
      </c>
      <c r="C1168" s="78">
        <v>13</v>
      </c>
      <c r="D1168" s="58"/>
      <c r="E1168" s="58"/>
      <c r="F1168" s="58"/>
      <c r="G1168" s="58"/>
      <c r="H1168" s="58"/>
      <c r="I1168" s="58"/>
      <c r="J1168" s="184"/>
      <c r="K1168" s="241" t="str">
        <f>_xlfn.CONCAT("734|GND|REG1|DEC(",C1168,")")</f>
        <v>734|GND|REG1|DEC(13)</v>
      </c>
      <c r="L1168" s="302"/>
      <c r="M1168" s="302"/>
      <c r="N1168" s="302"/>
      <c r="O1168" s="241"/>
      <c r="P1168" s="241"/>
      <c r="Q1168" s="184"/>
    </row>
    <row r="1169" spans="1:36" s="175" customFormat="1" ht="15" hidden="1">
      <c r="A1169" s="130"/>
      <c r="B1169" s="240" t="s">
        <v>539</v>
      </c>
      <c r="C1169" s="78">
        <v>4000</v>
      </c>
      <c r="D1169" s="58"/>
      <c r="E1169" s="58"/>
      <c r="F1169" s="58"/>
      <c r="G1169" s="58"/>
      <c r="H1169" s="58"/>
      <c r="I1169" s="58"/>
      <c r="J1169" s="184"/>
      <c r="K1169" s="241" t="str">
        <f>_xlfn.CONCAT("734|FLOAT|OUT2|FLT(",C1169,")")</f>
        <v>734|FLOAT|OUT2|FLT(4000)</v>
      </c>
      <c r="L1169" s="302"/>
      <c r="M1169" s="302"/>
      <c r="N1169" s="302"/>
      <c r="O1169" s="241"/>
      <c r="P1169" s="241"/>
      <c r="Q1169" s="184"/>
    </row>
    <row r="1170" spans="1:36" s="175" customFormat="1" ht="15.75" hidden="1" thickBot="1">
      <c r="A1170" s="130"/>
      <c r="B1170" s="293" t="s">
        <v>540</v>
      </c>
      <c r="C1170" s="78">
        <v>10000</v>
      </c>
      <c r="D1170" s="58"/>
      <c r="E1170" s="58"/>
      <c r="F1170" s="58"/>
      <c r="G1170" s="58"/>
      <c r="H1170" s="58"/>
      <c r="I1170" s="58"/>
      <c r="J1170" s="184"/>
      <c r="K1170" s="302" t="s">
        <v>27</v>
      </c>
      <c r="L1170" s="302" t="s">
        <v>42</v>
      </c>
      <c r="M1170" s="216" t="s">
        <v>60</v>
      </c>
      <c r="N1170" s="247" t="str">
        <f>B1170</f>
        <v>Filament Initialising…</v>
      </c>
      <c r="O1170" s="210">
        <f>C1170</f>
        <v>10000</v>
      </c>
      <c r="P1170" s="184"/>
      <c r="Q1170" s="184"/>
    </row>
    <row r="1171" spans="1:36" s="175" customFormat="1" ht="15" hidden="1" customHeight="1" thickBot="1">
      <c r="A1171" s="132" cm="1">
        <f t="array" ref="A1171">SSATSLineNumbers(A1171,0.01)</f>
        <v>7.01</v>
      </c>
      <c r="B1171" s="244" t="s">
        <v>580</v>
      </c>
      <c r="C1171" s="66">
        <v>4</v>
      </c>
      <c r="D1171" s="84"/>
      <c r="E1171" s="454"/>
      <c r="F1171" s="86">
        <f ca="1">P1171</f>
        <v>3.84</v>
      </c>
      <c r="G1171" s="86">
        <f ca="1">Q1171</f>
        <v>4.16</v>
      </c>
      <c r="H1171" s="86" t="str">
        <f ca="1">R1171</f>
        <v>A</v>
      </c>
      <c r="I1171" s="59" t="str">
        <f>IF(E1171 ="","TBC", IF(AND(E1171&gt;=F1171,E1171&lt;=G1171 ),"Pass","Fail"))</f>
        <v>TBC</v>
      </c>
      <c r="J1171" s="184"/>
      <c r="K1171" s="302" t="s">
        <v>541</v>
      </c>
      <c r="L1171" s="184"/>
      <c r="M1171" s="184"/>
      <c r="N1171" s="184"/>
      <c r="O1171" s="184"/>
      <c r="P1171" s="245">
        <f ca="1">C1171+(INDEX(tblProductScalesMeasures[Min],MATCH(_xlfn.CONCAT(B1171),tblProductScalesMeasures[Description],0)))</f>
        <v>3.84</v>
      </c>
      <c r="Q1171" s="245">
        <f ca="1">C1171+(INDEX(tblProductScalesMeasures[Max],MATCH(_xlfn.CONCAT(B1171),tblProductScalesMeasures[Description],0)))</f>
        <v>4.16</v>
      </c>
      <c r="R1171" s="245" t="str">
        <f ca="1">(INDEX(tblProductScalesMeasures[Unit],MATCH(_xlfn.CONCAT(B1171),tblProductScalesMeasures[Description],0)))</f>
        <v>A</v>
      </c>
      <c r="S1171" s="177"/>
      <c r="T1171" s="245">
        <f ca="1">IF(COUNTIF(tblExempt[],R1171)&gt;0,0,INDEX(tblScaling[Divider],MATCH(_xlfn.CONCAT(IF(ISNUMBER(SEARCH(" ",section_7_heading))=FALSE,SUBSTITUTE(section_7_heading," ",""),"")," ",R1171),tblScaling[Description],0)))</f>
        <v>100</v>
      </c>
    </row>
    <row r="1172" spans="1:36" s="175" customFormat="1" ht="15.75" hidden="1" thickBot="1">
      <c r="A1172" s="130"/>
      <c r="B1172" s="240" t="s">
        <v>471</v>
      </c>
      <c r="C1172" s="78">
        <v>6</v>
      </c>
      <c r="D1172" s="58"/>
      <c r="E1172" s="455"/>
      <c r="F1172" s="58"/>
      <c r="G1172" s="58"/>
      <c r="H1172" s="58"/>
      <c r="I1172" s="58"/>
      <c r="J1172" s="184"/>
      <c r="K1172" s="302" t="s">
        <v>27</v>
      </c>
      <c r="L1172" s="302" t="s">
        <v>318</v>
      </c>
      <c r="M1172" s="302" t="s">
        <v>55</v>
      </c>
      <c r="N1172" s="302" t="s">
        <v>33</v>
      </c>
      <c r="O1172" s="241">
        <f>C1172</f>
        <v>6</v>
      </c>
      <c r="P1172" s="241"/>
      <c r="Q1172" s="184"/>
    </row>
    <row r="1173" spans="1:36" s="175" customFormat="1" ht="15" hidden="1" customHeight="1" thickBot="1">
      <c r="A1173" s="132" cm="1">
        <f t="array" ref="A1173">SSATSLineNumbers(A1173,0.01)</f>
        <v>7.02</v>
      </c>
      <c r="B1173" s="244" t="s">
        <v>542</v>
      </c>
      <c r="C1173" s="66">
        <v>4</v>
      </c>
      <c r="D1173" s="84"/>
      <c r="E1173" s="457" t="str">
        <f>IF(E1172="","[AUTO]",E1172*T1173)</f>
        <v>[AUTO]</v>
      </c>
      <c r="F1173" s="86">
        <f t="shared" ref="F1173:H1174" ca="1" si="19">P1173</f>
        <v>3.9950000000000001</v>
      </c>
      <c r="G1173" s="86">
        <f t="shared" ca="1" si="19"/>
        <v>4.0049999999999999</v>
      </c>
      <c r="H1173" s="86" t="str">
        <f t="shared" ca="1" si="19"/>
        <v>A</v>
      </c>
      <c r="I1173" s="59" t="str">
        <f>IF(E1173 ="[AUTO]","TBC", IF(AND(E1173&gt;=F1173,E1173&lt;=G1173 ),"Pass","Fail"))</f>
        <v>TBC</v>
      </c>
      <c r="J1173" s="184"/>
      <c r="K1173" s="302" t="s">
        <v>80</v>
      </c>
      <c r="L1173" s="184"/>
      <c r="M1173" s="184"/>
      <c r="N1173" s="184"/>
      <c r="O1173" s="184"/>
      <c r="P1173" s="245">
        <f ca="1">C1173+(INDEX(tblProductScalesMeasures[Min],MATCH(_xlfn.CONCAT(B1173),tblProductScalesMeasures[Description],0)))</f>
        <v>3.9950000000000001</v>
      </c>
      <c r="Q1173" s="245">
        <f ca="1">C1173+(INDEX(tblProductScalesMeasures[Max],MATCH(_xlfn.CONCAT(B1173),tblProductScalesMeasures[Description],0)))</f>
        <v>4.0049999999999999</v>
      </c>
      <c r="R1173" s="245" t="str">
        <f ca="1">(INDEX(tblProductScalesMeasures[Unit],MATCH(_xlfn.CONCAT(B1173),tblProductScalesMeasures[Description],0)))</f>
        <v>A</v>
      </c>
      <c r="S1173" s="177"/>
      <c r="T1173" s="245">
        <f ca="1">IF(COUNTIF(tblExempt[],R1173)&gt;0,0,INDEX(tblScaling[Divider],MATCH(_xlfn.CONCAT(IF(ISNUMBER(SEARCH(" ",section_7_heading))=FALSE,SUBSTITUTE(section_7_heading," ",""),"")," ",R1173),tblScaling[Description],0)))</f>
        <v>100</v>
      </c>
    </row>
    <row r="1174" spans="1:36" s="180" customFormat="1" ht="15.75" hidden="1" thickBot="1">
      <c r="A1174" s="132" cm="1">
        <f t="array" ref="A1174">SSATSLineNumbers(A1174,0.01)</f>
        <v>7.03</v>
      </c>
      <c r="B1174" s="244" t="str">
        <f ca="1">ATE_Settings!Y115</f>
        <v>FIL Current Monitor Error mA (%)</v>
      </c>
      <c r="C1174" s="66"/>
      <c r="D1174" s="206"/>
      <c r="E1174" s="454" t="str" cm="1">
        <f t="array" ref="E1174">SSATSPercent_Error(E1171,E1173)</f>
        <v>[AUTO]</v>
      </c>
      <c r="F1174" s="207">
        <f t="shared" ca="1" si="19"/>
        <v>-4</v>
      </c>
      <c r="G1174" s="86">
        <f t="shared" ca="1" si="19"/>
        <v>4</v>
      </c>
      <c r="H1174" s="86" t="str">
        <f t="shared" ca="1" si="19"/>
        <v>%</v>
      </c>
      <c r="I1174" s="59" t="str">
        <f>IF(E1174 ="[AUTO]","TBC", IF(AND(E1174&gt;=F1174,E1174&lt;=G1174 ),"Pass","Fail"))</f>
        <v>TBC</v>
      </c>
      <c r="J1174" s="184"/>
      <c r="K1174" s="115" t="s">
        <v>80</v>
      </c>
      <c r="L1174" s="184"/>
      <c r="M1174" s="184"/>
      <c r="N1174" s="184"/>
      <c r="O1174" s="184"/>
      <c r="P1174" s="204">
        <f ca="1">C1174+(INDEX(tblProductScalesMeasures[Min],MATCH(_xlfn.CONCAT(B1174),tblProductScalesMeasures[Description],0)))</f>
        <v>-4</v>
      </c>
      <c r="Q1174" s="204">
        <f ca="1">C1174+(INDEX(tblProductScalesMeasures[Max],MATCH(_xlfn.CONCAT(B1174),tblProductScalesMeasures[Description],0)))</f>
        <v>4</v>
      </c>
      <c r="R1174" s="205" t="str">
        <f ca="1">(INDEX(tblProductScalesMeasures[Unit],MATCH(_xlfn.CONCAT(B1174),tblProductScalesMeasures[Description],0)))</f>
        <v>%</v>
      </c>
      <c r="S1174" s="203"/>
      <c r="T1174" s="205">
        <f ca="1">IF(COUNTIF(tblExempt[],R1174)&gt;0,0,INDEX(tblScaling[Divider],MATCH(_xlfn.CONCAT(IF(ISNUMBER(SEARCH(" ",section_7_heading))=FALSE,SUBSTITUTE(section_7_heading," ",""),"")," ",R1174),tblScaling[Description],0)))</f>
        <v>0</v>
      </c>
      <c r="U1174" s="178"/>
      <c r="V1174" s="178"/>
      <c r="W1174" s="178"/>
      <c r="X1174" s="178"/>
      <c r="Y1174" s="178"/>
      <c r="Z1174" s="178"/>
      <c r="AA1174" s="178"/>
      <c r="AB1174" s="178"/>
      <c r="AC1174" s="178"/>
      <c r="AD1174" s="178"/>
      <c r="AE1174" s="178"/>
      <c r="AF1174" s="178"/>
      <c r="AG1174" s="178"/>
      <c r="AH1174" s="178"/>
      <c r="AI1174" s="178"/>
      <c r="AJ1174" s="178"/>
    </row>
    <row r="1175" spans="1:36" s="180" customFormat="1" ht="16.5" hidden="1" customHeight="1" thickBot="1">
      <c r="A1175" s="133"/>
      <c r="B1175" s="237" t="s">
        <v>70</v>
      </c>
      <c r="C1175" s="57"/>
      <c r="D1175" s="57"/>
      <c r="E1175" s="464"/>
      <c r="F1175" s="57"/>
      <c r="G1175" s="57"/>
      <c r="H1175" s="57"/>
      <c r="I1175" s="57"/>
      <c r="J1175" s="184"/>
      <c r="K1175" s="116" t="s">
        <v>27</v>
      </c>
      <c r="L1175" s="116" t="s">
        <v>42</v>
      </c>
      <c r="M1175" s="116" t="s">
        <v>129</v>
      </c>
      <c r="N1175" s="116" t="str">
        <f ca="1">SUBSTITUTE(CELL("address",K1166),"$","")</f>
        <v>K1166</v>
      </c>
      <c r="O1175" s="116" t="s">
        <v>130</v>
      </c>
      <c r="P1175" s="228" t="s">
        <v>75</v>
      </c>
      <c r="Q1175" s="250" t="str">
        <f ca="1">INDEX(tblGoSubRoutineStartCell[StartCell],MATCH(B1175,tblGoSubRoutineStartCell[GoSub Routine],0))</f>
        <v>K56</v>
      </c>
      <c r="R1175" s="184"/>
      <c r="S1175" s="178"/>
      <c r="T1175" s="178"/>
      <c r="U1175" s="178"/>
      <c r="V1175" s="178"/>
      <c r="W1175" s="178"/>
      <c r="X1175" s="178"/>
      <c r="Y1175" s="178"/>
      <c r="Z1175" s="178"/>
      <c r="AA1175" s="178"/>
      <c r="AB1175" s="178"/>
      <c r="AC1175" s="178"/>
      <c r="AD1175" s="178"/>
      <c r="AE1175" s="178"/>
      <c r="AF1175" s="178"/>
      <c r="AG1175" s="178"/>
      <c r="AH1175" s="178"/>
      <c r="AI1175" s="178"/>
      <c r="AJ1175" s="178"/>
    </row>
    <row r="1176" spans="1:36" s="175" customFormat="1" ht="15.75" hidden="1" thickBot="1">
      <c r="A1176" s="130"/>
      <c r="B1176" s="240" t="s">
        <v>471</v>
      </c>
      <c r="C1176" s="78">
        <v>7</v>
      </c>
      <c r="D1176" s="58"/>
      <c r="E1176" s="455"/>
      <c r="F1176" s="58"/>
      <c r="G1176" s="58"/>
      <c r="H1176" s="58"/>
      <c r="I1176" s="58"/>
      <c r="J1176" s="184"/>
      <c r="K1176" s="302" t="s">
        <v>27</v>
      </c>
      <c r="L1176" s="302" t="s">
        <v>318</v>
      </c>
      <c r="M1176" s="302" t="s">
        <v>55</v>
      </c>
      <c r="N1176" s="302" t="s">
        <v>33</v>
      </c>
      <c r="O1176" s="241">
        <f>C1176</f>
        <v>7</v>
      </c>
      <c r="P1176" s="241"/>
      <c r="Q1176" s="184"/>
    </row>
    <row r="1177" spans="1:36" s="380" customFormat="1" ht="15.75" hidden="1" thickBot="1">
      <c r="A1177" s="399"/>
      <c r="B1177" s="240" t="s">
        <v>741</v>
      </c>
      <c r="C1177" s="390"/>
      <c r="D1177" s="206"/>
      <c r="E1177" s="467" t="str">
        <f>IF(E1176="","[AUTO]",E1176*T1177)</f>
        <v>[AUTO]</v>
      </c>
      <c r="F1177" s="451"/>
      <c r="G1177" s="387"/>
      <c r="H1177" s="387"/>
      <c r="I1177" s="387"/>
      <c r="J1177" s="384"/>
      <c r="K1177" s="428" t="s">
        <v>80</v>
      </c>
      <c r="L1177" s="428"/>
      <c r="M1177" s="428"/>
      <c r="N1177" s="428"/>
      <c r="O1177" s="241"/>
      <c r="P1177" s="241"/>
      <c r="Q1177" s="384"/>
      <c r="T1177" s="430">
        <f>ATE_Settings!$H$17</f>
        <v>1.2829999999999999</v>
      </c>
    </row>
    <row r="1178" spans="1:36" s="175" customFormat="1" ht="15" hidden="1" customHeight="1" thickBot="1">
      <c r="A1178" s="132" cm="1">
        <f t="array" ref="A1178">SSATSLineNumbers(A1178,0.01)</f>
        <v>7.04</v>
      </c>
      <c r="B1178" s="244" t="s">
        <v>583</v>
      </c>
      <c r="C1178" s="66"/>
      <c r="D1178" s="84"/>
      <c r="E1178" s="454"/>
      <c r="F1178" s="58"/>
      <c r="G1178" s="58"/>
      <c r="H1178" s="58"/>
      <c r="I1178" s="58"/>
      <c r="J1178" s="184"/>
      <c r="K1178" s="302" t="s">
        <v>543</v>
      </c>
      <c r="L1178" s="184"/>
      <c r="M1178" s="184"/>
      <c r="N1178" s="184"/>
      <c r="O1178" s="184"/>
      <c r="P1178" s="184"/>
      <c r="Q1178" s="184"/>
    </row>
    <row r="1179" spans="1:36" s="180" customFormat="1" ht="15.75" hidden="1" thickBot="1">
      <c r="A1179" s="132" cm="1">
        <f t="array" ref="A1179">SSATSLineNumbers(A1179,0.01)</f>
        <v>7.05</v>
      </c>
      <c r="B1179" s="244" t="str">
        <f ca="1">ATE_Settings!Y116</f>
        <v>FIL Voltage Monitor Error V (%)</v>
      </c>
      <c r="C1179" s="66"/>
      <c r="D1179" s="206"/>
      <c r="E1179" s="454" t="str" cm="1">
        <f t="array" ref="E1179">SSATSPercent_Error(E1177,E1178)</f>
        <v>[AUTO]</v>
      </c>
      <c r="F1179" s="207">
        <f t="shared" ref="F1179:H1179" ca="1" si="20">P1179</f>
        <v>-4</v>
      </c>
      <c r="G1179" s="86">
        <f t="shared" ca="1" si="20"/>
        <v>4</v>
      </c>
      <c r="H1179" s="86" t="str">
        <f t="shared" ca="1" si="20"/>
        <v>%</v>
      </c>
      <c r="I1179" s="59" t="str">
        <f>IF(E1179 ="[AUTO]","TBC", IF(AND(E1179&gt;=F1179,E1179&lt;=G1179 ),"Pass","Fail"))</f>
        <v>TBC</v>
      </c>
      <c r="J1179" s="184"/>
      <c r="K1179" s="115" t="s">
        <v>80</v>
      </c>
      <c r="L1179" s="184"/>
      <c r="M1179" s="184"/>
      <c r="N1179" s="184"/>
      <c r="O1179" s="184"/>
      <c r="P1179" s="204">
        <f ca="1">C1179+(INDEX(tblProductScalesMeasures[Min],MATCH(_xlfn.CONCAT(B1179),tblProductScalesMeasures[Description],0)))</f>
        <v>-4</v>
      </c>
      <c r="Q1179" s="204">
        <f ca="1">C1179+(INDEX(tblProductScalesMeasures[Max],MATCH(_xlfn.CONCAT(B1179),tblProductScalesMeasures[Description],0)))</f>
        <v>4</v>
      </c>
      <c r="R1179" s="205" t="str">
        <f ca="1">(INDEX(tblProductScalesMeasures[Unit],MATCH(_xlfn.CONCAT(B1179),tblProductScalesMeasures[Description],0)))</f>
        <v>%</v>
      </c>
      <c r="S1179" s="203"/>
      <c r="T1179" s="205">
        <f ca="1">IF(COUNTIF(tblExempt[],R1179)&gt;0,0,INDEX(tblScaling[Divider],MATCH(_xlfn.CONCAT(IF(ISNUMBER(SEARCH(" ",section_7_heading))=FALSE,SUBSTITUTE(section_7_heading," ",""),"")," ",R1179),tblScaling[Description],0)))</f>
        <v>0</v>
      </c>
      <c r="U1179" s="178"/>
      <c r="V1179" s="178"/>
      <c r="W1179" s="178"/>
      <c r="X1179" s="178"/>
      <c r="Y1179" s="178"/>
      <c r="Z1179" s="178"/>
      <c r="AA1179" s="178"/>
      <c r="AB1179" s="178"/>
      <c r="AC1179" s="178"/>
      <c r="AD1179" s="178"/>
      <c r="AE1179" s="178"/>
      <c r="AF1179" s="178"/>
      <c r="AG1179" s="178"/>
      <c r="AH1179" s="178"/>
      <c r="AI1179" s="178"/>
      <c r="AJ1179" s="178"/>
    </row>
    <row r="1180" spans="1:36" s="180" customFormat="1" ht="16.5" hidden="1" customHeight="1" thickBot="1">
      <c r="A1180" s="133"/>
      <c r="B1180" s="237" t="s">
        <v>70</v>
      </c>
      <c r="C1180" s="57"/>
      <c r="D1180" s="57"/>
      <c r="E1180" s="80"/>
      <c r="F1180" s="57"/>
      <c r="G1180" s="57"/>
      <c r="H1180" s="57"/>
      <c r="I1180" s="57"/>
      <c r="J1180" s="184"/>
      <c r="K1180" s="116" t="s">
        <v>27</v>
      </c>
      <c r="L1180" s="116" t="s">
        <v>42</v>
      </c>
      <c r="M1180" s="116" t="s">
        <v>129</v>
      </c>
      <c r="N1180" s="116" t="str">
        <f ca="1">SUBSTITUTE(CELL("address",K1176),"$","")</f>
        <v>K1176</v>
      </c>
      <c r="O1180" s="116" t="s">
        <v>130</v>
      </c>
      <c r="P1180" s="228" t="s">
        <v>75</v>
      </c>
      <c r="Q1180" s="250" t="str">
        <f ca="1">INDEX(tblGoSubRoutineStartCell[StartCell],MATCH(B1180,tblGoSubRoutineStartCell[GoSub Routine],0))</f>
        <v>K56</v>
      </c>
      <c r="R1180" s="184"/>
      <c r="S1180" s="178"/>
      <c r="T1180" s="178"/>
      <c r="U1180" s="178"/>
      <c r="V1180" s="178"/>
      <c r="W1180" s="178"/>
      <c r="X1180" s="178"/>
      <c r="Y1180" s="178"/>
      <c r="Z1180" s="178"/>
      <c r="AA1180" s="178"/>
      <c r="AB1180" s="178"/>
      <c r="AC1180" s="178"/>
      <c r="AD1180" s="178"/>
      <c r="AE1180" s="178"/>
      <c r="AF1180" s="178"/>
      <c r="AG1180" s="178"/>
      <c r="AH1180" s="178"/>
      <c r="AI1180" s="178"/>
      <c r="AJ1180" s="178"/>
    </row>
    <row r="1181" spans="1:36" s="180" customFormat="1" ht="15.75" hidden="1" thickBot="1">
      <c r="A1181" s="130"/>
      <c r="B1181" s="84"/>
      <c r="C1181" s="78"/>
      <c r="D1181" s="58"/>
      <c r="E1181" s="58"/>
      <c r="F1181" s="58"/>
      <c r="G1181" s="58"/>
      <c r="H1181" s="58"/>
      <c r="I1181" s="58"/>
      <c r="J1181" s="184"/>
      <c r="K1181" s="302" t="s">
        <v>80</v>
      </c>
      <c r="L1181" s="184"/>
      <c r="M1181" s="184"/>
      <c r="N1181" s="184"/>
      <c r="O1181" s="184"/>
      <c r="R1181" s="178"/>
      <c r="S1181" s="178"/>
      <c r="T1181" s="178"/>
      <c r="U1181" s="178"/>
      <c r="V1181" s="178"/>
      <c r="W1181" s="178"/>
      <c r="X1181" s="178"/>
      <c r="Y1181" s="178"/>
      <c r="Z1181" s="178"/>
      <c r="AA1181" s="178"/>
      <c r="AB1181" s="178"/>
      <c r="AC1181" s="178"/>
      <c r="AD1181" s="178"/>
      <c r="AE1181" s="178"/>
      <c r="AF1181" s="178"/>
      <c r="AG1181" s="178"/>
      <c r="AH1181" s="178"/>
      <c r="AI1181" s="178"/>
      <c r="AJ1181" s="178"/>
    </row>
    <row r="1182" spans="1:36" s="175" customFormat="1" ht="20.25" hidden="1" customHeight="1" thickBot="1">
      <c r="A1182" s="305"/>
      <c r="B1182" s="306"/>
      <c r="C1182" s="306"/>
      <c r="D1182" s="325" t="s">
        <v>545</v>
      </c>
      <c r="E1182" s="306"/>
      <c r="F1182" s="306"/>
      <c r="G1182" s="306"/>
      <c r="H1182" s="306"/>
      <c r="I1182" s="307"/>
      <c r="J1182" s="184"/>
      <c r="K1182" s="89" t="s">
        <v>80</v>
      </c>
      <c r="L1182" s="184"/>
      <c r="M1182" s="184"/>
      <c r="N1182" s="184"/>
      <c r="O1182" s="184"/>
      <c r="P1182" s="184"/>
      <c r="Q1182" s="184"/>
    </row>
    <row r="1183" spans="1:36" s="180" customFormat="1" ht="15" hidden="1">
      <c r="A1183" s="130"/>
      <c r="B1183" s="84"/>
      <c r="C1183" s="78"/>
      <c r="D1183" s="58"/>
      <c r="E1183" s="58"/>
      <c r="F1183" s="58"/>
      <c r="G1183" s="58"/>
      <c r="H1183" s="58"/>
      <c r="I1183" s="58"/>
      <c r="J1183" s="184"/>
      <c r="K1183" s="302" t="s">
        <v>80</v>
      </c>
      <c r="L1183" s="184"/>
      <c r="M1183" s="184"/>
      <c r="N1183" s="184"/>
      <c r="O1183" s="184"/>
      <c r="R1183" s="178"/>
      <c r="S1183" s="178"/>
      <c r="T1183" s="178"/>
      <c r="U1183" s="178"/>
      <c r="V1183" s="178"/>
      <c r="W1183" s="178"/>
      <c r="X1183" s="178"/>
      <c r="Y1183" s="178"/>
      <c r="Z1183" s="178"/>
      <c r="AA1183" s="178"/>
      <c r="AB1183" s="178"/>
      <c r="AC1183" s="178"/>
      <c r="AD1183" s="178"/>
      <c r="AE1183" s="178"/>
      <c r="AF1183" s="178"/>
      <c r="AG1183" s="178"/>
      <c r="AH1183" s="178"/>
      <c r="AI1183" s="178"/>
      <c r="AJ1183" s="178"/>
    </row>
    <row r="1184" spans="1:36" s="175" customFormat="1" ht="15" hidden="1">
      <c r="A1184" s="130"/>
      <c r="B1184" s="240" t="s">
        <v>539</v>
      </c>
      <c r="C1184" s="78">
        <v>2500</v>
      </c>
      <c r="D1184" s="58"/>
      <c r="E1184" s="58"/>
      <c r="F1184" s="58"/>
      <c r="G1184" s="58"/>
      <c r="H1184" s="58"/>
      <c r="I1184" s="58"/>
      <c r="J1184" s="184"/>
      <c r="K1184" s="241" t="str">
        <f>_xlfn.CONCAT("734|FLOAT|OUT2|FLT(",C1184,")")</f>
        <v>734|FLOAT|OUT2|FLT(2500)</v>
      </c>
      <c r="L1184" s="302"/>
      <c r="M1184" s="302"/>
      <c r="N1184" s="302"/>
      <c r="O1184" s="241"/>
      <c r="P1184" s="241"/>
      <c r="Q1184" s="184"/>
    </row>
    <row r="1185" spans="1:36" s="175" customFormat="1" ht="15.75" hidden="1" thickBot="1">
      <c r="A1185" s="130"/>
      <c r="B1185" s="293" t="s">
        <v>540</v>
      </c>
      <c r="C1185" s="78">
        <v>10000</v>
      </c>
      <c r="D1185" s="58"/>
      <c r="E1185" s="58"/>
      <c r="F1185" s="58"/>
      <c r="G1185" s="58"/>
      <c r="H1185" s="58"/>
      <c r="I1185" s="58"/>
      <c r="J1185" s="184"/>
      <c r="K1185" s="302" t="s">
        <v>27</v>
      </c>
      <c r="L1185" s="302" t="s">
        <v>42</v>
      </c>
      <c r="M1185" s="216" t="s">
        <v>60</v>
      </c>
      <c r="N1185" s="247" t="str">
        <f>B1185</f>
        <v>Filament Initialising…</v>
      </c>
      <c r="O1185" s="210">
        <f>C1185</f>
        <v>10000</v>
      </c>
      <c r="P1185" s="184"/>
      <c r="Q1185" s="184"/>
    </row>
    <row r="1186" spans="1:36" s="175" customFormat="1" ht="15" hidden="1" customHeight="1" thickBot="1">
      <c r="A1186" s="132" cm="1">
        <f t="array" ref="A1186">SSATSLineNumbers(A1186,0.01)</f>
        <v>7.06</v>
      </c>
      <c r="B1186" s="244" t="s">
        <v>580</v>
      </c>
      <c r="C1186" s="66">
        <v>2.5</v>
      </c>
      <c r="D1186" s="84"/>
      <c r="E1186" s="454"/>
      <c r="F1186" s="86">
        <f ca="1">P1186</f>
        <v>2.34</v>
      </c>
      <c r="G1186" s="86">
        <f ca="1">Q1186</f>
        <v>2.66</v>
      </c>
      <c r="H1186" s="86" t="str">
        <f ca="1">R1186</f>
        <v>A</v>
      </c>
      <c r="I1186" s="59" t="str">
        <f>IF(E1186 ="","TBC", IF(AND(E1186&gt;=F1186,E1186&lt;=G1186 ),"Pass","Fail"))</f>
        <v>TBC</v>
      </c>
      <c r="J1186" s="184"/>
      <c r="K1186" s="302" t="s">
        <v>541</v>
      </c>
      <c r="L1186" s="184"/>
      <c r="M1186" s="184"/>
      <c r="N1186" s="184"/>
      <c r="O1186" s="184"/>
      <c r="P1186" s="245">
        <f ca="1">C1186+(INDEX(tblProductScalesMeasures[Min],MATCH(_xlfn.CONCAT(B1186),tblProductScalesMeasures[Description],0)))</f>
        <v>2.34</v>
      </c>
      <c r="Q1186" s="245">
        <f ca="1">C1186+(INDEX(tblProductScalesMeasures[Max],MATCH(_xlfn.CONCAT(B1186),tblProductScalesMeasures[Description],0)))</f>
        <v>2.66</v>
      </c>
      <c r="R1186" s="245" t="str">
        <f ca="1">(INDEX(tblProductScalesMeasures[Unit],MATCH(_xlfn.CONCAT(B1186),tblProductScalesMeasures[Description],0)))</f>
        <v>A</v>
      </c>
      <c r="S1186" s="177"/>
      <c r="T1186" s="245">
        <f ca="1">IF(COUNTIF(tblExempt[],R1186)&gt;0,0,INDEX(tblScaling[Divider],MATCH(_xlfn.CONCAT(IF(ISNUMBER(SEARCH(" ",section_7_heading))=FALSE,SUBSTITUTE(section_7_heading," ",""),"")," ",R1186),tblScaling[Description],0)))</f>
        <v>100</v>
      </c>
    </row>
    <row r="1187" spans="1:36" s="175" customFormat="1" ht="15.75" hidden="1" thickBot="1">
      <c r="A1187" s="130"/>
      <c r="B1187" s="240" t="s">
        <v>471</v>
      </c>
      <c r="C1187" s="78">
        <v>6</v>
      </c>
      <c r="D1187" s="58"/>
      <c r="E1187" s="455"/>
      <c r="F1187" s="58"/>
      <c r="G1187" s="58"/>
      <c r="H1187" s="58"/>
      <c r="I1187" s="58"/>
      <c r="J1187" s="184"/>
      <c r="K1187" s="302" t="s">
        <v>27</v>
      </c>
      <c r="L1187" s="302" t="s">
        <v>318</v>
      </c>
      <c r="M1187" s="302" t="s">
        <v>55</v>
      </c>
      <c r="N1187" s="302" t="s">
        <v>33</v>
      </c>
      <c r="O1187" s="241">
        <f>C1187</f>
        <v>6</v>
      </c>
      <c r="P1187" s="241"/>
      <c r="Q1187" s="184"/>
    </row>
    <row r="1188" spans="1:36" s="175" customFormat="1" ht="15" hidden="1" customHeight="1" thickBot="1">
      <c r="A1188" s="132" cm="1">
        <f t="array" ref="A1188">SSATSLineNumbers(A1188,0.01)</f>
        <v>7.07</v>
      </c>
      <c r="B1188" s="244" t="s">
        <v>542</v>
      </c>
      <c r="C1188" s="66">
        <v>2.5</v>
      </c>
      <c r="D1188" s="84"/>
      <c r="E1188" s="457" t="str">
        <f>IF(E1187="","[AUTO]",E1187*T1188)</f>
        <v>[AUTO]</v>
      </c>
      <c r="F1188" s="86">
        <f t="shared" ref="F1188:H1189" ca="1" si="21">P1188</f>
        <v>2.4950000000000001</v>
      </c>
      <c r="G1188" s="86">
        <f t="shared" ca="1" si="21"/>
        <v>2.5049999999999999</v>
      </c>
      <c r="H1188" s="86" t="str">
        <f t="shared" ca="1" si="21"/>
        <v>A</v>
      </c>
      <c r="I1188" s="59" t="str">
        <f>IF(E1188 ="[AUTO]","TBC", IF(AND(E1188&gt;=F1188,E1188&lt;=G1188 ),"Pass","Fail"))</f>
        <v>TBC</v>
      </c>
      <c r="J1188" s="184"/>
      <c r="K1188" s="302" t="s">
        <v>80</v>
      </c>
      <c r="L1188" s="184"/>
      <c r="M1188" s="184"/>
      <c r="N1188" s="184"/>
      <c r="O1188" s="184"/>
      <c r="P1188" s="245">
        <f ca="1">C1188+(INDEX(tblProductScalesMeasures[Min],MATCH(_xlfn.CONCAT(B1188),tblProductScalesMeasures[Description],0)))</f>
        <v>2.4950000000000001</v>
      </c>
      <c r="Q1188" s="245">
        <f ca="1">C1188+(INDEX(tblProductScalesMeasures[Max],MATCH(_xlfn.CONCAT(B1188),tblProductScalesMeasures[Description],0)))</f>
        <v>2.5049999999999999</v>
      </c>
      <c r="R1188" s="245" t="str">
        <f ca="1">(INDEX(tblProductScalesMeasures[Unit],MATCH(_xlfn.CONCAT(B1188),tblProductScalesMeasures[Description],0)))</f>
        <v>A</v>
      </c>
      <c r="S1188" s="177"/>
      <c r="T1188" s="245">
        <f ca="1">IF(COUNTIF(tblExempt[],R1188)&gt;0,0,INDEX(tblScaling[Divider],MATCH(_xlfn.CONCAT(IF(ISNUMBER(SEARCH(" ",section_7_heading))=FALSE,SUBSTITUTE(section_7_heading," ",""),"")," ",R1188),tblScaling[Description],0)))</f>
        <v>100</v>
      </c>
    </row>
    <row r="1189" spans="1:36" s="180" customFormat="1" ht="15.75" hidden="1" thickBot="1">
      <c r="A1189" s="132" cm="1">
        <f t="array" ref="A1189">SSATSLineNumbers(A1189,0.01)</f>
        <v>7.08</v>
      </c>
      <c r="B1189" s="244" t="str">
        <f ca="1">ATE_Settings!Y115</f>
        <v>FIL Current Monitor Error mA (%)</v>
      </c>
      <c r="C1189" s="66"/>
      <c r="D1189" s="206"/>
      <c r="E1189" s="454" t="str" cm="1">
        <f t="array" ref="E1189">SSATSPercent_Error(E1186,E1188)</f>
        <v>[AUTO]</v>
      </c>
      <c r="F1189" s="207">
        <f t="shared" ca="1" si="21"/>
        <v>-4</v>
      </c>
      <c r="G1189" s="86">
        <f t="shared" ca="1" si="21"/>
        <v>4</v>
      </c>
      <c r="H1189" s="86" t="str">
        <f t="shared" ca="1" si="21"/>
        <v>%</v>
      </c>
      <c r="I1189" s="59" t="str">
        <f>IF(E1189 ="[AUTO]","TBC", IF(AND(E1189&gt;=F1189,E1189&lt;=G1189 ),"Pass","Fail"))</f>
        <v>TBC</v>
      </c>
      <c r="J1189" s="184"/>
      <c r="K1189" s="115" t="s">
        <v>80</v>
      </c>
      <c r="L1189" s="184"/>
      <c r="M1189" s="184"/>
      <c r="N1189" s="184"/>
      <c r="O1189" s="184"/>
      <c r="P1189" s="204">
        <f ca="1">C1189+(INDEX(tblProductScalesMeasures[Min],MATCH(_xlfn.CONCAT(B1189),tblProductScalesMeasures[Description],0)))</f>
        <v>-4</v>
      </c>
      <c r="Q1189" s="204">
        <f ca="1">C1189+(INDEX(tblProductScalesMeasures[Max],MATCH(_xlfn.CONCAT(B1189),tblProductScalesMeasures[Description],0)))</f>
        <v>4</v>
      </c>
      <c r="R1189" s="205" t="str">
        <f ca="1">(INDEX(tblProductScalesMeasures[Unit],MATCH(_xlfn.CONCAT(B1189),tblProductScalesMeasures[Description],0)))</f>
        <v>%</v>
      </c>
      <c r="S1189" s="203"/>
      <c r="T1189" s="205">
        <f ca="1">IF(COUNTIF(tblExempt[],R1189)&gt;0,0,INDEX(tblScaling[Divider],MATCH(_xlfn.CONCAT(IF(ISNUMBER(SEARCH(" ",section_7_heading))=FALSE,SUBSTITUTE(section_7_heading," ",""),"")," ",R1189),tblScaling[Description],0)))</f>
        <v>0</v>
      </c>
      <c r="U1189" s="178"/>
      <c r="V1189" s="178"/>
      <c r="W1189" s="178"/>
      <c r="X1189" s="178"/>
      <c r="Y1189" s="178"/>
      <c r="Z1189" s="178"/>
      <c r="AA1189" s="178"/>
      <c r="AB1189" s="178"/>
      <c r="AC1189" s="178"/>
      <c r="AD1189" s="178"/>
      <c r="AE1189" s="178"/>
      <c r="AF1189" s="178"/>
      <c r="AG1189" s="178"/>
      <c r="AH1189" s="178"/>
      <c r="AI1189" s="178"/>
      <c r="AJ1189" s="178"/>
    </row>
    <row r="1190" spans="1:36" s="180" customFormat="1" ht="16.5" hidden="1" customHeight="1" thickBot="1">
      <c r="A1190" s="133"/>
      <c r="B1190" s="237" t="s">
        <v>70</v>
      </c>
      <c r="C1190" s="57"/>
      <c r="D1190" s="57"/>
      <c r="E1190" s="464"/>
      <c r="F1190" s="57"/>
      <c r="G1190" s="57"/>
      <c r="H1190" s="57"/>
      <c r="I1190" s="57"/>
      <c r="J1190" s="184"/>
      <c r="K1190" s="116" t="s">
        <v>27</v>
      </c>
      <c r="L1190" s="116" t="s">
        <v>42</v>
      </c>
      <c r="M1190" s="116" t="s">
        <v>129</v>
      </c>
      <c r="N1190" s="116" t="str">
        <f ca="1">SUBSTITUTE(CELL("address",K1184),"$","")</f>
        <v>K1184</v>
      </c>
      <c r="O1190" s="116" t="s">
        <v>130</v>
      </c>
      <c r="P1190" s="228" t="s">
        <v>75</v>
      </c>
      <c r="Q1190" s="250" t="str">
        <f ca="1">INDEX(tblGoSubRoutineStartCell[StartCell],MATCH(B1190,tblGoSubRoutineStartCell[GoSub Routine],0))</f>
        <v>K56</v>
      </c>
      <c r="R1190" s="184"/>
      <c r="S1190" s="178"/>
      <c r="T1190" s="178"/>
      <c r="U1190" s="178"/>
      <c r="V1190" s="178"/>
      <c r="W1190" s="178"/>
      <c r="X1190" s="178"/>
      <c r="Y1190" s="178"/>
      <c r="Z1190" s="178"/>
      <c r="AA1190" s="178"/>
      <c r="AB1190" s="178"/>
      <c r="AC1190" s="178"/>
      <c r="AD1190" s="178"/>
      <c r="AE1190" s="178"/>
      <c r="AF1190" s="178"/>
      <c r="AG1190" s="178"/>
      <c r="AH1190" s="178"/>
      <c r="AI1190" s="178"/>
      <c r="AJ1190" s="178"/>
    </row>
    <row r="1191" spans="1:36" s="175" customFormat="1" ht="15.75" hidden="1" thickBot="1">
      <c r="A1191" s="130"/>
      <c r="B1191" s="240" t="s">
        <v>471</v>
      </c>
      <c r="C1191" s="78">
        <v>7</v>
      </c>
      <c r="D1191" s="58"/>
      <c r="E1191" s="455"/>
      <c r="F1191" s="58"/>
      <c r="G1191" s="58"/>
      <c r="H1191" s="58"/>
      <c r="I1191" s="58"/>
      <c r="J1191" s="184"/>
      <c r="K1191" s="302" t="s">
        <v>27</v>
      </c>
      <c r="L1191" s="302" t="s">
        <v>318</v>
      </c>
      <c r="M1191" s="302" t="s">
        <v>55</v>
      </c>
      <c r="N1191" s="302" t="s">
        <v>33</v>
      </c>
      <c r="O1191" s="241">
        <f>C1191</f>
        <v>7</v>
      </c>
      <c r="P1191" s="241"/>
      <c r="Q1191" s="184"/>
    </row>
    <row r="1192" spans="1:36" s="380" customFormat="1" ht="15.75" hidden="1" thickBot="1">
      <c r="A1192" s="399"/>
      <c r="B1192" s="240" t="s">
        <v>741</v>
      </c>
      <c r="C1192" s="390"/>
      <c r="D1192" s="453"/>
      <c r="E1192" s="454" t="str">
        <f>IF(E1191="","[AUTO]",E1191*T1192)</f>
        <v>[AUTO]</v>
      </c>
      <c r="F1192" s="452"/>
      <c r="G1192" s="387"/>
      <c r="H1192" s="387"/>
      <c r="I1192" s="387"/>
      <c r="J1192" s="384"/>
      <c r="K1192" s="428" t="s">
        <v>80</v>
      </c>
      <c r="L1192" s="428"/>
      <c r="M1192" s="428"/>
      <c r="N1192" s="428"/>
      <c r="O1192" s="241"/>
      <c r="P1192" s="241"/>
      <c r="Q1192" s="384"/>
      <c r="T1192" s="430">
        <f>ATE_Settings!$H$17</f>
        <v>1.2829999999999999</v>
      </c>
    </row>
    <row r="1193" spans="1:36" s="175" customFormat="1" ht="15" hidden="1" customHeight="1" thickBot="1">
      <c r="A1193" s="132" cm="1">
        <f t="array" ref="A1193">SSATSLineNumbers(A1193,0.01)</f>
        <v>7.09</v>
      </c>
      <c r="B1193" s="244" t="s">
        <v>583</v>
      </c>
      <c r="C1193" s="66"/>
      <c r="D1193" s="84"/>
      <c r="E1193" s="454"/>
      <c r="F1193" s="58"/>
      <c r="G1193" s="58"/>
      <c r="H1193" s="58"/>
      <c r="I1193" s="58"/>
      <c r="J1193" s="184"/>
      <c r="K1193" s="302" t="s">
        <v>543</v>
      </c>
      <c r="L1193" s="184"/>
      <c r="M1193" s="184"/>
      <c r="N1193" s="184"/>
      <c r="O1193" s="184"/>
      <c r="P1193" s="184"/>
      <c r="Q1193" s="184"/>
    </row>
    <row r="1194" spans="1:36" s="180" customFormat="1" ht="15.75" hidden="1" thickBot="1">
      <c r="A1194" s="132" cm="1">
        <f t="array" ref="A1194">SSATSLineNumbers(A1194,0.01)</f>
        <v>7.1</v>
      </c>
      <c r="B1194" s="244" t="str">
        <f ca="1">ATE_Settings!Y116</f>
        <v>FIL Voltage Monitor Error V (%)</v>
      </c>
      <c r="C1194" s="66"/>
      <c r="D1194" s="206"/>
      <c r="E1194" s="454" t="str" cm="1">
        <f t="array" ref="E1194">SSATSPercent_Error(E1192,E1193)</f>
        <v>[AUTO]</v>
      </c>
      <c r="F1194" s="207">
        <f t="shared" ref="F1194:H1194" ca="1" si="22">P1194</f>
        <v>-4</v>
      </c>
      <c r="G1194" s="86">
        <f t="shared" ca="1" si="22"/>
        <v>4</v>
      </c>
      <c r="H1194" s="86" t="str">
        <f t="shared" ca="1" si="22"/>
        <v>%</v>
      </c>
      <c r="I1194" s="59" t="str">
        <f>IF(E1194 ="[AUTO]","TBC", IF(AND(E1194&gt;=F1194,E1194&lt;=G1194 ),"Pass","Fail"))</f>
        <v>TBC</v>
      </c>
      <c r="J1194" s="184"/>
      <c r="K1194" s="115" t="s">
        <v>80</v>
      </c>
      <c r="L1194" s="184"/>
      <c r="M1194" s="184"/>
      <c r="N1194" s="184"/>
      <c r="O1194" s="184"/>
      <c r="P1194" s="204">
        <f ca="1">C1194+(INDEX(tblProductScalesMeasures[Min],MATCH(_xlfn.CONCAT(B1194),tblProductScalesMeasures[Description],0)))</f>
        <v>-4</v>
      </c>
      <c r="Q1194" s="204">
        <f ca="1">C1194+(INDEX(tblProductScalesMeasures[Max],MATCH(_xlfn.CONCAT(B1194),tblProductScalesMeasures[Description],0)))</f>
        <v>4</v>
      </c>
      <c r="R1194" s="205" t="str">
        <f ca="1">(INDEX(tblProductScalesMeasures[Unit],MATCH(_xlfn.CONCAT(B1194),tblProductScalesMeasures[Description],0)))</f>
        <v>%</v>
      </c>
      <c r="S1194" s="203"/>
      <c r="T1194" s="205">
        <f ca="1">IF(COUNTIF(tblExempt[],R1194)&gt;0,0,INDEX(tblScaling[Divider],MATCH(_xlfn.CONCAT(IF(ISNUMBER(SEARCH(" ",section_7_heading))=FALSE,SUBSTITUTE(section_7_heading," ",""),"")," ",R1194),tblScaling[Description],0)))</f>
        <v>0</v>
      </c>
      <c r="U1194" s="178"/>
      <c r="V1194" s="178"/>
      <c r="W1194" s="178"/>
      <c r="X1194" s="178"/>
      <c r="Y1194" s="178"/>
      <c r="Z1194" s="178"/>
      <c r="AA1194" s="178"/>
      <c r="AB1194" s="178"/>
      <c r="AC1194" s="178"/>
      <c r="AD1194" s="178"/>
      <c r="AE1194" s="178"/>
      <c r="AF1194" s="178"/>
      <c r="AG1194" s="178"/>
      <c r="AH1194" s="178"/>
      <c r="AI1194" s="178"/>
      <c r="AJ1194" s="178"/>
    </row>
    <row r="1195" spans="1:36" s="180" customFormat="1" ht="16.5" hidden="1" customHeight="1" thickBot="1">
      <c r="A1195" s="133"/>
      <c r="B1195" s="237" t="s">
        <v>70</v>
      </c>
      <c r="C1195" s="57"/>
      <c r="D1195" s="57"/>
      <c r="E1195" s="80"/>
      <c r="F1195" s="57"/>
      <c r="G1195" s="57"/>
      <c r="H1195" s="57"/>
      <c r="I1195" s="57"/>
      <c r="J1195" s="184"/>
      <c r="K1195" s="116" t="s">
        <v>27</v>
      </c>
      <c r="L1195" s="116" t="s">
        <v>42</v>
      </c>
      <c r="M1195" s="116" t="s">
        <v>129</v>
      </c>
      <c r="N1195" s="116" t="str">
        <f ca="1">SUBSTITUTE(CELL("address",K1191),"$","")</f>
        <v>K1191</v>
      </c>
      <c r="O1195" s="116" t="s">
        <v>130</v>
      </c>
      <c r="P1195" s="228" t="s">
        <v>75</v>
      </c>
      <c r="Q1195" s="250" t="str">
        <f ca="1">INDEX(tblGoSubRoutineStartCell[StartCell],MATCH(B1195,tblGoSubRoutineStartCell[GoSub Routine],0))</f>
        <v>K56</v>
      </c>
      <c r="R1195" s="184"/>
      <c r="S1195" s="178"/>
      <c r="T1195" s="178"/>
      <c r="U1195" s="178"/>
      <c r="V1195" s="178"/>
      <c r="W1195" s="178"/>
      <c r="X1195" s="178"/>
      <c r="Y1195" s="178"/>
      <c r="Z1195" s="178"/>
      <c r="AA1195" s="178"/>
      <c r="AB1195" s="178"/>
      <c r="AC1195" s="178"/>
      <c r="AD1195" s="178"/>
      <c r="AE1195" s="178"/>
      <c r="AF1195" s="178"/>
      <c r="AG1195" s="178"/>
      <c r="AH1195" s="178"/>
      <c r="AI1195" s="178"/>
      <c r="AJ1195" s="178"/>
    </row>
    <row r="1196" spans="1:36" s="175" customFormat="1" ht="15" hidden="1">
      <c r="A1196" s="130"/>
      <c r="B1196" s="240" t="s">
        <v>539</v>
      </c>
      <c r="C1196" s="78">
        <v>0</v>
      </c>
      <c r="D1196" s="58"/>
      <c r="E1196" s="58"/>
      <c r="F1196" s="58"/>
      <c r="G1196" s="58"/>
      <c r="H1196" s="58"/>
      <c r="I1196" s="58"/>
      <c r="J1196" s="184"/>
      <c r="K1196" s="241" t="str">
        <f>_xlfn.CONCAT("734|FLOAT|OUT2|FLT(",C1196,")")</f>
        <v>734|FLOAT|OUT2|FLT(0)</v>
      </c>
      <c r="L1196" s="302"/>
      <c r="M1196" s="302"/>
      <c r="N1196" s="302"/>
      <c r="O1196" s="241"/>
      <c r="P1196" s="241"/>
      <c r="Q1196" s="184"/>
    </row>
    <row r="1197" spans="1:36" s="175" customFormat="1" ht="15" hidden="1">
      <c r="A1197" s="130"/>
      <c r="B1197" s="240" t="s">
        <v>544</v>
      </c>
      <c r="C1197" s="78">
        <v>12</v>
      </c>
      <c r="D1197" s="58"/>
      <c r="E1197" s="58"/>
      <c r="F1197" s="58"/>
      <c r="G1197" s="58"/>
      <c r="H1197" s="58"/>
      <c r="I1197" s="58"/>
      <c r="J1197" s="184"/>
      <c r="K1197" s="241" t="str">
        <f>_xlfn.CONCAT("734|GND|REG1|DEC(",C1197,")")</f>
        <v>734|GND|REG1|DEC(12)</v>
      </c>
      <c r="L1197" s="302"/>
      <c r="M1197" s="302"/>
      <c r="N1197" s="302"/>
      <c r="O1197" s="241"/>
      <c r="P1197" s="241"/>
      <c r="Q1197" s="184"/>
    </row>
    <row r="1198" spans="1:36" s="175" customFormat="1" ht="15" hidden="1">
      <c r="A1198" s="130"/>
      <c r="B1198" s="293" t="s">
        <v>540</v>
      </c>
      <c r="C1198" s="78">
        <v>2000</v>
      </c>
      <c r="D1198" s="58"/>
      <c r="E1198" s="58"/>
      <c r="F1198" s="58"/>
      <c r="G1198" s="58"/>
      <c r="H1198" s="58"/>
      <c r="I1198" s="58"/>
      <c r="J1198" s="184"/>
      <c r="K1198" s="302" t="s">
        <v>27</v>
      </c>
      <c r="L1198" s="302" t="s">
        <v>42</v>
      </c>
      <c r="M1198" s="216" t="s">
        <v>60</v>
      </c>
      <c r="N1198" s="247" t="str">
        <f>B1198</f>
        <v>Filament Initialising…</v>
      </c>
      <c r="O1198" s="210">
        <f>C1198</f>
        <v>2000</v>
      </c>
      <c r="P1198" s="184"/>
      <c r="Q1198" s="184"/>
    </row>
    <row r="1199" spans="1:36" s="175" customFormat="1" ht="15" hidden="1">
      <c r="A1199" s="130"/>
      <c r="B1199" s="240" t="s">
        <v>343</v>
      </c>
      <c r="C1199" s="78"/>
      <c r="D1199" s="58"/>
      <c r="E1199" s="58"/>
      <c r="F1199" s="58"/>
      <c r="G1199" s="58"/>
      <c r="H1199" s="58"/>
      <c r="I1199" s="58"/>
      <c r="J1199" s="184"/>
      <c r="K1199" s="302" t="s">
        <v>27</v>
      </c>
      <c r="L1199" s="302" t="s">
        <v>313</v>
      </c>
      <c r="M1199" s="302" t="s">
        <v>91</v>
      </c>
      <c r="N1199" s="302" t="s">
        <v>315</v>
      </c>
      <c r="O1199" s="241" t="s">
        <v>316</v>
      </c>
      <c r="P1199" s="241" t="s">
        <v>312</v>
      </c>
      <c r="Q1199" s="184"/>
    </row>
    <row r="1200" spans="1:36" s="180" customFormat="1" ht="15.75" hidden="1" thickBot="1">
      <c r="A1200" s="130"/>
      <c r="B1200" s="84"/>
      <c r="C1200" s="78"/>
      <c r="D1200" s="58"/>
      <c r="E1200" s="58"/>
      <c r="F1200" s="58"/>
      <c r="G1200" s="58"/>
      <c r="H1200" s="58"/>
      <c r="I1200" s="58"/>
      <c r="J1200" s="184"/>
      <c r="K1200" s="302" t="s">
        <v>80</v>
      </c>
      <c r="L1200" s="184"/>
      <c r="M1200" s="184"/>
      <c r="N1200" s="184"/>
      <c r="O1200" s="184"/>
      <c r="R1200" s="178"/>
      <c r="S1200" s="178"/>
      <c r="T1200" s="178"/>
      <c r="U1200" s="178"/>
      <c r="V1200" s="178"/>
      <c r="W1200" s="178"/>
      <c r="X1200" s="178"/>
      <c r="Y1200" s="178"/>
      <c r="Z1200" s="178"/>
      <c r="AA1200" s="178"/>
      <c r="AB1200" s="178"/>
      <c r="AC1200" s="178"/>
      <c r="AD1200" s="178"/>
      <c r="AE1200" s="178"/>
      <c r="AF1200" s="178"/>
      <c r="AG1200" s="178"/>
      <c r="AH1200" s="178"/>
      <c r="AI1200" s="178"/>
      <c r="AJ1200" s="178"/>
    </row>
    <row r="1201" spans="1:36" s="175" customFormat="1" ht="20.25" hidden="1" customHeight="1" thickBot="1">
      <c r="A1201" s="305"/>
      <c r="B1201" s="306"/>
      <c r="C1201" s="306"/>
      <c r="D1201" s="325" t="s">
        <v>546</v>
      </c>
      <c r="E1201" s="306"/>
      <c r="F1201" s="306"/>
      <c r="G1201" s="306"/>
      <c r="H1201" s="306"/>
      <c r="I1201" s="307"/>
      <c r="J1201" s="184"/>
      <c r="K1201" s="89" t="s">
        <v>80</v>
      </c>
      <c r="L1201" s="184"/>
      <c r="M1201" s="184"/>
      <c r="N1201" s="184"/>
      <c r="O1201" s="184"/>
      <c r="P1201" s="184"/>
      <c r="Q1201" s="184"/>
    </row>
    <row r="1202" spans="1:36" s="180" customFormat="1" ht="15.75" hidden="1" thickBot="1">
      <c r="A1202" s="130"/>
      <c r="B1202" s="84"/>
      <c r="C1202" s="78"/>
      <c r="D1202" s="58"/>
      <c r="E1202" s="58"/>
      <c r="F1202" s="58"/>
      <c r="G1202" s="58"/>
      <c r="H1202" s="58"/>
      <c r="I1202" s="58"/>
      <c r="J1202" s="184"/>
      <c r="K1202" s="302" t="s">
        <v>80</v>
      </c>
      <c r="L1202" s="184"/>
      <c r="M1202" s="184"/>
      <c r="N1202" s="184"/>
      <c r="O1202" s="184"/>
      <c r="R1202" s="178"/>
      <c r="S1202" s="178"/>
      <c r="T1202" s="178"/>
      <c r="U1202" s="178"/>
      <c r="V1202" s="178"/>
      <c r="W1202" s="178"/>
      <c r="X1202" s="178"/>
      <c r="Y1202" s="178"/>
      <c r="Z1202" s="178"/>
      <c r="AA1202" s="178"/>
      <c r="AB1202" s="178"/>
      <c r="AC1202" s="178"/>
      <c r="AD1202" s="178"/>
      <c r="AE1202" s="178"/>
      <c r="AF1202" s="178"/>
      <c r="AG1202" s="178"/>
      <c r="AH1202" s="178"/>
      <c r="AI1202" s="178"/>
      <c r="AJ1202" s="178"/>
    </row>
    <row r="1203" spans="1:36" s="175" customFormat="1" ht="15.75" hidden="1" thickBot="1">
      <c r="A1203" s="130"/>
      <c r="B1203" s="341" t="s">
        <v>188</v>
      </c>
      <c r="C1203" s="58"/>
      <c r="D1203" s="58"/>
      <c r="E1203" s="58"/>
      <c r="F1203" s="58"/>
      <c r="G1203" s="58"/>
      <c r="H1203" s="58"/>
      <c r="I1203" s="58"/>
      <c r="J1203" s="340"/>
      <c r="K1203" s="340" t="s">
        <v>77</v>
      </c>
      <c r="L1203" s="340" t="s">
        <v>75</v>
      </c>
      <c r="M1203" s="238" t="str">
        <f ca="1">INDEX(tblGoSubRoutineStartCell[StartCell],MATCH(B1203,tblGoSubRoutineStartCell[GoSub Routine],0))</f>
        <v>K121</v>
      </c>
      <c r="N1203" s="184"/>
      <c r="O1203" s="184"/>
      <c r="P1203" s="184"/>
      <c r="Q1203" s="184"/>
    </row>
    <row r="1204" spans="1:36" s="175" customFormat="1" ht="15" hidden="1">
      <c r="A1204" s="130"/>
      <c r="B1204" s="240" t="s">
        <v>343</v>
      </c>
      <c r="C1204" s="78"/>
      <c r="D1204" s="58"/>
      <c r="E1204" s="58"/>
      <c r="F1204" s="58"/>
      <c r="G1204" s="58"/>
      <c r="H1204" s="58"/>
      <c r="I1204" s="58"/>
      <c r="J1204" s="184"/>
      <c r="K1204" s="302" t="s">
        <v>27</v>
      </c>
      <c r="L1204" s="302" t="s">
        <v>313</v>
      </c>
      <c r="M1204" s="302" t="s">
        <v>91</v>
      </c>
      <c r="N1204" s="302" t="s">
        <v>315</v>
      </c>
      <c r="O1204" s="241" t="s">
        <v>316</v>
      </c>
      <c r="P1204" s="241" t="s">
        <v>312</v>
      </c>
      <c r="Q1204" s="184"/>
    </row>
    <row r="1205" spans="1:36" s="175" customFormat="1" ht="15" hidden="1">
      <c r="A1205" s="130"/>
      <c r="B1205" s="240" t="s">
        <v>538</v>
      </c>
      <c r="C1205" s="78">
        <v>15</v>
      </c>
      <c r="D1205" s="58"/>
      <c r="E1205" s="58"/>
      <c r="F1205" s="58"/>
      <c r="G1205" s="58"/>
      <c r="H1205" s="58"/>
      <c r="I1205" s="58"/>
      <c r="J1205" s="184"/>
      <c r="K1205" s="302" t="s">
        <v>27</v>
      </c>
      <c r="L1205" s="302" t="s">
        <v>313</v>
      </c>
      <c r="M1205" s="302" t="s">
        <v>32</v>
      </c>
      <c r="N1205" s="302" t="s">
        <v>315</v>
      </c>
      <c r="O1205" s="241">
        <f>C1205</f>
        <v>15</v>
      </c>
      <c r="P1205" s="241"/>
      <c r="Q1205" s="184"/>
    </row>
    <row r="1206" spans="1:36" s="175" customFormat="1" ht="15" hidden="1">
      <c r="A1206" s="130"/>
      <c r="B1206" s="240" t="s">
        <v>537</v>
      </c>
      <c r="C1206" s="78">
        <v>13</v>
      </c>
      <c r="D1206" s="58"/>
      <c r="E1206" s="58"/>
      <c r="F1206" s="58"/>
      <c r="G1206" s="58"/>
      <c r="H1206" s="58"/>
      <c r="I1206" s="58"/>
      <c r="J1206" s="184"/>
      <c r="K1206" s="241" t="str">
        <f>_xlfn.CONCAT("734|GND|REG1|DEC(",C1206,")")</f>
        <v>734|GND|REG1|DEC(13)</v>
      </c>
      <c r="L1206" s="302"/>
      <c r="M1206" s="302"/>
      <c r="N1206" s="302"/>
      <c r="O1206" s="241"/>
      <c r="P1206" s="241"/>
      <c r="Q1206" s="184"/>
    </row>
    <row r="1207" spans="1:36" s="175" customFormat="1" ht="15" hidden="1">
      <c r="A1207" s="130"/>
      <c r="B1207" s="240" t="s">
        <v>539</v>
      </c>
      <c r="C1207" s="78">
        <v>4000</v>
      </c>
      <c r="D1207" s="58"/>
      <c r="E1207" s="58"/>
      <c r="F1207" s="58"/>
      <c r="G1207" s="58"/>
      <c r="H1207" s="58"/>
      <c r="I1207" s="58"/>
      <c r="J1207" s="184"/>
      <c r="K1207" s="241" t="str">
        <f>_xlfn.CONCAT("734|FLOAT|OUT2|FLT(",C1207,")")</f>
        <v>734|FLOAT|OUT2|FLT(4000)</v>
      </c>
      <c r="L1207" s="302"/>
      <c r="M1207" s="302"/>
      <c r="N1207" s="302"/>
      <c r="O1207" s="241"/>
      <c r="P1207" s="241"/>
      <c r="Q1207" s="184"/>
    </row>
    <row r="1208" spans="1:36" s="175" customFormat="1" ht="15.75" hidden="1" thickBot="1">
      <c r="A1208" s="130"/>
      <c r="B1208" s="293" t="s">
        <v>540</v>
      </c>
      <c r="C1208" s="78">
        <v>10000</v>
      </c>
      <c r="D1208" s="58"/>
      <c r="E1208" s="58"/>
      <c r="F1208" s="58"/>
      <c r="G1208" s="58"/>
      <c r="H1208" s="58"/>
      <c r="I1208" s="58"/>
      <c r="J1208" s="184"/>
      <c r="K1208" s="302" t="s">
        <v>27</v>
      </c>
      <c r="L1208" s="302" t="s">
        <v>42</v>
      </c>
      <c r="M1208" s="216" t="s">
        <v>60</v>
      </c>
      <c r="N1208" s="247" t="str">
        <f>B1208</f>
        <v>Filament Initialising…</v>
      </c>
      <c r="O1208" s="210">
        <f>C1208</f>
        <v>10000</v>
      </c>
      <c r="P1208" s="184"/>
      <c r="Q1208" s="184"/>
    </row>
    <row r="1209" spans="1:36" s="175" customFormat="1" ht="15" hidden="1" customHeight="1" thickBot="1">
      <c r="A1209" s="132" cm="1">
        <f t="array" ref="A1209">SSATSLineNumbers(A1209,0.01)</f>
        <v>7.11</v>
      </c>
      <c r="B1209" s="244" t="s">
        <v>584</v>
      </c>
      <c r="C1209" s="66">
        <v>4</v>
      </c>
      <c r="D1209" s="84"/>
      <c r="E1209" s="454"/>
      <c r="F1209" s="86">
        <f ca="1">P1209</f>
        <v>3.84</v>
      </c>
      <c r="G1209" s="86">
        <f ca="1">Q1209</f>
        <v>4.16</v>
      </c>
      <c r="H1209" s="86" t="str">
        <f ca="1">R1209</f>
        <v>A</v>
      </c>
      <c r="I1209" s="59" t="str">
        <f>IF(E1209 ="","TBC", IF(AND(E1209&gt;=F1209,E1209&lt;=G1209 ),"Pass","Fail"))</f>
        <v>TBC</v>
      </c>
      <c r="J1209" s="184"/>
      <c r="K1209" s="302" t="s">
        <v>541</v>
      </c>
      <c r="L1209" s="184"/>
      <c r="M1209" s="184"/>
      <c r="N1209" s="184"/>
      <c r="O1209" s="184"/>
      <c r="P1209" s="245">
        <f ca="1">C1209+(INDEX(tblProductScalesMeasures[Min],MATCH(_xlfn.CONCAT(B1209),tblProductScalesMeasures[Description],0)))</f>
        <v>3.84</v>
      </c>
      <c r="Q1209" s="245">
        <f ca="1">C1209+(INDEX(tblProductScalesMeasures[Max],MATCH(_xlfn.CONCAT(B1209),tblProductScalesMeasures[Description],0)))</f>
        <v>4.16</v>
      </c>
      <c r="R1209" s="245" t="str">
        <f ca="1">(INDEX(tblProductScalesMeasures[Unit],MATCH(_xlfn.CONCAT(B1209),tblProductScalesMeasures[Description],0)))</f>
        <v>A</v>
      </c>
      <c r="S1209" s="177"/>
      <c r="T1209" s="245">
        <f ca="1">IF(COUNTIF(tblExempt[],R1209)&gt;0,0,INDEX(tblScaling[Divider],MATCH(_xlfn.CONCAT(IF(ISNUMBER(SEARCH(" ",section_7_heading))=FALSE,SUBSTITUTE(section_7_heading," ",""),"")," ",R1209),tblScaling[Description],0)))</f>
        <v>100</v>
      </c>
    </row>
    <row r="1210" spans="1:36" s="175" customFormat="1" ht="15" hidden="1">
      <c r="A1210" s="130"/>
      <c r="B1210" s="240" t="s">
        <v>547</v>
      </c>
      <c r="C1210" s="78" t="s">
        <v>736</v>
      </c>
      <c r="D1210" s="58"/>
      <c r="E1210" s="466"/>
      <c r="F1210" s="58"/>
      <c r="G1210" s="58"/>
      <c r="H1210" s="58"/>
      <c r="I1210" s="58"/>
      <c r="J1210" s="184"/>
      <c r="K1210" s="302" t="s">
        <v>27</v>
      </c>
      <c r="L1210" s="302" t="s">
        <v>313</v>
      </c>
      <c r="M1210" s="302" t="s">
        <v>32</v>
      </c>
      <c r="N1210" s="302" t="s">
        <v>315</v>
      </c>
      <c r="O1210" s="241" t="str">
        <f>C1210</f>
        <v>15,16</v>
      </c>
      <c r="P1210" s="241"/>
      <c r="Q1210" s="184"/>
    </row>
    <row r="1211" spans="1:36" s="175" customFormat="1" ht="15.75" hidden="1" thickBot="1">
      <c r="A1211" s="130"/>
      <c r="B1211" s="293" t="s">
        <v>592</v>
      </c>
      <c r="C1211" s="78">
        <v>2000</v>
      </c>
      <c r="D1211" s="58"/>
      <c r="E1211" s="466"/>
      <c r="F1211" s="58"/>
      <c r="G1211" s="58"/>
      <c r="H1211" s="58"/>
      <c r="I1211" s="58"/>
      <c r="J1211" s="184"/>
      <c r="K1211" s="340" t="s">
        <v>27</v>
      </c>
      <c r="L1211" s="340" t="s">
        <v>42</v>
      </c>
      <c r="M1211" s="216" t="s">
        <v>60</v>
      </c>
      <c r="N1211" s="247" t="str">
        <f>B1211</f>
        <v>Shorting…</v>
      </c>
      <c r="O1211" s="210">
        <f>C1211</f>
        <v>2000</v>
      </c>
      <c r="P1211" s="184"/>
      <c r="Q1211" s="184"/>
    </row>
    <row r="1212" spans="1:36" s="175" customFormat="1" ht="15" hidden="1" customHeight="1" thickBot="1">
      <c r="A1212" s="132" cm="1">
        <f t="array" ref="A1212">SSATSLineNumbers(A1212,0.01)</f>
        <v>7.12</v>
      </c>
      <c r="B1212" s="244" t="s">
        <v>585</v>
      </c>
      <c r="C1212" s="66">
        <v>4</v>
      </c>
      <c r="D1212" s="84"/>
      <c r="E1212" s="454"/>
      <c r="F1212" s="86">
        <f t="shared" ref="F1212:H1213" ca="1" si="23">P1212</f>
        <v>3.84</v>
      </c>
      <c r="G1212" s="86">
        <f t="shared" ca="1" si="23"/>
        <v>4.16</v>
      </c>
      <c r="H1212" s="86" t="str">
        <f t="shared" ca="1" si="23"/>
        <v>A</v>
      </c>
      <c r="I1212" s="59" t="str">
        <f>IF(E1212 ="","TBC", IF(AND(E1212&gt;=F1212,E1212&lt;=G1212 ),"Pass","Fail"))</f>
        <v>TBC</v>
      </c>
      <c r="J1212" s="184"/>
      <c r="K1212" s="302" t="s">
        <v>541</v>
      </c>
      <c r="L1212" s="184"/>
      <c r="M1212" s="184"/>
      <c r="N1212" s="184"/>
      <c r="O1212" s="184"/>
      <c r="P1212" s="245">
        <f ca="1">C1212+(INDEX(tblProductScalesMeasures[Min],MATCH(_xlfn.CONCAT(B1212),tblProductScalesMeasures[Description],0)))</f>
        <v>3.84</v>
      </c>
      <c r="Q1212" s="245">
        <f ca="1">C1212+(INDEX(tblProductScalesMeasures[Max],MATCH(_xlfn.CONCAT(B1212),tblProductScalesMeasures[Description],0)))</f>
        <v>4.16</v>
      </c>
      <c r="R1212" s="245" t="str">
        <f ca="1">(INDEX(tblProductScalesMeasures[Unit],MATCH(_xlfn.CONCAT(B1212),tblProductScalesMeasures[Description],0)))</f>
        <v>A</v>
      </c>
      <c r="S1212" s="177"/>
      <c r="T1212" s="245">
        <f ca="1">IF(COUNTIF(tblExempt[],R1212)&gt;0,0,INDEX(tblScaling[Divider],MATCH(_xlfn.CONCAT(IF(ISNUMBER(SEARCH(" ",section_7_heading))=FALSE,SUBSTITUTE(section_7_heading," ",""),"")," ",R1212),tblScaling[Description],0)))</f>
        <v>100</v>
      </c>
    </row>
    <row r="1213" spans="1:36" s="175" customFormat="1" ht="15" hidden="1" customHeight="1" thickBot="1">
      <c r="A1213" s="132" cm="1">
        <f t="array" ref="A1213">SSATSLineNumbers(A1213,0.01)</f>
        <v>7.13</v>
      </c>
      <c r="B1213" s="244" t="str">
        <f ca="1">ATE_Settings!Y119</f>
        <v>FIL Current Regulation (mA)</v>
      </c>
      <c r="C1213" s="66"/>
      <c r="D1213" s="211"/>
      <c r="E1213" s="458" t="str">
        <f>IF(OR(E1209="",E1212="")=TRUE,"[AUTO]",E1209-E1212)</f>
        <v>[AUTO]</v>
      </c>
      <c r="F1213" s="212">
        <f t="shared" ca="1" si="23"/>
        <v>-5</v>
      </c>
      <c r="G1213" s="86">
        <f t="shared" ca="1" si="23"/>
        <v>5</v>
      </c>
      <c r="H1213" s="86" t="str">
        <f t="shared" ca="1" si="23"/>
        <v>mA</v>
      </c>
      <c r="I1213" s="59" t="str">
        <f>IF(E1213 ="[AUTO]","TBC", IF(AND(E1213&gt;=F1213,E1213&lt;=G1213 ),"Pass","Fail"))</f>
        <v>TBC</v>
      </c>
      <c r="J1213" s="184"/>
      <c r="K1213" s="302" t="s">
        <v>80</v>
      </c>
      <c r="L1213" s="184"/>
      <c r="M1213" s="184"/>
      <c r="N1213" s="184"/>
      <c r="O1213" s="184"/>
      <c r="P1213" s="204">
        <f ca="1">C1213+(INDEX(tblProductScalesMeasures[Min],MATCH(_xlfn.CONCAT(B1213),tblProductScalesMeasures[Description],0)))</f>
        <v>-5</v>
      </c>
      <c r="Q1213" s="204">
        <f ca="1">C1213+(INDEX(tblProductScalesMeasures[Max],MATCH(_xlfn.CONCAT(B1213),tblProductScalesMeasures[Description],0)))</f>
        <v>5</v>
      </c>
      <c r="R1213" s="205" t="str">
        <f ca="1">(INDEX(tblProductScalesMeasures[Unit],MATCH(_xlfn.CONCAT(B1213),tblProductScalesMeasures[Description],0)))</f>
        <v>mA</v>
      </c>
      <c r="S1213" s="203"/>
    </row>
    <row r="1214" spans="1:36" s="175" customFormat="1" ht="15" hidden="1">
      <c r="A1214" s="130"/>
      <c r="B1214" s="240" t="s">
        <v>539</v>
      </c>
      <c r="C1214" s="78">
        <v>0</v>
      </c>
      <c r="D1214" s="58"/>
      <c r="E1214" s="466"/>
      <c r="F1214" s="58"/>
      <c r="G1214" s="58"/>
      <c r="H1214" s="58"/>
      <c r="I1214" s="58"/>
      <c r="J1214" s="184"/>
      <c r="K1214" s="241" t="str">
        <f>_xlfn.CONCAT("734|FLOAT|OUT2|FLT(",C1214,")")</f>
        <v>734|FLOAT|OUT2|FLT(0)</v>
      </c>
      <c r="L1214" s="302"/>
      <c r="M1214" s="302"/>
      <c r="N1214" s="302"/>
      <c r="O1214" s="241"/>
    </row>
    <row r="1215" spans="1:36" s="175" customFormat="1" ht="15" hidden="1">
      <c r="A1215" s="130"/>
      <c r="B1215" s="240" t="s">
        <v>544</v>
      </c>
      <c r="C1215" s="78">
        <v>12</v>
      </c>
      <c r="D1215" s="58"/>
      <c r="E1215" s="58"/>
      <c r="F1215" s="58"/>
      <c r="G1215" s="58"/>
      <c r="H1215" s="58"/>
      <c r="I1215" s="58"/>
      <c r="J1215" s="184"/>
      <c r="K1215" s="241" t="str">
        <f>_xlfn.CONCAT("734|GND|REG1|DEC(",C1215,")")</f>
        <v>734|GND|REG1|DEC(12)</v>
      </c>
      <c r="L1215" s="302"/>
      <c r="M1215" s="302"/>
      <c r="N1215" s="302"/>
      <c r="O1215" s="241"/>
      <c r="P1215" s="241"/>
      <c r="Q1215" s="184"/>
    </row>
    <row r="1216" spans="1:36" s="175" customFormat="1" ht="15" hidden="1">
      <c r="A1216" s="130"/>
      <c r="B1216" s="293" t="s">
        <v>540</v>
      </c>
      <c r="C1216" s="78">
        <v>2000</v>
      </c>
      <c r="D1216" s="58"/>
      <c r="E1216" s="58"/>
      <c r="F1216" s="58"/>
      <c r="G1216" s="58"/>
      <c r="H1216" s="58"/>
      <c r="I1216" s="58"/>
      <c r="J1216" s="184"/>
      <c r="K1216" s="302" t="s">
        <v>27</v>
      </c>
      <c r="L1216" s="302" t="s">
        <v>42</v>
      </c>
      <c r="M1216" s="216" t="s">
        <v>60</v>
      </c>
      <c r="N1216" s="247" t="str">
        <f>B1216</f>
        <v>Filament Initialising…</v>
      </c>
      <c r="O1216" s="210">
        <f>C1216</f>
        <v>2000</v>
      </c>
      <c r="P1216" s="184"/>
      <c r="Q1216" s="184"/>
    </row>
    <row r="1217" spans="1:36" s="175" customFormat="1" ht="15.75" hidden="1" thickBot="1">
      <c r="A1217" s="130"/>
      <c r="B1217" s="240" t="s">
        <v>343</v>
      </c>
      <c r="C1217" s="78"/>
      <c r="D1217" s="58"/>
      <c r="E1217" s="58"/>
      <c r="F1217" s="58"/>
      <c r="G1217" s="58"/>
      <c r="H1217" s="58"/>
      <c r="I1217" s="58"/>
      <c r="J1217" s="184"/>
      <c r="K1217" s="302" t="s">
        <v>27</v>
      </c>
      <c r="L1217" s="302" t="s">
        <v>313</v>
      </c>
      <c r="M1217" s="302" t="s">
        <v>91</v>
      </c>
      <c r="N1217" s="302" t="s">
        <v>315</v>
      </c>
      <c r="O1217" s="241" t="s">
        <v>316</v>
      </c>
      <c r="P1217" s="241" t="s">
        <v>312</v>
      </c>
      <c r="Q1217" s="184"/>
    </row>
    <row r="1218" spans="1:36" s="180" customFormat="1" ht="16.5" hidden="1" customHeight="1" thickBot="1">
      <c r="A1218" s="133"/>
      <c r="B1218" s="237" t="s">
        <v>70</v>
      </c>
      <c r="C1218" s="57"/>
      <c r="D1218" s="57"/>
      <c r="E1218" s="80"/>
      <c r="F1218" s="57"/>
      <c r="G1218" s="57"/>
      <c r="H1218" s="57"/>
      <c r="I1218" s="57"/>
      <c r="J1218" s="184"/>
      <c r="K1218" s="116" t="s">
        <v>27</v>
      </c>
      <c r="L1218" s="116" t="s">
        <v>42</v>
      </c>
      <c r="M1218" s="116" t="s">
        <v>129</v>
      </c>
      <c r="N1218" s="116" t="str">
        <f ca="1">SUBSTITUTE(CELL("address",K1203),"$","")</f>
        <v>K1203</v>
      </c>
      <c r="O1218" s="116" t="s">
        <v>130</v>
      </c>
      <c r="P1218" s="228" t="s">
        <v>75</v>
      </c>
      <c r="Q1218" s="250" t="str">
        <f ca="1">INDEX(tblGoSubRoutineStartCell[StartCell],MATCH(B1218,tblGoSubRoutineStartCell[GoSub Routine],0))</f>
        <v>K56</v>
      </c>
      <c r="R1218" s="184"/>
      <c r="S1218" s="178"/>
      <c r="T1218" s="178"/>
      <c r="U1218" s="178"/>
      <c r="V1218" s="178"/>
      <c r="W1218" s="178"/>
      <c r="X1218" s="178"/>
      <c r="Y1218" s="178"/>
      <c r="Z1218" s="178"/>
      <c r="AA1218" s="178"/>
      <c r="AB1218" s="178"/>
      <c r="AC1218" s="178"/>
      <c r="AD1218" s="178"/>
      <c r="AE1218" s="178"/>
      <c r="AF1218" s="178"/>
      <c r="AG1218" s="178"/>
      <c r="AH1218" s="178"/>
      <c r="AI1218" s="178"/>
      <c r="AJ1218" s="178"/>
    </row>
    <row r="1219" spans="1:36" s="180" customFormat="1" ht="15.75" hidden="1" thickBot="1">
      <c r="A1219" s="130"/>
      <c r="B1219" s="84"/>
      <c r="C1219" s="78"/>
      <c r="D1219" s="58"/>
      <c r="E1219" s="58"/>
      <c r="F1219" s="58"/>
      <c r="G1219" s="58"/>
      <c r="H1219" s="58"/>
      <c r="I1219" s="58"/>
      <c r="J1219" s="184"/>
      <c r="K1219" s="302" t="s">
        <v>80</v>
      </c>
      <c r="L1219" s="184"/>
      <c r="M1219" s="184"/>
      <c r="N1219" s="184"/>
      <c r="O1219" s="184"/>
      <c r="R1219" s="178"/>
      <c r="S1219" s="178"/>
      <c r="T1219" s="178"/>
      <c r="U1219" s="178"/>
      <c r="V1219" s="178"/>
      <c r="W1219" s="178"/>
      <c r="X1219" s="178"/>
      <c r="Y1219" s="178"/>
      <c r="Z1219" s="178"/>
      <c r="AA1219" s="178"/>
      <c r="AB1219" s="178"/>
      <c r="AC1219" s="178"/>
      <c r="AD1219" s="178"/>
      <c r="AE1219" s="178"/>
      <c r="AF1219" s="178"/>
      <c r="AG1219" s="178"/>
      <c r="AH1219" s="178"/>
      <c r="AI1219" s="178"/>
      <c r="AJ1219" s="178"/>
    </row>
    <row r="1220" spans="1:36" s="45" customFormat="1" ht="18.75" hidden="1" thickBot="1">
      <c r="A1220" s="134"/>
      <c r="B1220" s="54" t="s">
        <v>70</v>
      </c>
      <c r="C1220" s="55"/>
      <c r="D1220" s="55"/>
      <c r="E1220" s="55"/>
      <c r="F1220" s="55"/>
      <c r="G1220" s="55"/>
      <c r="H1220" s="55"/>
      <c r="I1220" s="56"/>
      <c r="K1220" s="301" t="s">
        <v>77</v>
      </c>
      <c r="L1220" s="301" t="s">
        <v>75</v>
      </c>
      <c r="M1220" s="302" t="str">
        <f ca="1">INDEX(tblGoSubRoutineStartCell[StartCell],MATCH(B1220,tblGoSubRoutineStartCell[GoSub Routine],0))</f>
        <v>K56</v>
      </c>
      <c r="R1220" s="177"/>
      <c r="S1220" s="177"/>
      <c r="T1220" s="177"/>
      <c r="U1220" s="177"/>
      <c r="V1220" s="177"/>
      <c r="W1220" s="177"/>
      <c r="X1220" s="177"/>
      <c r="Y1220" s="177"/>
      <c r="Z1220" s="177"/>
      <c r="AA1220" s="177"/>
      <c r="AB1220" s="177"/>
      <c r="AC1220" s="177"/>
      <c r="AD1220" s="177"/>
      <c r="AE1220" s="177"/>
      <c r="AF1220" s="177"/>
      <c r="AG1220" s="177"/>
      <c r="AH1220" s="177"/>
      <c r="AI1220" s="177"/>
      <c r="AJ1220" s="177"/>
    </row>
    <row r="1221" spans="1:36" s="45" customFormat="1" ht="12.75" hidden="1" customHeight="1">
      <c r="A1221" s="504" t="str">
        <f>_xlfn.CONCAT(section_7_heading," Overall Verdict")</f>
        <v>Filament Overall Verdict</v>
      </c>
      <c r="B1221" s="505"/>
      <c r="C1221" s="505"/>
      <c r="D1221" s="505"/>
      <c r="E1221" s="505"/>
      <c r="F1221" s="505"/>
      <c r="G1221" s="506"/>
      <c r="H1221" s="513" t="str" cm="1">
        <f t="array" ref="H1221">_xlfn.IFS(COUNTIF(section_7_results,"TBC")&gt;0,"Incomplete",COUNT(IF(ISERROR(section_7_results),1,""))&gt;0,"VALUE ERROR",COUNTIF(section_7_results,"Fail")&gt;0,"Fail",COUNTIF(unit_type,"")&gt;0,"NO UNIT TYPE",COUNTIF(serial_number,"")&gt;0,"NO SERIAL NUMBER",COUNTIF(tester_name,"")&gt;0,"NO TESTER ID",TRUE,"Pass")</f>
        <v>Incomplete</v>
      </c>
      <c r="I1221" s="514"/>
      <c r="K1221" s="50"/>
      <c r="R1221" s="177"/>
      <c r="S1221" s="177"/>
      <c r="T1221" s="177"/>
      <c r="U1221" s="177"/>
      <c r="V1221" s="177"/>
      <c r="W1221" s="177"/>
      <c r="X1221" s="177"/>
      <c r="Y1221" s="177"/>
      <c r="Z1221" s="177"/>
      <c r="AA1221" s="177"/>
      <c r="AB1221" s="177"/>
      <c r="AC1221" s="177"/>
      <c r="AD1221" s="177"/>
      <c r="AE1221" s="177"/>
      <c r="AF1221" s="177"/>
      <c r="AG1221" s="177"/>
      <c r="AH1221" s="177"/>
      <c r="AI1221" s="177"/>
      <c r="AJ1221" s="177"/>
    </row>
    <row r="1222" spans="1:36" s="45" customFormat="1" ht="12.75" hidden="1" customHeight="1">
      <c r="A1222" s="507"/>
      <c r="B1222" s="508"/>
      <c r="C1222" s="508"/>
      <c r="D1222" s="508"/>
      <c r="E1222" s="508"/>
      <c r="F1222" s="508"/>
      <c r="G1222" s="509"/>
      <c r="H1222" s="515"/>
      <c r="I1222" s="516"/>
      <c r="K1222" s="50"/>
      <c r="R1222" s="177"/>
      <c r="S1222" s="177"/>
      <c r="T1222" s="177"/>
      <c r="U1222" s="177"/>
      <c r="V1222" s="177"/>
      <c r="W1222" s="177"/>
      <c r="X1222" s="177"/>
      <c r="Y1222" s="177"/>
      <c r="Z1222" s="177"/>
      <c r="AA1222" s="177"/>
      <c r="AB1222" s="177"/>
      <c r="AC1222" s="177"/>
      <c r="AD1222" s="177"/>
      <c r="AE1222" s="177"/>
      <c r="AF1222" s="177"/>
      <c r="AG1222" s="177"/>
      <c r="AH1222" s="177"/>
      <c r="AI1222" s="177"/>
      <c r="AJ1222" s="177"/>
    </row>
    <row r="1223" spans="1:36" s="45" customFormat="1" ht="13.5" hidden="1" customHeight="1" thickBot="1">
      <c r="A1223" s="510"/>
      <c r="B1223" s="511"/>
      <c r="C1223" s="511"/>
      <c r="D1223" s="511"/>
      <c r="E1223" s="511"/>
      <c r="F1223" s="511"/>
      <c r="G1223" s="512"/>
      <c r="H1223" s="517"/>
      <c r="I1223" s="518"/>
      <c r="K1223" s="50"/>
      <c r="R1223" s="177"/>
      <c r="S1223" s="177"/>
      <c r="T1223" s="177"/>
      <c r="U1223" s="177"/>
      <c r="V1223" s="177"/>
      <c r="W1223" s="177"/>
      <c r="X1223" s="177"/>
      <c r="Y1223" s="177"/>
      <c r="Z1223" s="177"/>
      <c r="AA1223" s="177"/>
      <c r="AB1223" s="177"/>
      <c r="AC1223" s="177"/>
      <c r="AD1223" s="177"/>
      <c r="AE1223" s="177"/>
      <c r="AF1223" s="177"/>
      <c r="AG1223" s="177"/>
      <c r="AH1223" s="177"/>
      <c r="AI1223" s="177"/>
      <c r="AJ1223" s="177"/>
    </row>
    <row r="1228" spans="1:36" ht="15">
      <c r="K1228" s="424"/>
      <c r="L1228" s="89"/>
      <c r="M1228" s="424"/>
      <c r="N1228" s="384"/>
      <c r="O1228" s="384"/>
      <c r="P1228" s="384"/>
      <c r="Q1228" s="384"/>
    </row>
    <row r="1234" spans="13:13">
      <c r="M1234" s="37"/>
    </row>
  </sheetData>
  <sheetProtection sheet="1" objects="1" scenarios="1" selectLockedCells="1"/>
  <dataConsolidate/>
  <mergeCells count="69">
    <mergeCell ref="A42:H73"/>
    <mergeCell ref="B1109:I1109"/>
    <mergeCell ref="A1110:I1144"/>
    <mergeCell ref="A1145:I1156"/>
    <mergeCell ref="A1221:G1223"/>
    <mergeCell ref="H1221:I1223"/>
    <mergeCell ref="B915:I915"/>
    <mergeCell ref="A916:I950"/>
    <mergeCell ref="A951:I962"/>
    <mergeCell ref="A1106:G1108"/>
    <mergeCell ref="H1106:I1108"/>
    <mergeCell ref="B734:I734"/>
    <mergeCell ref="A735:I769"/>
    <mergeCell ref="A770:I781"/>
    <mergeCell ref="A912:G914"/>
    <mergeCell ref="H912:I914"/>
    <mergeCell ref="B3:B6"/>
    <mergeCell ref="E12:F13"/>
    <mergeCell ref="B32:C32"/>
    <mergeCell ref="D22:H26"/>
    <mergeCell ref="D21:H21"/>
    <mergeCell ref="D17:H17"/>
    <mergeCell ref="D19:H19"/>
    <mergeCell ref="G12:H13"/>
    <mergeCell ref="D15:H15"/>
    <mergeCell ref="B7:B11"/>
    <mergeCell ref="B12:D13"/>
    <mergeCell ref="C10:E11"/>
    <mergeCell ref="C5:C6"/>
    <mergeCell ref="C7:C8"/>
    <mergeCell ref="D5:D6"/>
    <mergeCell ref="E5:E6"/>
    <mergeCell ref="I40:K40"/>
    <mergeCell ref="B91:C91"/>
    <mergeCell ref="B99:I99"/>
    <mergeCell ref="J84:L84"/>
    <mergeCell ref="D7:D8"/>
    <mergeCell ref="E7:E8"/>
    <mergeCell ref="B35:C35"/>
    <mergeCell ref="A40:H40"/>
    <mergeCell ref="B34:C34"/>
    <mergeCell ref="B37:C37"/>
    <mergeCell ref="B36:C36"/>
    <mergeCell ref="B33:C33"/>
    <mergeCell ref="B75:D75"/>
    <mergeCell ref="B92:D93"/>
    <mergeCell ref="B94:D96"/>
    <mergeCell ref="A41:H41"/>
    <mergeCell ref="A604:I615"/>
    <mergeCell ref="A731:G733"/>
    <mergeCell ref="H731:I733"/>
    <mergeCell ref="I41:K73"/>
    <mergeCell ref="A565:G567"/>
    <mergeCell ref="H565:I567"/>
    <mergeCell ref="A315:G317"/>
    <mergeCell ref="H315:I317"/>
    <mergeCell ref="B318:I318"/>
    <mergeCell ref="B165:I165"/>
    <mergeCell ref="A162:G164"/>
    <mergeCell ref="H162:I164"/>
    <mergeCell ref="A201:I212"/>
    <mergeCell ref="A354:I365"/>
    <mergeCell ref="B100:I100"/>
    <mergeCell ref="A572:I603"/>
    <mergeCell ref="A319:I321"/>
    <mergeCell ref="A166:I167"/>
    <mergeCell ref="A168:I200"/>
    <mergeCell ref="A569:I571"/>
    <mergeCell ref="B568:I568"/>
  </mergeCells>
  <phoneticPr fontId="11" type="noConversion"/>
  <conditionalFormatting sqref="A250 A255 A309 A258 A622 C622:I622 A897:A910 C897:I910 A382:I383 A1204:A1205 C1204:I1205 A1210 C1210:I1210 C299:I299 A299 A305:I305 A722:I724 F1191:I1191 E109 A109 A111 E111 E113 A113 A115 E115 E117 A117 E127:E144 A127:B144 I127:I144 A435:A440 A443 C435:I440 C443:I443 A679:A686 A688 C679:I686 C688:I688 F1193:I1193 A386:I386 A384:A385 C384:I385 A389:I389 A387:A388 C387:I388 A726:B727 A725 F1176:I1178">
    <cfRule type="cellIs" dxfId="6659" priority="23293" stopIfTrue="1" operator="equal">
      <formula>"Fail"</formula>
    </cfRule>
    <cfRule type="cellIs" dxfId="6658" priority="23294" stopIfTrue="1" operator="equal">
      <formula>"Pass"</formula>
    </cfRule>
  </conditionalFormatting>
  <conditionalFormatting sqref="H162">
    <cfRule type="cellIs" dxfId="6657" priority="21239" stopIfTrue="1" operator="equal">
      <formula>"Fail"</formula>
    </cfRule>
    <cfRule type="cellIs" dxfId="6656" priority="21240" stopIfTrue="1" operator="equal">
      <formula>"Pass"</formula>
    </cfRule>
  </conditionalFormatting>
  <conditionalFormatting sqref="H162">
    <cfRule type="cellIs" dxfId="6655" priority="21243" stopIfTrue="1" operator="equal">
      <formula>"Fail"</formula>
    </cfRule>
    <cfRule type="cellIs" dxfId="6654" priority="21244" stopIfTrue="1" operator="equal">
      <formula>"Pass"</formula>
    </cfRule>
  </conditionalFormatting>
  <conditionalFormatting sqref="H162">
    <cfRule type="cellIs" dxfId="6653" priority="21241" stopIfTrue="1" operator="equal">
      <formula>"Fail"</formula>
    </cfRule>
    <cfRule type="cellIs" dxfId="6652" priority="21242" stopIfTrue="1" operator="equal">
      <formula>"Pass"</formula>
    </cfRule>
  </conditionalFormatting>
  <conditionalFormatting sqref="D91">
    <cfRule type="cellIs" dxfId="6651" priority="21155" stopIfTrue="1" operator="equal">
      <formula>"Fail"</formula>
    </cfRule>
    <cfRule type="cellIs" dxfId="6650" priority="21156" stopIfTrue="1" operator="equal">
      <formula>"Pass"</formula>
    </cfRule>
  </conditionalFormatting>
  <conditionalFormatting sqref="D91">
    <cfRule type="cellIs" dxfId="6649" priority="21159" stopIfTrue="1" operator="equal">
      <formula>"Fail"</formula>
    </cfRule>
    <cfRule type="cellIs" dxfId="6648" priority="21160" stopIfTrue="1" operator="equal">
      <formula>"Pass"</formula>
    </cfRule>
  </conditionalFormatting>
  <conditionalFormatting sqref="D91">
    <cfRule type="cellIs" dxfId="6647" priority="21157" stopIfTrue="1" operator="equal">
      <formula>"Fail"</formula>
    </cfRule>
    <cfRule type="cellIs" dxfId="6646" priority="21158" stopIfTrue="1" operator="equal">
      <formula>"Pass"</formula>
    </cfRule>
  </conditionalFormatting>
  <conditionalFormatting sqref="D87 D89">
    <cfRule type="cellIs" dxfId="6645" priority="21083" stopIfTrue="1" operator="equal">
      <formula>"Fail"</formula>
    </cfRule>
    <cfRule type="cellIs" dxfId="6644" priority="21084" stopIfTrue="1" operator="equal">
      <formula>"Pass"</formula>
    </cfRule>
  </conditionalFormatting>
  <conditionalFormatting sqref="D87 D89">
    <cfRule type="cellIs" dxfId="6643" priority="21087" stopIfTrue="1" operator="equal">
      <formula>"Fail"</formula>
    </cfRule>
    <cfRule type="cellIs" dxfId="6642" priority="21088" stopIfTrue="1" operator="equal">
      <formula>"Pass"</formula>
    </cfRule>
  </conditionalFormatting>
  <conditionalFormatting sqref="D87 D89">
    <cfRule type="cellIs" dxfId="6641" priority="21085" stopIfTrue="1" operator="equal">
      <formula>"Fail"</formula>
    </cfRule>
    <cfRule type="cellIs" dxfId="6640" priority="21086" stopIfTrue="1" operator="equal">
      <formula>"Pass"</formula>
    </cfRule>
  </conditionalFormatting>
  <conditionalFormatting sqref="D77">
    <cfRule type="cellIs" dxfId="6639" priority="21107" stopIfTrue="1" operator="equal">
      <formula>"Fail"</formula>
    </cfRule>
    <cfRule type="cellIs" dxfId="6638" priority="21108" stopIfTrue="1" operator="equal">
      <formula>"Pass"</formula>
    </cfRule>
  </conditionalFormatting>
  <conditionalFormatting sqref="D77">
    <cfRule type="cellIs" dxfId="6637" priority="21111" stopIfTrue="1" operator="equal">
      <formula>"Fail"</formula>
    </cfRule>
    <cfRule type="cellIs" dxfId="6636" priority="21112" stopIfTrue="1" operator="equal">
      <formula>"Pass"</formula>
    </cfRule>
  </conditionalFormatting>
  <conditionalFormatting sqref="D77">
    <cfRule type="cellIs" dxfId="6635" priority="21109" stopIfTrue="1" operator="equal">
      <formula>"Fail"</formula>
    </cfRule>
    <cfRule type="cellIs" dxfId="6634" priority="21110" stopIfTrue="1" operator="equal">
      <formula>"Pass"</formula>
    </cfRule>
  </conditionalFormatting>
  <conditionalFormatting sqref="D79">
    <cfRule type="cellIs" dxfId="6633" priority="21101" stopIfTrue="1" operator="equal">
      <formula>"Fail"</formula>
    </cfRule>
    <cfRule type="cellIs" dxfId="6632" priority="21102" stopIfTrue="1" operator="equal">
      <formula>"Pass"</formula>
    </cfRule>
  </conditionalFormatting>
  <conditionalFormatting sqref="D79">
    <cfRule type="cellIs" dxfId="6631" priority="21105" stopIfTrue="1" operator="equal">
      <formula>"Fail"</formula>
    </cfRule>
    <cfRule type="cellIs" dxfId="6630" priority="21106" stopIfTrue="1" operator="equal">
      <formula>"Pass"</formula>
    </cfRule>
  </conditionalFormatting>
  <conditionalFormatting sqref="D79">
    <cfRule type="cellIs" dxfId="6629" priority="21103" stopIfTrue="1" operator="equal">
      <formula>"Fail"</formula>
    </cfRule>
    <cfRule type="cellIs" dxfId="6628" priority="21104" stopIfTrue="1" operator="equal">
      <formula>"Pass"</formula>
    </cfRule>
  </conditionalFormatting>
  <conditionalFormatting sqref="D83">
    <cfRule type="cellIs" dxfId="6627" priority="21095" stopIfTrue="1" operator="equal">
      <formula>"Fail"</formula>
    </cfRule>
    <cfRule type="cellIs" dxfId="6626" priority="21096" stopIfTrue="1" operator="equal">
      <formula>"Pass"</formula>
    </cfRule>
  </conditionalFormatting>
  <conditionalFormatting sqref="D83">
    <cfRule type="cellIs" dxfId="6625" priority="21099" stopIfTrue="1" operator="equal">
      <formula>"Fail"</formula>
    </cfRule>
    <cfRule type="cellIs" dxfId="6624" priority="21100" stopIfTrue="1" operator="equal">
      <formula>"Pass"</formula>
    </cfRule>
  </conditionalFormatting>
  <conditionalFormatting sqref="D83">
    <cfRule type="cellIs" dxfId="6623" priority="21097" stopIfTrue="1" operator="equal">
      <formula>"Fail"</formula>
    </cfRule>
    <cfRule type="cellIs" dxfId="6622" priority="21098" stopIfTrue="1" operator="equal">
      <formula>"Pass"</formula>
    </cfRule>
  </conditionalFormatting>
  <conditionalFormatting sqref="D85 D87 D89">
    <cfRule type="cellIs" dxfId="6621" priority="21089" stopIfTrue="1" operator="equal">
      <formula>"Fail"</formula>
    </cfRule>
    <cfRule type="cellIs" dxfId="6620" priority="21090" stopIfTrue="1" operator="equal">
      <formula>"Pass"</formula>
    </cfRule>
  </conditionalFormatting>
  <conditionalFormatting sqref="D85 D87 D89">
    <cfRule type="cellIs" dxfId="6619" priority="21093" stopIfTrue="1" operator="equal">
      <formula>"Fail"</formula>
    </cfRule>
    <cfRule type="cellIs" dxfId="6618" priority="21094" stopIfTrue="1" operator="equal">
      <formula>"Pass"</formula>
    </cfRule>
  </conditionalFormatting>
  <conditionalFormatting sqref="D85 D87 D89">
    <cfRule type="cellIs" dxfId="6617" priority="21091" stopIfTrue="1" operator="equal">
      <formula>"Fail"</formula>
    </cfRule>
    <cfRule type="cellIs" dxfId="6616" priority="21092" stopIfTrue="1" operator="equal">
      <formula>"Pass"</formula>
    </cfRule>
  </conditionalFormatting>
  <conditionalFormatting sqref="A38:H38">
    <cfRule type="cellIs" dxfId="6615" priority="20415" stopIfTrue="1" operator="equal">
      <formula>"Fail"</formula>
    </cfRule>
    <cfRule type="cellIs" dxfId="6614" priority="20416" stopIfTrue="1" operator="equal">
      <formula>"Pass"</formula>
    </cfRule>
  </conditionalFormatting>
  <conditionalFormatting sqref="A161">
    <cfRule type="containsText" dxfId="6613" priority="20347" operator="containsText" text="CALIBRATION NUMBER(S) MISSING">
      <formula>NOT(ISERROR(SEARCH("CALIBRATION NUMBER(S) MISSING",A161)))</formula>
    </cfRule>
    <cfRule type="containsText" dxfId="6612" priority="20348" operator="containsText" text="ENTER TESTER ID">
      <formula>NOT(ISERROR(SEARCH("ENTER TESTER ID",A161)))</formula>
    </cfRule>
    <cfRule type="containsText" dxfId="6611" priority="20349" operator="containsText" text="NO SERIAL NUMBER">
      <formula>NOT(ISERROR(SEARCH("NO SERIAL NUMBER",A161)))</formula>
    </cfRule>
    <cfRule type="containsText" dxfId="6610" priority="20350" operator="containsText" text="NO UNIT TYPE">
      <formula>NOT(ISERROR(SEARCH("NO UNIT TYPE",A161)))</formula>
    </cfRule>
  </conditionalFormatting>
  <conditionalFormatting sqref="B161">
    <cfRule type="containsText" dxfId="6609" priority="20343" operator="containsText" text="CALIBRATION NUMBER(S) MISSING">
      <formula>NOT(ISERROR(SEARCH("CALIBRATION NUMBER(S) MISSING",B161)))</formula>
    </cfRule>
    <cfRule type="containsText" dxfId="6608" priority="20344" operator="containsText" text="ENTER TESTER ID">
      <formula>NOT(ISERROR(SEARCH("ENTER TESTER ID",B161)))</formula>
    </cfRule>
    <cfRule type="containsText" dxfId="6607" priority="20345" operator="containsText" text="NO SERIAL NUMBER">
      <formula>NOT(ISERROR(SEARCH("NO SERIAL NUMBER",B161)))</formula>
    </cfRule>
    <cfRule type="containsText" dxfId="6606" priority="20346" operator="containsText" text="NO UNIT TYPE">
      <formula>NOT(ISERROR(SEARCH("NO UNIT TYPE",B161)))</formula>
    </cfRule>
  </conditionalFormatting>
  <conditionalFormatting sqref="D81">
    <cfRule type="cellIs" dxfId="6605" priority="15654" stopIfTrue="1" operator="equal">
      <formula>"Fail"</formula>
    </cfRule>
    <cfRule type="cellIs" dxfId="6604" priority="15655" stopIfTrue="1" operator="equal">
      <formula>"Pass"</formula>
    </cfRule>
  </conditionalFormatting>
  <conditionalFormatting sqref="D81">
    <cfRule type="cellIs" dxfId="6603" priority="15652" stopIfTrue="1" operator="equal">
      <formula>"Fail"</formula>
    </cfRule>
    <cfRule type="cellIs" dxfId="6602" priority="15653" stopIfTrue="1" operator="equal">
      <formula>"Pass"</formula>
    </cfRule>
  </conditionalFormatting>
  <conditionalFormatting sqref="D81">
    <cfRule type="cellIs" dxfId="6601" priority="15650" stopIfTrue="1" operator="equal">
      <formula>"Fail"</formula>
    </cfRule>
    <cfRule type="cellIs" dxfId="6600" priority="15651" stopIfTrue="1" operator="equal">
      <formula>"Pass"</formula>
    </cfRule>
  </conditionalFormatting>
  <conditionalFormatting sqref="I304">
    <cfRule type="cellIs" dxfId="6599" priority="11906" stopIfTrue="1" operator="equal">
      <formula>"Fail"</formula>
    </cfRule>
    <cfRule type="cellIs" dxfId="6598" priority="11907" stopIfTrue="1" operator="equal">
      <formula>"Pass"</formula>
    </cfRule>
  </conditionalFormatting>
  <conditionalFormatting sqref="I304">
    <cfRule type="cellIs" dxfId="6597" priority="11910" stopIfTrue="1" operator="equal">
      <formula>"Fail"</formula>
    </cfRule>
    <cfRule type="cellIs" dxfId="6596" priority="11911" stopIfTrue="1" operator="equal">
      <formula>"Pass"</formula>
    </cfRule>
  </conditionalFormatting>
  <conditionalFormatting sqref="I304">
    <cfRule type="cellIs" dxfId="6595" priority="11908" stopIfTrue="1" operator="equal">
      <formula>"Fail"</formula>
    </cfRule>
    <cfRule type="cellIs" dxfId="6594" priority="11909" stopIfTrue="1" operator="equal">
      <formula>"Pass"</formula>
    </cfRule>
  </conditionalFormatting>
  <conditionalFormatting sqref="I295 I297">
    <cfRule type="cellIs" dxfId="6593" priority="11882" stopIfTrue="1" operator="equal">
      <formula>"Fail"</formula>
    </cfRule>
    <cfRule type="cellIs" dxfId="6592" priority="11883" stopIfTrue="1" operator="equal">
      <formula>"Pass"</formula>
    </cfRule>
  </conditionalFormatting>
  <conditionalFormatting sqref="C295 C297">
    <cfRule type="cellIs" dxfId="6591" priority="11880" stopIfTrue="1" operator="equal">
      <formula>"Fail"</formula>
    </cfRule>
    <cfRule type="cellIs" dxfId="6590" priority="11881" stopIfTrue="1" operator="equal">
      <formula>"Pass"</formula>
    </cfRule>
  </conditionalFormatting>
  <conditionalFormatting sqref="B304 B309">
    <cfRule type="cellIs" dxfId="6589" priority="11788" stopIfTrue="1" operator="equal">
      <formula>"Fail"</formula>
    </cfRule>
    <cfRule type="cellIs" dxfId="6588" priority="11789" stopIfTrue="1" operator="equal">
      <formula>"Pass"</formula>
    </cfRule>
  </conditionalFormatting>
  <conditionalFormatting sqref="A295 C295:I295 C297:I297 A297">
    <cfRule type="cellIs" dxfId="6587" priority="11886" stopIfTrue="1" operator="equal">
      <formula>"Fail"</formula>
    </cfRule>
    <cfRule type="cellIs" dxfId="6586" priority="11887" stopIfTrue="1" operator="equal">
      <formula>"Pass"</formula>
    </cfRule>
  </conditionalFormatting>
  <conditionalFormatting sqref="A295 D295:I295 D297:I297 A297">
    <cfRule type="cellIs" dxfId="6585" priority="11884" stopIfTrue="1" operator="equal">
      <formula>"Fail"</formula>
    </cfRule>
    <cfRule type="cellIs" dxfId="6584" priority="11885" stopIfTrue="1" operator="equal">
      <formula>"Pass"</formula>
    </cfRule>
  </conditionalFormatting>
  <conditionalFormatting sqref="A314">
    <cfRule type="containsText" dxfId="6583" priority="11840" operator="containsText" text="CALIBRATION NUMBER(S) MISSING">
      <formula>NOT(ISERROR(SEARCH("CALIBRATION NUMBER(S) MISSING",A314)))</formula>
    </cfRule>
    <cfRule type="containsText" dxfId="6582" priority="11841" operator="containsText" text="ENTER TESTER ID">
      <formula>NOT(ISERROR(SEARCH("ENTER TESTER ID",A314)))</formula>
    </cfRule>
    <cfRule type="containsText" dxfId="6581" priority="11842" operator="containsText" text="NO SERIAL NUMBER">
      <formula>NOT(ISERROR(SEARCH("NO SERIAL NUMBER",A314)))</formula>
    </cfRule>
    <cfRule type="containsText" dxfId="6580" priority="11843" operator="containsText" text="NO UNIT TYPE">
      <formula>NOT(ISERROR(SEARCH("NO UNIT TYPE",A314)))</formula>
    </cfRule>
  </conditionalFormatting>
  <conditionalFormatting sqref="B314">
    <cfRule type="containsText" dxfId="6579" priority="11836" operator="containsText" text="CALIBRATION NUMBER(S) MISSING">
      <formula>NOT(ISERROR(SEARCH("CALIBRATION NUMBER(S) MISSING",B314)))</formula>
    </cfRule>
    <cfRule type="containsText" dxfId="6578" priority="11837" operator="containsText" text="ENTER TESTER ID">
      <formula>NOT(ISERROR(SEARCH("ENTER TESTER ID",B314)))</formula>
    </cfRule>
    <cfRule type="containsText" dxfId="6577" priority="11838" operator="containsText" text="NO SERIAL NUMBER">
      <formula>NOT(ISERROR(SEARCH("NO SERIAL NUMBER",B314)))</formula>
    </cfRule>
    <cfRule type="containsText" dxfId="6576" priority="11839" operator="containsText" text="NO UNIT TYPE">
      <formula>NOT(ISERROR(SEARCH("NO UNIT TYPE",B314)))</formula>
    </cfRule>
  </conditionalFormatting>
  <conditionalFormatting sqref="C304">
    <cfRule type="cellIs" dxfId="6575" priority="11561" stopIfTrue="1" operator="equal">
      <formula>"Fail"</formula>
    </cfRule>
    <cfRule type="cellIs" dxfId="6574" priority="11562" stopIfTrue="1" operator="equal">
      <formula>"Pass"</formula>
    </cfRule>
  </conditionalFormatting>
  <conditionalFormatting sqref="A304">
    <cfRule type="cellIs" dxfId="6573" priority="11545" stopIfTrue="1" operator="equal">
      <formula>"Fail"</formula>
    </cfRule>
    <cfRule type="cellIs" dxfId="6572" priority="11546" stopIfTrue="1" operator="equal">
      <formula>"Pass"</formula>
    </cfRule>
  </conditionalFormatting>
  <conditionalFormatting sqref="C250">
    <cfRule type="cellIs" dxfId="6571" priority="11533" stopIfTrue="1" operator="equal">
      <formula>"Fail"</formula>
    </cfRule>
    <cfRule type="cellIs" dxfId="6570" priority="11534" stopIfTrue="1" operator="equal">
      <formula>"Pass"</formula>
    </cfRule>
  </conditionalFormatting>
  <conditionalFormatting sqref="C280">
    <cfRule type="cellIs" dxfId="6569" priority="11497" stopIfTrue="1" operator="equal">
      <formula>"Fail"</formula>
    </cfRule>
    <cfRule type="cellIs" dxfId="6568" priority="11498" stopIfTrue="1" operator="equal">
      <formula>"Pass"</formula>
    </cfRule>
  </conditionalFormatting>
  <conditionalFormatting sqref="C255 C257">
    <cfRule type="cellIs" dxfId="6567" priority="11523" stopIfTrue="1" operator="equal">
      <formula>"Fail"</formula>
    </cfRule>
    <cfRule type="cellIs" dxfId="6566" priority="11524" stopIfTrue="1" operator="equal">
      <formula>"Pass"</formula>
    </cfRule>
  </conditionalFormatting>
  <conditionalFormatting sqref="I281">
    <cfRule type="cellIs" dxfId="6565" priority="11489" stopIfTrue="1" operator="equal">
      <formula>"Fail"</formula>
    </cfRule>
    <cfRule type="cellIs" dxfId="6564" priority="11490" stopIfTrue="1" operator="equal">
      <formula>"Pass"</formula>
    </cfRule>
  </conditionalFormatting>
  <conditionalFormatting sqref="I281">
    <cfRule type="cellIs" dxfId="6563" priority="11493" stopIfTrue="1" operator="equal">
      <formula>"Fail"</formula>
    </cfRule>
    <cfRule type="cellIs" dxfId="6562" priority="11494" stopIfTrue="1" operator="equal">
      <formula>"Pass"</formula>
    </cfRule>
  </conditionalFormatting>
  <conditionalFormatting sqref="I281">
    <cfRule type="cellIs" dxfId="6561" priority="11491" stopIfTrue="1" operator="equal">
      <formula>"Fail"</formula>
    </cfRule>
    <cfRule type="cellIs" dxfId="6560" priority="11492" stopIfTrue="1" operator="equal">
      <formula>"Pass"</formula>
    </cfRule>
  </conditionalFormatting>
  <conditionalFormatting sqref="A278">
    <cfRule type="cellIs" dxfId="6559" priority="11507" stopIfTrue="1" operator="equal">
      <formula>"Fail"</formula>
    </cfRule>
    <cfRule type="cellIs" dxfId="6558" priority="11508" stopIfTrue="1" operator="equal">
      <formula>"Pass"</formula>
    </cfRule>
  </conditionalFormatting>
  <conditionalFormatting sqref="A281">
    <cfRule type="cellIs" dxfId="6557" priority="11495" stopIfTrue="1" operator="equal">
      <formula>"Fail"</formula>
    </cfRule>
    <cfRule type="cellIs" dxfId="6556" priority="11496" stopIfTrue="1" operator="equal">
      <formula>"Pass"</formula>
    </cfRule>
  </conditionalFormatting>
  <conditionalFormatting sqref="B281">
    <cfRule type="cellIs" dxfId="6555" priority="11487" stopIfTrue="1" operator="equal">
      <formula>"Fail"</formula>
    </cfRule>
    <cfRule type="cellIs" dxfId="6554" priority="11488" stopIfTrue="1" operator="equal">
      <formula>"Pass"</formula>
    </cfRule>
  </conditionalFormatting>
  <conditionalFormatting sqref="C309">
    <cfRule type="cellIs" dxfId="6553" priority="11449" stopIfTrue="1" operator="equal">
      <formula>"Fail"</formula>
    </cfRule>
    <cfRule type="cellIs" dxfId="6552" priority="11450" stopIfTrue="1" operator="equal">
      <formula>"Pass"</formula>
    </cfRule>
  </conditionalFormatting>
  <conditionalFormatting sqref="I313">
    <cfRule type="cellIs" dxfId="6551" priority="11443" stopIfTrue="1" operator="equal">
      <formula>"Fail"</formula>
    </cfRule>
    <cfRule type="cellIs" dxfId="6550" priority="11444" stopIfTrue="1" operator="equal">
      <formula>"Pass"</formula>
    </cfRule>
  </conditionalFormatting>
  <conditionalFormatting sqref="C313">
    <cfRule type="cellIs" dxfId="6549" priority="11441" stopIfTrue="1" operator="equal">
      <formula>"Fail"</formula>
    </cfRule>
    <cfRule type="cellIs" dxfId="6548" priority="11442" stopIfTrue="1" operator="equal">
      <formula>"Pass"</formula>
    </cfRule>
  </conditionalFormatting>
  <conditionalFormatting sqref="C313:I313 A313">
    <cfRule type="cellIs" dxfId="6547" priority="11447" stopIfTrue="1" operator="equal">
      <formula>"Fail"</formula>
    </cfRule>
    <cfRule type="cellIs" dxfId="6546" priority="11448" stopIfTrue="1" operator="equal">
      <formula>"Pass"</formula>
    </cfRule>
  </conditionalFormatting>
  <conditionalFormatting sqref="D313:I313 A313">
    <cfRule type="cellIs" dxfId="6545" priority="11445" stopIfTrue="1" operator="equal">
      <formula>"Fail"</formula>
    </cfRule>
    <cfRule type="cellIs" dxfId="6544" priority="11446" stopIfTrue="1" operator="equal">
      <formula>"Pass"</formula>
    </cfRule>
  </conditionalFormatting>
  <conditionalFormatting sqref="I244">
    <cfRule type="cellIs" dxfId="6543" priority="11401" stopIfTrue="1" operator="equal">
      <formula>"Fail"</formula>
    </cfRule>
    <cfRule type="cellIs" dxfId="6542" priority="11402" stopIfTrue="1" operator="equal">
      <formula>"Pass"</formula>
    </cfRule>
  </conditionalFormatting>
  <conditionalFormatting sqref="C244:I244 A244">
    <cfRule type="cellIs" dxfId="6541" priority="11405" stopIfTrue="1" operator="equal">
      <formula>"Fail"</formula>
    </cfRule>
    <cfRule type="cellIs" dxfId="6540" priority="11406" stopIfTrue="1" operator="equal">
      <formula>"Pass"</formula>
    </cfRule>
  </conditionalFormatting>
  <conditionalFormatting sqref="D244:I244 A244">
    <cfRule type="cellIs" dxfId="6539" priority="11403" stopIfTrue="1" operator="equal">
      <formula>"Fail"</formula>
    </cfRule>
    <cfRule type="cellIs" dxfId="6538" priority="11404" stopIfTrue="1" operator="equal">
      <formula>"Pass"</formula>
    </cfRule>
  </conditionalFormatting>
  <conditionalFormatting sqref="C244">
    <cfRule type="cellIs" dxfId="6537" priority="11399" stopIfTrue="1" operator="equal">
      <formula>"Fail"</formula>
    </cfRule>
    <cfRule type="cellIs" dxfId="6536" priority="11400" stopIfTrue="1" operator="equal">
      <formula>"Pass"</formula>
    </cfRule>
  </conditionalFormatting>
  <conditionalFormatting sqref="A286">
    <cfRule type="cellIs" dxfId="6535" priority="11395" stopIfTrue="1" operator="equal">
      <formula>"Fail"</formula>
    </cfRule>
    <cfRule type="cellIs" dxfId="6534" priority="11396" stopIfTrue="1" operator="equal">
      <formula>"Pass"</formula>
    </cfRule>
  </conditionalFormatting>
  <conditionalFormatting sqref="C281">
    <cfRule type="cellIs" dxfId="6533" priority="11245" stopIfTrue="1" operator="equal">
      <formula>"Fail"</formula>
    </cfRule>
    <cfRule type="cellIs" dxfId="6532" priority="11246" stopIfTrue="1" operator="equal">
      <formula>"Pass"</formula>
    </cfRule>
  </conditionalFormatting>
  <conditionalFormatting sqref="A215">
    <cfRule type="cellIs" dxfId="6531" priority="11217" stopIfTrue="1" operator="equal">
      <formula>"Fail"</formula>
    </cfRule>
    <cfRule type="cellIs" dxfId="6530" priority="11218" stopIfTrue="1" operator="equal">
      <formula>"Pass"</formula>
    </cfRule>
  </conditionalFormatting>
  <conditionalFormatting sqref="C250">
    <cfRule type="cellIs" dxfId="6529" priority="11179" stopIfTrue="1" operator="equal">
      <formula>"Fail"</formula>
    </cfRule>
    <cfRule type="cellIs" dxfId="6528" priority="11180" stopIfTrue="1" operator="equal">
      <formula>"Pass"</formula>
    </cfRule>
  </conditionalFormatting>
  <conditionalFormatting sqref="A250 C250:D250 F250:H250">
    <cfRule type="cellIs" dxfId="6527" priority="11185" stopIfTrue="1" operator="equal">
      <formula>"Fail"</formula>
    </cfRule>
    <cfRule type="cellIs" dxfId="6526" priority="11186" stopIfTrue="1" operator="equal">
      <formula>"Pass"</formula>
    </cfRule>
  </conditionalFormatting>
  <conditionalFormatting sqref="A250 D250 F250:H250">
    <cfRule type="cellIs" dxfId="6525" priority="11183" stopIfTrue="1" operator="equal">
      <formula>"Fail"</formula>
    </cfRule>
    <cfRule type="cellIs" dxfId="6524" priority="11184" stopIfTrue="1" operator="equal">
      <formula>"Pass"</formula>
    </cfRule>
  </conditionalFormatting>
  <conditionalFormatting sqref="I250">
    <cfRule type="cellIs" dxfId="6523" priority="11057" stopIfTrue="1" operator="equal">
      <formula>"Fail"</formula>
    </cfRule>
    <cfRule type="cellIs" dxfId="6522" priority="11058" stopIfTrue="1" operator="equal">
      <formula>"Pass"</formula>
    </cfRule>
  </conditionalFormatting>
  <conditionalFormatting sqref="I278">
    <cfRule type="cellIs" dxfId="6521" priority="11075" stopIfTrue="1" operator="equal">
      <formula>"Fail"</formula>
    </cfRule>
    <cfRule type="cellIs" dxfId="6520" priority="11076" stopIfTrue="1" operator="equal">
      <formula>"Pass"</formula>
    </cfRule>
  </conditionalFormatting>
  <conditionalFormatting sqref="I278">
    <cfRule type="cellIs" dxfId="6519" priority="11079" stopIfTrue="1" operator="equal">
      <formula>"Fail"</formula>
    </cfRule>
    <cfRule type="cellIs" dxfId="6518" priority="11080" stopIfTrue="1" operator="equal">
      <formula>"Pass"</formula>
    </cfRule>
  </conditionalFormatting>
  <conditionalFormatting sqref="I278">
    <cfRule type="cellIs" dxfId="6517" priority="11077" stopIfTrue="1" operator="equal">
      <formula>"Fail"</formula>
    </cfRule>
    <cfRule type="cellIs" dxfId="6516" priority="11078" stopIfTrue="1" operator="equal">
      <formula>"Pass"</formula>
    </cfRule>
  </conditionalFormatting>
  <conditionalFormatting sqref="I258">
    <cfRule type="cellIs" dxfId="6515" priority="11069" stopIfTrue="1" operator="equal">
      <formula>"Fail"</formula>
    </cfRule>
    <cfRule type="cellIs" dxfId="6514" priority="11070" stopIfTrue="1" operator="equal">
      <formula>"Pass"</formula>
    </cfRule>
  </conditionalFormatting>
  <conditionalFormatting sqref="I258">
    <cfRule type="cellIs" dxfId="6513" priority="11073" stopIfTrue="1" operator="equal">
      <formula>"Fail"</formula>
    </cfRule>
    <cfRule type="cellIs" dxfId="6512" priority="11074" stopIfTrue="1" operator="equal">
      <formula>"Pass"</formula>
    </cfRule>
  </conditionalFormatting>
  <conditionalFormatting sqref="I258">
    <cfRule type="cellIs" dxfId="6511" priority="11071" stopIfTrue="1" operator="equal">
      <formula>"Fail"</formula>
    </cfRule>
    <cfRule type="cellIs" dxfId="6510" priority="11072" stopIfTrue="1" operator="equal">
      <formula>"Pass"</formula>
    </cfRule>
  </conditionalFormatting>
  <conditionalFormatting sqref="I255">
    <cfRule type="cellIs" dxfId="6509" priority="11063" stopIfTrue="1" operator="equal">
      <formula>"Fail"</formula>
    </cfRule>
    <cfRule type="cellIs" dxfId="6508" priority="11064" stopIfTrue="1" operator="equal">
      <formula>"Pass"</formula>
    </cfRule>
  </conditionalFormatting>
  <conditionalFormatting sqref="I255">
    <cfRule type="cellIs" dxfId="6507" priority="11067" stopIfTrue="1" operator="equal">
      <formula>"Fail"</formula>
    </cfRule>
    <cfRule type="cellIs" dxfId="6506" priority="11068" stopIfTrue="1" operator="equal">
      <formula>"Pass"</formula>
    </cfRule>
  </conditionalFormatting>
  <conditionalFormatting sqref="I255">
    <cfRule type="cellIs" dxfId="6505" priority="11065" stopIfTrue="1" operator="equal">
      <formula>"Fail"</formula>
    </cfRule>
    <cfRule type="cellIs" dxfId="6504" priority="11066" stopIfTrue="1" operator="equal">
      <formula>"Pass"</formula>
    </cfRule>
  </conditionalFormatting>
  <conditionalFormatting sqref="I250">
    <cfRule type="cellIs" dxfId="6503" priority="11061" stopIfTrue="1" operator="equal">
      <formula>"Fail"</formula>
    </cfRule>
    <cfRule type="cellIs" dxfId="6502" priority="11062" stopIfTrue="1" operator="equal">
      <formula>"Pass"</formula>
    </cfRule>
  </conditionalFormatting>
  <conditionalFormatting sqref="I250">
    <cfRule type="cellIs" dxfId="6501" priority="11059" stopIfTrue="1" operator="equal">
      <formula>"Fail"</formula>
    </cfRule>
    <cfRule type="cellIs" dxfId="6500" priority="11060" stopIfTrue="1" operator="equal">
      <formula>"Pass"</formula>
    </cfRule>
  </conditionalFormatting>
  <conditionalFormatting sqref="I222">
    <cfRule type="cellIs" dxfId="6499" priority="11019" stopIfTrue="1" operator="equal">
      <formula>"Fail"</formula>
    </cfRule>
    <cfRule type="cellIs" dxfId="6498" priority="11020" stopIfTrue="1" operator="equal">
      <formula>"Pass"</formula>
    </cfRule>
  </conditionalFormatting>
  <conditionalFormatting sqref="C222">
    <cfRule type="cellIs" dxfId="6497" priority="11017" stopIfTrue="1" operator="equal">
      <formula>"Fail"</formula>
    </cfRule>
    <cfRule type="cellIs" dxfId="6496" priority="11018" stopIfTrue="1" operator="equal">
      <formula>"Pass"</formula>
    </cfRule>
  </conditionalFormatting>
  <conditionalFormatting sqref="C222:I222 A222">
    <cfRule type="cellIs" dxfId="6495" priority="11023" stopIfTrue="1" operator="equal">
      <formula>"Fail"</formula>
    </cfRule>
    <cfRule type="cellIs" dxfId="6494" priority="11024" stopIfTrue="1" operator="equal">
      <formula>"Pass"</formula>
    </cfRule>
  </conditionalFormatting>
  <conditionalFormatting sqref="D222:I222 A222">
    <cfRule type="cellIs" dxfId="6493" priority="11021" stopIfTrue="1" operator="equal">
      <formula>"Fail"</formula>
    </cfRule>
    <cfRule type="cellIs" dxfId="6492" priority="11022" stopIfTrue="1" operator="equal">
      <formula>"Pass"</formula>
    </cfRule>
  </conditionalFormatting>
  <conditionalFormatting sqref="H565">
    <cfRule type="cellIs" dxfId="6491" priority="10825" stopIfTrue="1" operator="equal">
      <formula>"Fail"</formula>
    </cfRule>
    <cfRule type="cellIs" dxfId="6490" priority="10826" stopIfTrue="1" operator="equal">
      <formula>"Pass"</formula>
    </cfRule>
  </conditionalFormatting>
  <conditionalFormatting sqref="H565">
    <cfRule type="cellIs" dxfId="6489" priority="10829" stopIfTrue="1" operator="equal">
      <formula>"Fail"</formula>
    </cfRule>
    <cfRule type="cellIs" dxfId="6488" priority="10830" stopIfTrue="1" operator="equal">
      <formula>"Pass"</formula>
    </cfRule>
  </conditionalFormatting>
  <conditionalFormatting sqref="H565">
    <cfRule type="cellIs" dxfId="6487" priority="10827" stopIfTrue="1" operator="equal">
      <formula>"Fail"</formula>
    </cfRule>
    <cfRule type="cellIs" dxfId="6486" priority="10828" stopIfTrue="1" operator="equal">
      <formula>"Pass"</formula>
    </cfRule>
  </conditionalFormatting>
  <conditionalFormatting sqref="H315">
    <cfRule type="cellIs" dxfId="6485" priority="10819" stopIfTrue="1" operator="equal">
      <formula>"Fail"</formula>
    </cfRule>
    <cfRule type="cellIs" dxfId="6484" priority="10820" stopIfTrue="1" operator="equal">
      <formula>"Pass"</formula>
    </cfRule>
  </conditionalFormatting>
  <conditionalFormatting sqref="H315">
    <cfRule type="cellIs" dxfId="6483" priority="10823" stopIfTrue="1" operator="equal">
      <formula>"Fail"</formula>
    </cfRule>
    <cfRule type="cellIs" dxfId="6482" priority="10824" stopIfTrue="1" operator="equal">
      <formula>"Pass"</formula>
    </cfRule>
  </conditionalFormatting>
  <conditionalFormatting sqref="H315">
    <cfRule type="cellIs" dxfId="6481" priority="10821" stopIfTrue="1" operator="equal">
      <formula>"Fail"</formula>
    </cfRule>
    <cfRule type="cellIs" dxfId="6480" priority="10822" stopIfTrue="1" operator="equal">
      <formula>"Pass"</formula>
    </cfRule>
  </conditionalFormatting>
  <conditionalFormatting sqref="B258">
    <cfRule type="cellIs" dxfId="6479" priority="10739" stopIfTrue="1" operator="equal">
      <formula>"Fail"</formula>
    </cfRule>
    <cfRule type="cellIs" dxfId="6478" priority="10740" stopIfTrue="1" operator="equal">
      <formula>"Pass"</formula>
    </cfRule>
  </conditionalFormatting>
  <conditionalFormatting sqref="I257">
    <cfRule type="cellIs" dxfId="6477" priority="10733" stopIfTrue="1" operator="equal">
      <formula>"Fail"</formula>
    </cfRule>
    <cfRule type="cellIs" dxfId="6476" priority="10734" stopIfTrue="1" operator="equal">
      <formula>"Pass"</formula>
    </cfRule>
  </conditionalFormatting>
  <conditionalFormatting sqref="F257:I257">
    <cfRule type="cellIs" dxfId="6475" priority="10737" stopIfTrue="1" operator="equal">
      <formula>"Fail"</formula>
    </cfRule>
    <cfRule type="cellIs" dxfId="6474" priority="10738" stopIfTrue="1" operator="equal">
      <formula>"Pass"</formula>
    </cfRule>
  </conditionalFormatting>
  <conditionalFormatting sqref="F257:I257">
    <cfRule type="cellIs" dxfId="6473" priority="10735" stopIfTrue="1" operator="equal">
      <formula>"Fail"</formula>
    </cfRule>
    <cfRule type="cellIs" dxfId="6472" priority="10736" stopIfTrue="1" operator="equal">
      <formula>"Pass"</formula>
    </cfRule>
  </conditionalFormatting>
  <conditionalFormatting sqref="A287 C287:I287">
    <cfRule type="cellIs" dxfId="6471" priority="10731" stopIfTrue="1" operator="equal">
      <formula>"Fail"</formula>
    </cfRule>
    <cfRule type="cellIs" dxfId="6470" priority="10732" stopIfTrue="1" operator="equal">
      <formula>"Pass"</formula>
    </cfRule>
  </conditionalFormatting>
  <conditionalFormatting sqref="B287">
    <cfRule type="cellIs" dxfId="6469" priority="10729" stopIfTrue="1" operator="equal">
      <formula>"Fail"</formula>
    </cfRule>
    <cfRule type="cellIs" dxfId="6468" priority="10730" stopIfTrue="1" operator="equal">
      <formula>"Pass"</formula>
    </cfRule>
  </conditionalFormatting>
  <conditionalFormatting sqref="A292 C292:I292">
    <cfRule type="cellIs" dxfId="6467" priority="10727" stopIfTrue="1" operator="equal">
      <formula>"Fail"</formula>
    </cfRule>
    <cfRule type="cellIs" dxfId="6466" priority="10728" stopIfTrue="1" operator="equal">
      <formula>"Pass"</formula>
    </cfRule>
  </conditionalFormatting>
  <conditionalFormatting sqref="I308">
    <cfRule type="cellIs" dxfId="6465" priority="10681" stopIfTrue="1" operator="equal">
      <formula>"Fail"</formula>
    </cfRule>
    <cfRule type="cellIs" dxfId="6464" priority="10682" stopIfTrue="1" operator="equal">
      <formula>"Pass"</formula>
    </cfRule>
  </conditionalFormatting>
  <conditionalFormatting sqref="I308">
    <cfRule type="cellIs" dxfId="6463" priority="10685" stopIfTrue="1" operator="equal">
      <formula>"Fail"</formula>
    </cfRule>
    <cfRule type="cellIs" dxfId="6462" priority="10686" stopIfTrue="1" operator="equal">
      <formula>"Pass"</formula>
    </cfRule>
  </conditionalFormatting>
  <conditionalFormatting sqref="I308">
    <cfRule type="cellIs" dxfId="6461" priority="10683" stopIfTrue="1" operator="equal">
      <formula>"Fail"</formula>
    </cfRule>
    <cfRule type="cellIs" dxfId="6460" priority="10684" stopIfTrue="1" operator="equal">
      <formula>"Pass"</formula>
    </cfRule>
  </conditionalFormatting>
  <conditionalFormatting sqref="B308">
    <cfRule type="cellIs" dxfId="6459" priority="10679" stopIfTrue="1" operator="equal">
      <formula>"Fail"</formula>
    </cfRule>
    <cfRule type="cellIs" dxfId="6458" priority="10680" stopIfTrue="1" operator="equal">
      <formula>"Pass"</formula>
    </cfRule>
  </conditionalFormatting>
  <conditionalFormatting sqref="C308">
    <cfRule type="cellIs" dxfId="6457" priority="10677" stopIfTrue="1" operator="equal">
      <formula>"Fail"</formula>
    </cfRule>
    <cfRule type="cellIs" dxfId="6456" priority="10678" stopIfTrue="1" operator="equal">
      <formula>"Pass"</formula>
    </cfRule>
  </conditionalFormatting>
  <conditionalFormatting sqref="A308">
    <cfRule type="cellIs" dxfId="6455" priority="10675" stopIfTrue="1" operator="equal">
      <formula>"Fail"</formula>
    </cfRule>
    <cfRule type="cellIs" dxfId="6454" priority="10676" stopIfTrue="1" operator="equal">
      <formula>"Pass"</formula>
    </cfRule>
  </conditionalFormatting>
  <conditionalFormatting sqref="I309">
    <cfRule type="cellIs" dxfId="6453" priority="10639" stopIfTrue="1" operator="equal">
      <formula>"Fail"</formula>
    </cfRule>
    <cfRule type="cellIs" dxfId="6452" priority="10640" stopIfTrue="1" operator="equal">
      <formula>"Pass"</formula>
    </cfRule>
  </conditionalFormatting>
  <conditionalFormatting sqref="I309">
    <cfRule type="cellIs" dxfId="6451" priority="10643" stopIfTrue="1" operator="equal">
      <formula>"Fail"</formula>
    </cfRule>
    <cfRule type="cellIs" dxfId="6450" priority="10644" stopIfTrue="1" operator="equal">
      <formula>"Pass"</formula>
    </cfRule>
  </conditionalFormatting>
  <conditionalFormatting sqref="I309">
    <cfRule type="cellIs" dxfId="6449" priority="10641" stopIfTrue="1" operator="equal">
      <formula>"Fail"</formula>
    </cfRule>
    <cfRule type="cellIs" dxfId="6448" priority="10642" stopIfTrue="1" operator="equal">
      <formula>"Pass"</formula>
    </cfRule>
  </conditionalFormatting>
  <conditionalFormatting sqref="A259 C259:I259">
    <cfRule type="cellIs" dxfId="6447" priority="10357" stopIfTrue="1" operator="equal">
      <formula>"Fail"</formula>
    </cfRule>
    <cfRule type="cellIs" dxfId="6446" priority="10358" stopIfTrue="1" operator="equal">
      <formula>"Pass"</formula>
    </cfRule>
  </conditionalFormatting>
  <conditionalFormatting sqref="B251">
    <cfRule type="cellIs" dxfId="6445" priority="10363" stopIfTrue="1" operator="equal">
      <formula>"Fail"</formula>
    </cfRule>
    <cfRule type="cellIs" dxfId="6444" priority="10364" stopIfTrue="1" operator="equal">
      <formula>"Pass"</formula>
    </cfRule>
  </conditionalFormatting>
  <conditionalFormatting sqref="A251 C251:I251">
    <cfRule type="cellIs" dxfId="6443" priority="10365" stopIfTrue="1" operator="equal">
      <formula>"Fail"</formula>
    </cfRule>
    <cfRule type="cellIs" dxfId="6442" priority="10366" stopIfTrue="1" operator="equal">
      <formula>"Pass"</formula>
    </cfRule>
  </conditionalFormatting>
  <conditionalFormatting sqref="B256">
    <cfRule type="cellIs" dxfId="6441" priority="10359" stopIfTrue="1" operator="equal">
      <formula>"Fail"</formula>
    </cfRule>
    <cfRule type="cellIs" dxfId="6440" priority="10360" stopIfTrue="1" operator="equal">
      <formula>"Pass"</formula>
    </cfRule>
  </conditionalFormatting>
  <conditionalFormatting sqref="B259">
    <cfRule type="cellIs" dxfId="6439" priority="10355" stopIfTrue="1" operator="equal">
      <formula>"Fail"</formula>
    </cfRule>
    <cfRule type="cellIs" dxfId="6438" priority="10356" stopIfTrue="1" operator="equal">
      <formula>"Pass"</formula>
    </cfRule>
  </conditionalFormatting>
  <conditionalFormatting sqref="A279 C279:I279">
    <cfRule type="cellIs" dxfId="6437" priority="10353" stopIfTrue="1" operator="equal">
      <formula>"Fail"</formula>
    </cfRule>
    <cfRule type="cellIs" dxfId="6436" priority="10354" stopIfTrue="1" operator="equal">
      <formula>"Pass"</formula>
    </cfRule>
  </conditionalFormatting>
  <conditionalFormatting sqref="C256:I256 A256:A257">
    <cfRule type="cellIs" dxfId="6435" priority="10361" stopIfTrue="1" operator="equal">
      <formula>"Fail"</formula>
    </cfRule>
    <cfRule type="cellIs" dxfId="6434" priority="10362" stopIfTrue="1" operator="equal">
      <formula>"Pass"</formula>
    </cfRule>
  </conditionalFormatting>
  <conditionalFormatting sqref="A310 C310:I310">
    <cfRule type="cellIs" dxfId="6433" priority="10337" stopIfTrue="1" operator="equal">
      <formula>"Fail"</formula>
    </cfRule>
    <cfRule type="cellIs" dxfId="6432" priority="10338" stopIfTrue="1" operator="equal">
      <formula>"Pass"</formula>
    </cfRule>
  </conditionalFormatting>
  <conditionalFormatting sqref="B279">
    <cfRule type="cellIs" dxfId="6431" priority="10351" stopIfTrue="1" operator="equal">
      <formula>"Fail"</formula>
    </cfRule>
    <cfRule type="cellIs" dxfId="6430" priority="10352" stopIfTrue="1" operator="equal">
      <formula>"Pass"</formula>
    </cfRule>
  </conditionalFormatting>
  <conditionalFormatting sqref="A282 C282:I282">
    <cfRule type="cellIs" dxfId="6429" priority="10349" stopIfTrue="1" operator="equal">
      <formula>"Fail"</formula>
    </cfRule>
    <cfRule type="cellIs" dxfId="6428" priority="10350" stopIfTrue="1" operator="equal">
      <formula>"Pass"</formula>
    </cfRule>
  </conditionalFormatting>
  <conditionalFormatting sqref="B282">
    <cfRule type="cellIs" dxfId="6427" priority="10347" stopIfTrue="1" operator="equal">
      <formula>"Fail"</formula>
    </cfRule>
    <cfRule type="cellIs" dxfId="6426" priority="10348" stopIfTrue="1" operator="equal">
      <formula>"Pass"</formula>
    </cfRule>
  </conditionalFormatting>
  <conditionalFormatting sqref="B310">
    <cfRule type="cellIs" dxfId="6425" priority="10335" stopIfTrue="1" operator="equal">
      <formula>"Fail"</formula>
    </cfRule>
    <cfRule type="cellIs" dxfId="6424" priority="10336" stopIfTrue="1" operator="equal">
      <formula>"Pass"</formula>
    </cfRule>
  </conditionalFormatting>
  <conditionalFormatting sqref="C215:I215">
    <cfRule type="cellIs" dxfId="6423" priority="10295" stopIfTrue="1" operator="equal">
      <formula>"Fail"</formula>
    </cfRule>
    <cfRule type="cellIs" dxfId="6422" priority="10296" stopIfTrue="1" operator="equal">
      <formula>"Pass"</formula>
    </cfRule>
  </conditionalFormatting>
  <conditionalFormatting sqref="D37:H37 A37">
    <cfRule type="cellIs" dxfId="6421" priority="10309" stopIfTrue="1" operator="equal">
      <formula>"Fail"</formula>
    </cfRule>
    <cfRule type="cellIs" dxfId="6420" priority="10310" stopIfTrue="1" operator="equal">
      <formula>"Pass"</formula>
    </cfRule>
  </conditionalFormatting>
  <conditionalFormatting sqref="B215">
    <cfRule type="cellIs" dxfId="6419" priority="10293" stopIfTrue="1" operator="equal">
      <formula>"Fail"</formula>
    </cfRule>
    <cfRule type="cellIs" dxfId="6418" priority="10294" stopIfTrue="1" operator="equal">
      <formula>"Pass"</formula>
    </cfRule>
  </conditionalFormatting>
  <conditionalFormatting sqref="B37">
    <cfRule type="cellIs" dxfId="6417" priority="10307" stopIfTrue="1" operator="equal">
      <formula>"Fail"</formula>
    </cfRule>
    <cfRule type="cellIs" dxfId="6416" priority="10308" stopIfTrue="1" operator="equal">
      <formula>"Pass"</formula>
    </cfRule>
  </conditionalFormatting>
  <conditionalFormatting sqref="A216">
    <cfRule type="cellIs" dxfId="6415" priority="10291" stopIfTrue="1" operator="equal">
      <formula>"Fail"</formula>
    </cfRule>
    <cfRule type="cellIs" dxfId="6414" priority="10292" stopIfTrue="1" operator="equal">
      <formula>"Pass"</formula>
    </cfRule>
  </conditionalFormatting>
  <conditionalFormatting sqref="C216:I216">
    <cfRule type="cellIs" dxfId="6413" priority="10289" stopIfTrue="1" operator="equal">
      <formula>"Fail"</formula>
    </cfRule>
    <cfRule type="cellIs" dxfId="6412" priority="10290" stopIfTrue="1" operator="equal">
      <formula>"Pass"</formula>
    </cfRule>
  </conditionalFormatting>
  <conditionalFormatting sqref="B216">
    <cfRule type="cellIs" dxfId="6411" priority="10287" stopIfTrue="1" operator="equal">
      <formula>"Fail"</formula>
    </cfRule>
    <cfRule type="cellIs" dxfId="6410" priority="10288" stopIfTrue="1" operator="equal">
      <formula>"Pass"</formula>
    </cfRule>
  </conditionalFormatting>
  <conditionalFormatting sqref="I223">
    <cfRule type="cellIs" dxfId="6409" priority="10281" stopIfTrue="1" operator="equal">
      <formula>"Fail"</formula>
    </cfRule>
    <cfRule type="cellIs" dxfId="6408" priority="10282" stopIfTrue="1" operator="equal">
      <formula>"Pass"</formula>
    </cfRule>
  </conditionalFormatting>
  <conditionalFormatting sqref="C223">
    <cfRule type="cellIs" dxfId="6407" priority="10279" stopIfTrue="1" operator="equal">
      <formula>"Fail"</formula>
    </cfRule>
    <cfRule type="cellIs" dxfId="6406" priority="10280" stopIfTrue="1" operator="equal">
      <formula>"Pass"</formula>
    </cfRule>
  </conditionalFormatting>
  <conditionalFormatting sqref="C223:I223 A223">
    <cfRule type="cellIs" dxfId="6405" priority="10285" stopIfTrue="1" operator="equal">
      <formula>"Fail"</formula>
    </cfRule>
    <cfRule type="cellIs" dxfId="6404" priority="10286" stopIfTrue="1" operator="equal">
      <formula>"Pass"</formula>
    </cfRule>
  </conditionalFormatting>
  <conditionalFormatting sqref="D223:I223 A223">
    <cfRule type="cellIs" dxfId="6403" priority="10283" stopIfTrue="1" operator="equal">
      <formula>"Fail"</formula>
    </cfRule>
    <cfRule type="cellIs" dxfId="6402" priority="10284" stopIfTrue="1" operator="equal">
      <formula>"Pass"</formula>
    </cfRule>
  </conditionalFormatting>
  <conditionalFormatting sqref="I225">
    <cfRule type="cellIs" dxfId="6401" priority="10273" stopIfTrue="1" operator="equal">
      <formula>"Fail"</formula>
    </cfRule>
    <cfRule type="cellIs" dxfId="6400" priority="10274" stopIfTrue="1" operator="equal">
      <formula>"Pass"</formula>
    </cfRule>
  </conditionalFormatting>
  <conditionalFormatting sqref="C225">
    <cfRule type="cellIs" dxfId="6399" priority="10271" stopIfTrue="1" operator="equal">
      <formula>"Fail"</formula>
    </cfRule>
    <cfRule type="cellIs" dxfId="6398" priority="10272" stopIfTrue="1" operator="equal">
      <formula>"Pass"</formula>
    </cfRule>
  </conditionalFormatting>
  <conditionalFormatting sqref="C225:I225 A225">
    <cfRule type="cellIs" dxfId="6397" priority="10277" stopIfTrue="1" operator="equal">
      <formula>"Fail"</formula>
    </cfRule>
    <cfRule type="cellIs" dxfId="6396" priority="10278" stopIfTrue="1" operator="equal">
      <formula>"Pass"</formula>
    </cfRule>
  </conditionalFormatting>
  <conditionalFormatting sqref="D225:I225 A225">
    <cfRule type="cellIs" dxfId="6395" priority="10275" stopIfTrue="1" operator="equal">
      <formula>"Fail"</formula>
    </cfRule>
    <cfRule type="cellIs" dxfId="6394" priority="10276" stopIfTrue="1" operator="equal">
      <formula>"Pass"</formula>
    </cfRule>
  </conditionalFormatting>
  <conditionalFormatting sqref="I227">
    <cfRule type="cellIs" dxfId="6393" priority="10265" stopIfTrue="1" operator="equal">
      <formula>"Fail"</formula>
    </cfRule>
    <cfRule type="cellIs" dxfId="6392" priority="10266" stopIfTrue="1" operator="equal">
      <formula>"Pass"</formula>
    </cfRule>
  </conditionalFormatting>
  <conditionalFormatting sqref="C227">
    <cfRule type="cellIs" dxfId="6391" priority="10263" stopIfTrue="1" operator="equal">
      <formula>"Fail"</formula>
    </cfRule>
    <cfRule type="cellIs" dxfId="6390" priority="10264" stopIfTrue="1" operator="equal">
      <formula>"Pass"</formula>
    </cfRule>
  </conditionalFormatting>
  <conditionalFormatting sqref="C227:I227 A227">
    <cfRule type="cellIs" dxfId="6389" priority="10269" stopIfTrue="1" operator="equal">
      <formula>"Fail"</formula>
    </cfRule>
    <cfRule type="cellIs" dxfId="6388" priority="10270" stopIfTrue="1" operator="equal">
      <formula>"Pass"</formula>
    </cfRule>
  </conditionalFormatting>
  <conditionalFormatting sqref="D227:I227 A227">
    <cfRule type="cellIs" dxfId="6387" priority="10267" stopIfTrue="1" operator="equal">
      <formula>"Fail"</formula>
    </cfRule>
    <cfRule type="cellIs" dxfId="6386" priority="10268" stopIfTrue="1" operator="equal">
      <formula>"Pass"</formula>
    </cfRule>
  </conditionalFormatting>
  <conditionalFormatting sqref="A226 D226:I226">
    <cfRule type="cellIs" dxfId="6385" priority="10229" stopIfTrue="1" operator="equal">
      <formula>"Fail"</formula>
    </cfRule>
    <cfRule type="cellIs" dxfId="6384" priority="10230" stopIfTrue="1" operator="equal">
      <formula>"Pass"</formula>
    </cfRule>
  </conditionalFormatting>
  <conditionalFormatting sqref="A226 C226:I226">
    <cfRule type="cellIs" dxfId="6383" priority="10231" stopIfTrue="1" operator="equal">
      <formula>"Fail"</formula>
    </cfRule>
    <cfRule type="cellIs" dxfId="6382" priority="10232" stopIfTrue="1" operator="equal">
      <formula>"Pass"</formula>
    </cfRule>
  </conditionalFormatting>
  <conditionalFormatting sqref="I226">
    <cfRule type="cellIs" dxfId="6381" priority="10227" stopIfTrue="1" operator="equal">
      <formula>"Fail"</formula>
    </cfRule>
    <cfRule type="cellIs" dxfId="6380" priority="10228" stopIfTrue="1" operator="equal">
      <formula>"Pass"</formula>
    </cfRule>
  </conditionalFormatting>
  <conditionalFormatting sqref="C226">
    <cfRule type="cellIs" dxfId="6379" priority="10225" stopIfTrue="1" operator="equal">
      <formula>"Fail"</formula>
    </cfRule>
    <cfRule type="cellIs" dxfId="6378" priority="10226" stopIfTrue="1" operator="equal">
      <formula>"Pass"</formula>
    </cfRule>
  </conditionalFormatting>
  <conditionalFormatting sqref="I247">
    <cfRule type="cellIs" dxfId="6377" priority="10219" stopIfTrue="1" operator="equal">
      <formula>"Fail"</formula>
    </cfRule>
    <cfRule type="cellIs" dxfId="6376" priority="10220" stopIfTrue="1" operator="equal">
      <formula>"Pass"</formula>
    </cfRule>
  </conditionalFormatting>
  <conditionalFormatting sqref="C247">
    <cfRule type="cellIs" dxfId="6375" priority="10217" stopIfTrue="1" operator="equal">
      <formula>"Fail"</formula>
    </cfRule>
    <cfRule type="cellIs" dxfId="6374" priority="10218" stopIfTrue="1" operator="equal">
      <formula>"Pass"</formula>
    </cfRule>
  </conditionalFormatting>
  <conditionalFormatting sqref="C247:I247 A247">
    <cfRule type="cellIs" dxfId="6373" priority="10223" stopIfTrue="1" operator="equal">
      <formula>"Fail"</formula>
    </cfRule>
    <cfRule type="cellIs" dxfId="6372" priority="10224" stopIfTrue="1" operator="equal">
      <formula>"Pass"</formula>
    </cfRule>
  </conditionalFormatting>
  <conditionalFormatting sqref="D247:I247 A247">
    <cfRule type="cellIs" dxfId="6371" priority="10221" stopIfTrue="1" operator="equal">
      <formula>"Fail"</formula>
    </cfRule>
    <cfRule type="cellIs" dxfId="6370" priority="10222" stopIfTrue="1" operator="equal">
      <formula>"Pass"</formula>
    </cfRule>
  </conditionalFormatting>
  <conditionalFormatting sqref="I249">
    <cfRule type="cellIs" dxfId="6369" priority="10203" stopIfTrue="1" operator="equal">
      <formula>"Fail"</formula>
    </cfRule>
    <cfRule type="cellIs" dxfId="6368" priority="10204" stopIfTrue="1" operator="equal">
      <formula>"Pass"</formula>
    </cfRule>
  </conditionalFormatting>
  <conditionalFormatting sqref="C249">
    <cfRule type="cellIs" dxfId="6367" priority="10201" stopIfTrue="1" operator="equal">
      <formula>"Fail"</formula>
    </cfRule>
    <cfRule type="cellIs" dxfId="6366" priority="10202" stopIfTrue="1" operator="equal">
      <formula>"Pass"</formula>
    </cfRule>
  </conditionalFormatting>
  <conditionalFormatting sqref="C249:I249 A249">
    <cfRule type="cellIs" dxfId="6365" priority="10207" stopIfTrue="1" operator="equal">
      <formula>"Fail"</formula>
    </cfRule>
    <cfRule type="cellIs" dxfId="6364" priority="10208" stopIfTrue="1" operator="equal">
      <formula>"Pass"</formula>
    </cfRule>
  </conditionalFormatting>
  <conditionalFormatting sqref="D249:I249 A249">
    <cfRule type="cellIs" dxfId="6363" priority="10205" stopIfTrue="1" operator="equal">
      <formula>"Fail"</formula>
    </cfRule>
    <cfRule type="cellIs" dxfId="6362" priority="10206" stopIfTrue="1" operator="equal">
      <formula>"Pass"</formula>
    </cfRule>
  </conditionalFormatting>
  <conditionalFormatting sqref="I252">
    <cfRule type="cellIs" dxfId="6361" priority="10195" stopIfTrue="1" operator="equal">
      <formula>"Fail"</formula>
    </cfRule>
    <cfRule type="cellIs" dxfId="6360" priority="10196" stopIfTrue="1" operator="equal">
      <formula>"Pass"</formula>
    </cfRule>
  </conditionalFormatting>
  <conditionalFormatting sqref="C252">
    <cfRule type="cellIs" dxfId="6359" priority="10193" stopIfTrue="1" operator="equal">
      <formula>"Fail"</formula>
    </cfRule>
    <cfRule type="cellIs" dxfId="6358" priority="10194" stopIfTrue="1" operator="equal">
      <formula>"Pass"</formula>
    </cfRule>
  </conditionalFormatting>
  <conditionalFormatting sqref="C252:I252 A252">
    <cfRule type="cellIs" dxfId="6357" priority="10199" stopIfTrue="1" operator="equal">
      <formula>"Fail"</formula>
    </cfRule>
    <cfRule type="cellIs" dxfId="6356" priority="10200" stopIfTrue="1" operator="equal">
      <formula>"Pass"</formula>
    </cfRule>
  </conditionalFormatting>
  <conditionalFormatting sqref="D252:I252 A252">
    <cfRule type="cellIs" dxfId="6355" priority="10197" stopIfTrue="1" operator="equal">
      <formula>"Fail"</formula>
    </cfRule>
    <cfRule type="cellIs" dxfId="6354" priority="10198" stopIfTrue="1" operator="equal">
      <formula>"Pass"</formula>
    </cfRule>
  </conditionalFormatting>
  <conditionalFormatting sqref="I260">
    <cfRule type="cellIs" dxfId="6353" priority="10187" stopIfTrue="1" operator="equal">
      <formula>"Fail"</formula>
    </cfRule>
    <cfRule type="cellIs" dxfId="6352" priority="10188" stopIfTrue="1" operator="equal">
      <formula>"Pass"</formula>
    </cfRule>
  </conditionalFormatting>
  <conditionalFormatting sqref="C260">
    <cfRule type="cellIs" dxfId="6351" priority="10185" stopIfTrue="1" operator="equal">
      <formula>"Fail"</formula>
    </cfRule>
    <cfRule type="cellIs" dxfId="6350" priority="10186" stopIfTrue="1" operator="equal">
      <formula>"Pass"</formula>
    </cfRule>
  </conditionalFormatting>
  <conditionalFormatting sqref="C260:I260 A260">
    <cfRule type="cellIs" dxfId="6349" priority="10191" stopIfTrue="1" operator="equal">
      <formula>"Fail"</formula>
    </cfRule>
    <cfRule type="cellIs" dxfId="6348" priority="10192" stopIfTrue="1" operator="equal">
      <formula>"Pass"</formula>
    </cfRule>
  </conditionalFormatting>
  <conditionalFormatting sqref="D260:I260 A260">
    <cfRule type="cellIs" dxfId="6347" priority="10189" stopIfTrue="1" operator="equal">
      <formula>"Fail"</formula>
    </cfRule>
    <cfRule type="cellIs" dxfId="6346" priority="10190" stopIfTrue="1" operator="equal">
      <formula>"Pass"</formula>
    </cfRule>
  </conditionalFormatting>
  <conditionalFormatting sqref="C278">
    <cfRule type="cellIs" dxfId="6345" priority="10183" stopIfTrue="1" operator="equal">
      <formula>"Fail"</formula>
    </cfRule>
    <cfRule type="cellIs" dxfId="6344" priority="10184" stopIfTrue="1" operator="equal">
      <formula>"Pass"</formula>
    </cfRule>
  </conditionalFormatting>
  <conditionalFormatting sqref="A248 D248:I248">
    <cfRule type="cellIs" dxfId="6343" priority="10169" stopIfTrue="1" operator="equal">
      <formula>"Fail"</formula>
    </cfRule>
    <cfRule type="cellIs" dxfId="6342" priority="10170" stopIfTrue="1" operator="equal">
      <formula>"Pass"</formula>
    </cfRule>
  </conditionalFormatting>
  <conditionalFormatting sqref="A248 C248:I248">
    <cfRule type="cellIs" dxfId="6341" priority="10171" stopIfTrue="1" operator="equal">
      <formula>"Fail"</formula>
    </cfRule>
    <cfRule type="cellIs" dxfId="6340" priority="10172" stopIfTrue="1" operator="equal">
      <formula>"Pass"</formula>
    </cfRule>
  </conditionalFormatting>
  <conditionalFormatting sqref="I248">
    <cfRule type="cellIs" dxfId="6339" priority="10167" stopIfTrue="1" operator="equal">
      <formula>"Fail"</formula>
    </cfRule>
    <cfRule type="cellIs" dxfId="6338" priority="10168" stopIfTrue="1" operator="equal">
      <formula>"Pass"</formula>
    </cfRule>
  </conditionalFormatting>
  <conditionalFormatting sqref="C248">
    <cfRule type="cellIs" dxfId="6337" priority="10165" stopIfTrue="1" operator="equal">
      <formula>"Fail"</formula>
    </cfRule>
    <cfRule type="cellIs" dxfId="6336" priority="10166" stopIfTrue="1" operator="equal">
      <formula>"Pass"</formula>
    </cfRule>
  </conditionalFormatting>
  <conditionalFormatting sqref="A253 D253:I253">
    <cfRule type="cellIs" dxfId="6335" priority="10161" stopIfTrue="1" operator="equal">
      <formula>"Fail"</formula>
    </cfRule>
    <cfRule type="cellIs" dxfId="6334" priority="10162" stopIfTrue="1" operator="equal">
      <formula>"Pass"</formula>
    </cfRule>
  </conditionalFormatting>
  <conditionalFormatting sqref="A253 C253:I253">
    <cfRule type="cellIs" dxfId="6333" priority="10163" stopIfTrue="1" operator="equal">
      <formula>"Fail"</formula>
    </cfRule>
    <cfRule type="cellIs" dxfId="6332" priority="10164" stopIfTrue="1" operator="equal">
      <formula>"Pass"</formula>
    </cfRule>
  </conditionalFormatting>
  <conditionalFormatting sqref="I253">
    <cfRule type="cellIs" dxfId="6331" priority="10159" stopIfTrue="1" operator="equal">
      <formula>"Fail"</formula>
    </cfRule>
    <cfRule type="cellIs" dxfId="6330" priority="10160" stopIfTrue="1" operator="equal">
      <formula>"Pass"</formula>
    </cfRule>
  </conditionalFormatting>
  <conditionalFormatting sqref="C253">
    <cfRule type="cellIs" dxfId="6329" priority="10157" stopIfTrue="1" operator="equal">
      <formula>"Fail"</formula>
    </cfRule>
    <cfRule type="cellIs" dxfId="6328" priority="10158" stopIfTrue="1" operator="equal">
      <formula>"Pass"</formula>
    </cfRule>
  </conditionalFormatting>
  <conditionalFormatting sqref="I254">
    <cfRule type="cellIs" dxfId="6327" priority="10151" stopIfTrue="1" operator="equal">
      <formula>"Fail"</formula>
    </cfRule>
    <cfRule type="cellIs" dxfId="6326" priority="10152" stopIfTrue="1" operator="equal">
      <formula>"Pass"</formula>
    </cfRule>
  </conditionalFormatting>
  <conditionalFormatting sqref="C254">
    <cfRule type="cellIs" dxfId="6325" priority="10149" stopIfTrue="1" operator="equal">
      <formula>"Fail"</formula>
    </cfRule>
    <cfRule type="cellIs" dxfId="6324" priority="10150" stopIfTrue="1" operator="equal">
      <formula>"Pass"</formula>
    </cfRule>
  </conditionalFormatting>
  <conditionalFormatting sqref="C254:I254 A254">
    <cfRule type="cellIs" dxfId="6323" priority="10155" stopIfTrue="1" operator="equal">
      <formula>"Fail"</formula>
    </cfRule>
    <cfRule type="cellIs" dxfId="6322" priority="10156" stopIfTrue="1" operator="equal">
      <formula>"Pass"</formula>
    </cfRule>
  </conditionalFormatting>
  <conditionalFormatting sqref="D254:I254 A254">
    <cfRule type="cellIs" dxfId="6321" priority="10153" stopIfTrue="1" operator="equal">
      <formula>"Fail"</formula>
    </cfRule>
    <cfRule type="cellIs" dxfId="6320" priority="10154" stopIfTrue="1" operator="equal">
      <formula>"Pass"</formula>
    </cfRule>
  </conditionalFormatting>
  <conditionalFormatting sqref="I261">
    <cfRule type="cellIs" dxfId="6319" priority="10143" stopIfTrue="1" operator="equal">
      <formula>"Fail"</formula>
    </cfRule>
    <cfRule type="cellIs" dxfId="6318" priority="10144" stopIfTrue="1" operator="equal">
      <formula>"Pass"</formula>
    </cfRule>
  </conditionalFormatting>
  <conditionalFormatting sqref="C261">
    <cfRule type="cellIs" dxfId="6317" priority="10141" stopIfTrue="1" operator="equal">
      <formula>"Fail"</formula>
    </cfRule>
    <cfRule type="cellIs" dxfId="6316" priority="10142" stopIfTrue="1" operator="equal">
      <formula>"Pass"</formula>
    </cfRule>
  </conditionalFormatting>
  <conditionalFormatting sqref="C261:I261 A261">
    <cfRule type="cellIs" dxfId="6315" priority="10147" stopIfTrue="1" operator="equal">
      <formula>"Fail"</formula>
    </cfRule>
    <cfRule type="cellIs" dxfId="6314" priority="10148" stopIfTrue="1" operator="equal">
      <formula>"Pass"</formula>
    </cfRule>
  </conditionalFormatting>
  <conditionalFormatting sqref="D261:I261 A261">
    <cfRule type="cellIs" dxfId="6313" priority="10145" stopIfTrue="1" operator="equal">
      <formula>"Fail"</formula>
    </cfRule>
    <cfRule type="cellIs" dxfId="6312" priority="10146" stopIfTrue="1" operator="equal">
      <formula>"Pass"</formula>
    </cfRule>
  </conditionalFormatting>
  <conditionalFormatting sqref="I265">
    <cfRule type="cellIs" dxfId="6311" priority="10127" stopIfTrue="1" operator="equal">
      <formula>"Fail"</formula>
    </cfRule>
    <cfRule type="cellIs" dxfId="6310" priority="10128" stopIfTrue="1" operator="equal">
      <formula>"Pass"</formula>
    </cfRule>
  </conditionalFormatting>
  <conditionalFormatting sqref="C265">
    <cfRule type="cellIs" dxfId="6309" priority="10125" stopIfTrue="1" operator="equal">
      <formula>"Fail"</formula>
    </cfRule>
    <cfRule type="cellIs" dxfId="6308" priority="10126" stopIfTrue="1" operator="equal">
      <formula>"Pass"</formula>
    </cfRule>
  </conditionalFormatting>
  <conditionalFormatting sqref="C265:I265 A265">
    <cfRule type="cellIs" dxfId="6307" priority="10131" stopIfTrue="1" operator="equal">
      <formula>"Fail"</formula>
    </cfRule>
    <cfRule type="cellIs" dxfId="6306" priority="10132" stopIfTrue="1" operator="equal">
      <formula>"Pass"</formula>
    </cfRule>
  </conditionalFormatting>
  <conditionalFormatting sqref="D265:I265 A265">
    <cfRule type="cellIs" dxfId="6305" priority="10129" stopIfTrue="1" operator="equal">
      <formula>"Fail"</formula>
    </cfRule>
    <cfRule type="cellIs" dxfId="6304" priority="10130" stopIfTrue="1" operator="equal">
      <formula>"Pass"</formula>
    </cfRule>
  </conditionalFormatting>
  <conditionalFormatting sqref="C258">
    <cfRule type="cellIs" dxfId="6303" priority="10123" stopIfTrue="1" operator="equal">
      <formula>"Fail"</formula>
    </cfRule>
    <cfRule type="cellIs" dxfId="6302" priority="10124" stopIfTrue="1" operator="equal">
      <formula>"Pass"</formula>
    </cfRule>
  </conditionalFormatting>
  <conditionalFormatting sqref="I266">
    <cfRule type="cellIs" dxfId="6301" priority="10117" stopIfTrue="1" operator="equal">
      <formula>"Fail"</formula>
    </cfRule>
    <cfRule type="cellIs" dxfId="6300" priority="10118" stopIfTrue="1" operator="equal">
      <formula>"Pass"</formula>
    </cfRule>
  </conditionalFormatting>
  <conditionalFormatting sqref="C266">
    <cfRule type="cellIs" dxfId="6299" priority="10115" stopIfTrue="1" operator="equal">
      <formula>"Fail"</formula>
    </cfRule>
    <cfRule type="cellIs" dxfId="6298" priority="10116" stopIfTrue="1" operator="equal">
      <formula>"Pass"</formula>
    </cfRule>
  </conditionalFormatting>
  <conditionalFormatting sqref="C266:I266 A266">
    <cfRule type="cellIs" dxfId="6297" priority="10121" stopIfTrue="1" operator="equal">
      <formula>"Fail"</formula>
    </cfRule>
    <cfRule type="cellIs" dxfId="6296" priority="10122" stopIfTrue="1" operator="equal">
      <formula>"Pass"</formula>
    </cfRule>
  </conditionalFormatting>
  <conditionalFormatting sqref="D266:I266 A266">
    <cfRule type="cellIs" dxfId="6295" priority="10119" stopIfTrue="1" operator="equal">
      <formula>"Fail"</formula>
    </cfRule>
    <cfRule type="cellIs" dxfId="6294" priority="10120" stopIfTrue="1" operator="equal">
      <formula>"Pass"</formula>
    </cfRule>
  </conditionalFormatting>
  <conditionalFormatting sqref="I267">
    <cfRule type="cellIs" dxfId="6293" priority="10109" stopIfTrue="1" operator="equal">
      <formula>"Fail"</formula>
    </cfRule>
    <cfRule type="cellIs" dxfId="6292" priority="10110" stopIfTrue="1" operator="equal">
      <formula>"Pass"</formula>
    </cfRule>
  </conditionalFormatting>
  <conditionalFormatting sqref="C267">
    <cfRule type="cellIs" dxfId="6291" priority="10107" stopIfTrue="1" operator="equal">
      <formula>"Fail"</formula>
    </cfRule>
    <cfRule type="cellIs" dxfId="6290" priority="10108" stopIfTrue="1" operator="equal">
      <formula>"Pass"</formula>
    </cfRule>
  </conditionalFormatting>
  <conditionalFormatting sqref="C267:I267 A267">
    <cfRule type="cellIs" dxfId="6289" priority="10113" stopIfTrue="1" operator="equal">
      <formula>"Fail"</formula>
    </cfRule>
    <cfRule type="cellIs" dxfId="6288" priority="10114" stopIfTrue="1" operator="equal">
      <formula>"Pass"</formula>
    </cfRule>
  </conditionalFormatting>
  <conditionalFormatting sqref="D267:I267 A267">
    <cfRule type="cellIs" dxfId="6287" priority="10111" stopIfTrue="1" operator="equal">
      <formula>"Fail"</formula>
    </cfRule>
    <cfRule type="cellIs" dxfId="6286" priority="10112" stopIfTrue="1" operator="equal">
      <formula>"Pass"</formula>
    </cfRule>
  </conditionalFormatting>
  <conditionalFormatting sqref="A268 D268:I268">
    <cfRule type="cellIs" dxfId="6285" priority="10103" stopIfTrue="1" operator="equal">
      <formula>"Fail"</formula>
    </cfRule>
    <cfRule type="cellIs" dxfId="6284" priority="10104" stopIfTrue="1" operator="equal">
      <formula>"Pass"</formula>
    </cfRule>
  </conditionalFormatting>
  <conditionalFormatting sqref="A268 C268:I268">
    <cfRule type="cellIs" dxfId="6283" priority="10105" stopIfTrue="1" operator="equal">
      <formula>"Fail"</formula>
    </cfRule>
    <cfRule type="cellIs" dxfId="6282" priority="10106" stopIfTrue="1" operator="equal">
      <formula>"Pass"</formula>
    </cfRule>
  </conditionalFormatting>
  <conditionalFormatting sqref="I268">
    <cfRule type="cellIs" dxfId="6281" priority="10101" stopIfTrue="1" operator="equal">
      <formula>"Fail"</formula>
    </cfRule>
    <cfRule type="cellIs" dxfId="6280" priority="10102" stopIfTrue="1" operator="equal">
      <formula>"Pass"</formula>
    </cfRule>
  </conditionalFormatting>
  <conditionalFormatting sqref="C268">
    <cfRule type="cellIs" dxfId="6279" priority="10099" stopIfTrue="1" operator="equal">
      <formula>"Fail"</formula>
    </cfRule>
    <cfRule type="cellIs" dxfId="6278" priority="10100" stopIfTrue="1" operator="equal">
      <formula>"Pass"</formula>
    </cfRule>
  </conditionalFormatting>
  <conditionalFormatting sqref="I277">
    <cfRule type="cellIs" dxfId="6277" priority="10093" stopIfTrue="1" operator="equal">
      <formula>"Fail"</formula>
    </cfRule>
    <cfRule type="cellIs" dxfId="6276" priority="10094" stopIfTrue="1" operator="equal">
      <formula>"Pass"</formula>
    </cfRule>
  </conditionalFormatting>
  <conditionalFormatting sqref="C277">
    <cfRule type="cellIs" dxfId="6275" priority="10091" stopIfTrue="1" operator="equal">
      <formula>"Fail"</formula>
    </cfRule>
    <cfRule type="cellIs" dxfId="6274" priority="10092" stopIfTrue="1" operator="equal">
      <formula>"Pass"</formula>
    </cfRule>
  </conditionalFormatting>
  <conditionalFormatting sqref="C277:D277 A277 F277:I277">
    <cfRule type="cellIs" dxfId="6273" priority="10097" stopIfTrue="1" operator="equal">
      <formula>"Fail"</formula>
    </cfRule>
    <cfRule type="cellIs" dxfId="6272" priority="10098" stopIfTrue="1" operator="equal">
      <formula>"Pass"</formula>
    </cfRule>
  </conditionalFormatting>
  <conditionalFormatting sqref="D277 A277 F277:I277">
    <cfRule type="cellIs" dxfId="6271" priority="10095" stopIfTrue="1" operator="equal">
      <formula>"Fail"</formula>
    </cfRule>
    <cfRule type="cellIs" dxfId="6270" priority="10096" stopIfTrue="1" operator="equal">
      <formula>"Pass"</formula>
    </cfRule>
  </conditionalFormatting>
  <conditionalFormatting sqref="I283">
    <cfRule type="cellIs" dxfId="6269" priority="10085" stopIfTrue="1" operator="equal">
      <formula>"Fail"</formula>
    </cfRule>
    <cfRule type="cellIs" dxfId="6268" priority="10086" stopIfTrue="1" operator="equal">
      <formula>"Pass"</formula>
    </cfRule>
  </conditionalFormatting>
  <conditionalFormatting sqref="C283">
    <cfRule type="cellIs" dxfId="6267" priority="10083" stopIfTrue="1" operator="equal">
      <formula>"Fail"</formula>
    </cfRule>
    <cfRule type="cellIs" dxfId="6266" priority="10084" stopIfTrue="1" operator="equal">
      <formula>"Pass"</formula>
    </cfRule>
  </conditionalFormatting>
  <conditionalFormatting sqref="C283:I283 A283">
    <cfRule type="cellIs" dxfId="6265" priority="10089" stopIfTrue="1" operator="equal">
      <formula>"Fail"</formula>
    </cfRule>
    <cfRule type="cellIs" dxfId="6264" priority="10090" stopIfTrue="1" operator="equal">
      <formula>"Pass"</formula>
    </cfRule>
  </conditionalFormatting>
  <conditionalFormatting sqref="D283:I283 A283">
    <cfRule type="cellIs" dxfId="6263" priority="10087" stopIfTrue="1" operator="equal">
      <formula>"Fail"</formula>
    </cfRule>
    <cfRule type="cellIs" dxfId="6262" priority="10088" stopIfTrue="1" operator="equal">
      <formula>"Pass"</formula>
    </cfRule>
  </conditionalFormatting>
  <conditionalFormatting sqref="I288">
    <cfRule type="cellIs" dxfId="6261" priority="10077" stopIfTrue="1" operator="equal">
      <formula>"Fail"</formula>
    </cfRule>
    <cfRule type="cellIs" dxfId="6260" priority="10078" stopIfTrue="1" operator="equal">
      <formula>"Pass"</formula>
    </cfRule>
  </conditionalFormatting>
  <conditionalFormatting sqref="C288">
    <cfRule type="cellIs" dxfId="6259" priority="10075" stopIfTrue="1" operator="equal">
      <formula>"Fail"</formula>
    </cfRule>
    <cfRule type="cellIs" dxfId="6258" priority="10076" stopIfTrue="1" operator="equal">
      <formula>"Pass"</formula>
    </cfRule>
  </conditionalFormatting>
  <conditionalFormatting sqref="C288:I288 A288">
    <cfRule type="cellIs" dxfId="6257" priority="10081" stopIfTrue="1" operator="equal">
      <formula>"Fail"</formula>
    </cfRule>
    <cfRule type="cellIs" dxfId="6256" priority="10082" stopIfTrue="1" operator="equal">
      <formula>"Pass"</formula>
    </cfRule>
  </conditionalFormatting>
  <conditionalFormatting sqref="D288:I288 A288">
    <cfRule type="cellIs" dxfId="6255" priority="10079" stopIfTrue="1" operator="equal">
      <formula>"Fail"</formula>
    </cfRule>
    <cfRule type="cellIs" dxfId="6254" priority="10080" stopIfTrue="1" operator="equal">
      <formula>"Pass"</formula>
    </cfRule>
  </conditionalFormatting>
  <conditionalFormatting sqref="D284:I285 A284:A285">
    <cfRule type="cellIs" dxfId="6253" priority="10071" stopIfTrue="1" operator="equal">
      <formula>"Fail"</formula>
    </cfRule>
    <cfRule type="cellIs" dxfId="6252" priority="10072" stopIfTrue="1" operator="equal">
      <formula>"Pass"</formula>
    </cfRule>
  </conditionalFormatting>
  <conditionalFormatting sqref="C284:I285 A284:A285">
    <cfRule type="cellIs" dxfId="6251" priority="10073" stopIfTrue="1" operator="equal">
      <formula>"Fail"</formula>
    </cfRule>
    <cfRule type="cellIs" dxfId="6250" priority="10074" stopIfTrue="1" operator="equal">
      <formula>"Pass"</formula>
    </cfRule>
  </conditionalFormatting>
  <conditionalFormatting sqref="I284:I285">
    <cfRule type="cellIs" dxfId="6249" priority="10069" stopIfTrue="1" operator="equal">
      <formula>"Fail"</formula>
    </cfRule>
    <cfRule type="cellIs" dxfId="6248" priority="10070" stopIfTrue="1" operator="equal">
      <formula>"Pass"</formula>
    </cfRule>
  </conditionalFormatting>
  <conditionalFormatting sqref="C284:C285">
    <cfRule type="cellIs" dxfId="6247" priority="10067" stopIfTrue="1" operator="equal">
      <formula>"Fail"</formula>
    </cfRule>
    <cfRule type="cellIs" dxfId="6246" priority="10068" stopIfTrue="1" operator="equal">
      <formula>"Pass"</formula>
    </cfRule>
  </conditionalFormatting>
  <conditionalFormatting sqref="A291">
    <cfRule type="cellIs" dxfId="6245" priority="10035" stopIfTrue="1" operator="equal">
      <formula>"Fail"</formula>
    </cfRule>
    <cfRule type="cellIs" dxfId="6244" priority="10036" stopIfTrue="1" operator="equal">
      <formula>"Pass"</formula>
    </cfRule>
  </conditionalFormatting>
  <conditionalFormatting sqref="A289 D289:I289">
    <cfRule type="cellIs" dxfId="6243" priority="10019" stopIfTrue="1" operator="equal">
      <formula>"Fail"</formula>
    </cfRule>
    <cfRule type="cellIs" dxfId="6242" priority="10020" stopIfTrue="1" operator="equal">
      <formula>"Pass"</formula>
    </cfRule>
  </conditionalFormatting>
  <conditionalFormatting sqref="A289 C289:I289">
    <cfRule type="cellIs" dxfId="6241" priority="10021" stopIfTrue="1" operator="equal">
      <formula>"Fail"</formula>
    </cfRule>
    <cfRule type="cellIs" dxfId="6240" priority="10022" stopIfTrue="1" operator="equal">
      <formula>"Pass"</formula>
    </cfRule>
  </conditionalFormatting>
  <conditionalFormatting sqref="I289">
    <cfRule type="cellIs" dxfId="6239" priority="10017" stopIfTrue="1" operator="equal">
      <formula>"Fail"</formula>
    </cfRule>
    <cfRule type="cellIs" dxfId="6238" priority="10018" stopIfTrue="1" operator="equal">
      <formula>"Pass"</formula>
    </cfRule>
  </conditionalFormatting>
  <conditionalFormatting sqref="C289">
    <cfRule type="cellIs" dxfId="6237" priority="10015" stopIfTrue="1" operator="equal">
      <formula>"Fail"</formula>
    </cfRule>
    <cfRule type="cellIs" dxfId="6236" priority="10016" stopIfTrue="1" operator="equal">
      <formula>"Pass"</formula>
    </cfRule>
  </conditionalFormatting>
  <conditionalFormatting sqref="I293">
    <cfRule type="cellIs" dxfId="6235" priority="9979" stopIfTrue="1" operator="equal">
      <formula>"Fail"</formula>
    </cfRule>
    <cfRule type="cellIs" dxfId="6234" priority="9980" stopIfTrue="1" operator="equal">
      <formula>"Pass"</formula>
    </cfRule>
  </conditionalFormatting>
  <conditionalFormatting sqref="C293">
    <cfRule type="cellIs" dxfId="6233" priority="9977" stopIfTrue="1" operator="equal">
      <formula>"Fail"</formula>
    </cfRule>
    <cfRule type="cellIs" dxfId="6232" priority="9978" stopIfTrue="1" operator="equal">
      <formula>"Pass"</formula>
    </cfRule>
  </conditionalFormatting>
  <conditionalFormatting sqref="C293:I293 A293">
    <cfRule type="cellIs" dxfId="6231" priority="9983" stopIfTrue="1" operator="equal">
      <formula>"Fail"</formula>
    </cfRule>
    <cfRule type="cellIs" dxfId="6230" priority="9984" stopIfTrue="1" operator="equal">
      <formula>"Pass"</formula>
    </cfRule>
  </conditionalFormatting>
  <conditionalFormatting sqref="D293:I293 A293">
    <cfRule type="cellIs" dxfId="6229" priority="9981" stopIfTrue="1" operator="equal">
      <formula>"Fail"</formula>
    </cfRule>
    <cfRule type="cellIs" dxfId="6228" priority="9982" stopIfTrue="1" operator="equal">
      <formula>"Pass"</formula>
    </cfRule>
  </conditionalFormatting>
  <conditionalFormatting sqref="I294">
    <cfRule type="cellIs" dxfId="6227" priority="9971" stopIfTrue="1" operator="equal">
      <formula>"Fail"</formula>
    </cfRule>
    <cfRule type="cellIs" dxfId="6226" priority="9972" stopIfTrue="1" operator="equal">
      <formula>"Pass"</formula>
    </cfRule>
  </conditionalFormatting>
  <conditionalFormatting sqref="C294">
    <cfRule type="cellIs" dxfId="6225" priority="9969" stopIfTrue="1" operator="equal">
      <formula>"Fail"</formula>
    </cfRule>
    <cfRule type="cellIs" dxfId="6224" priority="9970" stopIfTrue="1" operator="equal">
      <formula>"Pass"</formula>
    </cfRule>
  </conditionalFormatting>
  <conditionalFormatting sqref="C294:I294 A294">
    <cfRule type="cellIs" dxfId="6223" priority="9975" stopIfTrue="1" operator="equal">
      <formula>"Fail"</formula>
    </cfRule>
    <cfRule type="cellIs" dxfId="6222" priority="9976" stopIfTrue="1" operator="equal">
      <formula>"Pass"</formula>
    </cfRule>
  </conditionalFormatting>
  <conditionalFormatting sqref="D294:I294 A294">
    <cfRule type="cellIs" dxfId="6221" priority="9973" stopIfTrue="1" operator="equal">
      <formula>"Fail"</formula>
    </cfRule>
    <cfRule type="cellIs" dxfId="6220" priority="9974" stopIfTrue="1" operator="equal">
      <formula>"Pass"</formula>
    </cfRule>
  </conditionalFormatting>
  <conditionalFormatting sqref="I300">
    <cfRule type="cellIs" dxfId="6219" priority="9955" stopIfTrue="1" operator="equal">
      <formula>"Fail"</formula>
    </cfRule>
    <cfRule type="cellIs" dxfId="6218" priority="9956" stopIfTrue="1" operator="equal">
      <formula>"Pass"</formula>
    </cfRule>
  </conditionalFormatting>
  <conditionalFormatting sqref="C300">
    <cfRule type="cellIs" dxfId="6217" priority="9953" stopIfTrue="1" operator="equal">
      <formula>"Fail"</formula>
    </cfRule>
    <cfRule type="cellIs" dxfId="6216" priority="9954" stopIfTrue="1" operator="equal">
      <formula>"Pass"</formula>
    </cfRule>
  </conditionalFormatting>
  <conditionalFormatting sqref="C300:I300 A300">
    <cfRule type="cellIs" dxfId="6215" priority="9959" stopIfTrue="1" operator="equal">
      <formula>"Fail"</formula>
    </cfRule>
    <cfRule type="cellIs" dxfId="6214" priority="9960" stopIfTrue="1" operator="equal">
      <formula>"Pass"</formula>
    </cfRule>
  </conditionalFormatting>
  <conditionalFormatting sqref="D300:I300 A300">
    <cfRule type="cellIs" dxfId="6213" priority="9957" stopIfTrue="1" operator="equal">
      <formula>"Fail"</formula>
    </cfRule>
    <cfRule type="cellIs" dxfId="6212" priority="9958" stopIfTrue="1" operator="equal">
      <formula>"Pass"</formula>
    </cfRule>
  </conditionalFormatting>
  <conditionalFormatting sqref="I301">
    <cfRule type="cellIs" dxfId="6211" priority="9947" stopIfTrue="1" operator="equal">
      <formula>"Fail"</formula>
    </cfRule>
    <cfRule type="cellIs" dxfId="6210" priority="9948" stopIfTrue="1" operator="equal">
      <formula>"Pass"</formula>
    </cfRule>
  </conditionalFormatting>
  <conditionalFormatting sqref="C301">
    <cfRule type="cellIs" dxfId="6209" priority="9945" stopIfTrue="1" operator="equal">
      <formula>"Fail"</formula>
    </cfRule>
    <cfRule type="cellIs" dxfId="6208" priority="9946" stopIfTrue="1" operator="equal">
      <formula>"Pass"</formula>
    </cfRule>
  </conditionalFormatting>
  <conditionalFormatting sqref="C301:I301 A301">
    <cfRule type="cellIs" dxfId="6207" priority="9951" stopIfTrue="1" operator="equal">
      <formula>"Fail"</formula>
    </cfRule>
    <cfRule type="cellIs" dxfId="6206" priority="9952" stopIfTrue="1" operator="equal">
      <formula>"Pass"</formula>
    </cfRule>
  </conditionalFormatting>
  <conditionalFormatting sqref="D301:I301 A301">
    <cfRule type="cellIs" dxfId="6205" priority="9949" stopIfTrue="1" operator="equal">
      <formula>"Fail"</formula>
    </cfRule>
    <cfRule type="cellIs" dxfId="6204" priority="9950" stopIfTrue="1" operator="equal">
      <formula>"Pass"</formula>
    </cfRule>
  </conditionalFormatting>
  <conditionalFormatting sqref="A302 D302:I302">
    <cfRule type="cellIs" dxfId="6203" priority="9941" stopIfTrue="1" operator="equal">
      <formula>"Fail"</formula>
    </cfRule>
    <cfRule type="cellIs" dxfId="6202" priority="9942" stopIfTrue="1" operator="equal">
      <formula>"Pass"</formula>
    </cfRule>
  </conditionalFormatting>
  <conditionalFormatting sqref="A302 C302:I302">
    <cfRule type="cellIs" dxfId="6201" priority="9943" stopIfTrue="1" operator="equal">
      <formula>"Fail"</formula>
    </cfRule>
    <cfRule type="cellIs" dxfId="6200" priority="9944" stopIfTrue="1" operator="equal">
      <formula>"Pass"</formula>
    </cfRule>
  </conditionalFormatting>
  <conditionalFormatting sqref="I302">
    <cfRule type="cellIs" dxfId="6199" priority="9939" stopIfTrue="1" operator="equal">
      <formula>"Fail"</formula>
    </cfRule>
    <cfRule type="cellIs" dxfId="6198" priority="9940" stopIfTrue="1" operator="equal">
      <formula>"Pass"</formula>
    </cfRule>
  </conditionalFormatting>
  <conditionalFormatting sqref="C302">
    <cfRule type="cellIs" dxfId="6197" priority="9937" stopIfTrue="1" operator="equal">
      <formula>"Fail"</formula>
    </cfRule>
    <cfRule type="cellIs" dxfId="6196" priority="9938" stopIfTrue="1" operator="equal">
      <formula>"Pass"</formula>
    </cfRule>
  </conditionalFormatting>
  <conditionalFormatting sqref="I303">
    <cfRule type="cellIs" dxfId="6195" priority="9931" stopIfTrue="1" operator="equal">
      <formula>"Fail"</formula>
    </cfRule>
    <cfRule type="cellIs" dxfId="6194" priority="9932" stopIfTrue="1" operator="equal">
      <formula>"Pass"</formula>
    </cfRule>
  </conditionalFormatting>
  <conditionalFormatting sqref="C303">
    <cfRule type="cellIs" dxfId="6193" priority="9929" stopIfTrue="1" operator="equal">
      <formula>"Fail"</formula>
    </cfRule>
    <cfRule type="cellIs" dxfId="6192" priority="9930" stopIfTrue="1" operator="equal">
      <formula>"Pass"</formula>
    </cfRule>
  </conditionalFormatting>
  <conditionalFormatting sqref="C303:I303 A303">
    <cfRule type="cellIs" dxfId="6191" priority="9935" stopIfTrue="1" operator="equal">
      <formula>"Fail"</formula>
    </cfRule>
    <cfRule type="cellIs" dxfId="6190" priority="9936" stopIfTrue="1" operator="equal">
      <formula>"Pass"</formula>
    </cfRule>
  </conditionalFormatting>
  <conditionalFormatting sqref="D303:I303 A303">
    <cfRule type="cellIs" dxfId="6189" priority="9933" stopIfTrue="1" operator="equal">
      <formula>"Fail"</formula>
    </cfRule>
    <cfRule type="cellIs" dxfId="6188" priority="9934" stopIfTrue="1" operator="equal">
      <formula>"Pass"</formula>
    </cfRule>
  </conditionalFormatting>
  <conditionalFormatting sqref="I299">
    <cfRule type="cellIs" dxfId="6187" priority="9899" stopIfTrue="1" operator="equal">
      <formula>"Fail"</formula>
    </cfRule>
    <cfRule type="cellIs" dxfId="6186" priority="9900" stopIfTrue="1" operator="equal">
      <formula>"Pass"</formula>
    </cfRule>
  </conditionalFormatting>
  <conditionalFormatting sqref="C299">
    <cfRule type="cellIs" dxfId="6185" priority="9897" stopIfTrue="1" operator="equal">
      <formula>"Fail"</formula>
    </cfRule>
    <cfRule type="cellIs" dxfId="6184" priority="9898" stopIfTrue="1" operator="equal">
      <formula>"Pass"</formula>
    </cfRule>
  </conditionalFormatting>
  <conditionalFormatting sqref="C299:I299 A299">
    <cfRule type="cellIs" dxfId="6183" priority="9903" stopIfTrue="1" operator="equal">
      <formula>"Fail"</formula>
    </cfRule>
    <cfRule type="cellIs" dxfId="6182" priority="9904" stopIfTrue="1" operator="equal">
      <formula>"Pass"</formula>
    </cfRule>
  </conditionalFormatting>
  <conditionalFormatting sqref="D299:I299 A299">
    <cfRule type="cellIs" dxfId="6181" priority="9901" stopIfTrue="1" operator="equal">
      <formula>"Fail"</formula>
    </cfRule>
    <cfRule type="cellIs" dxfId="6180" priority="9902" stopIfTrue="1" operator="equal">
      <formula>"Pass"</formula>
    </cfRule>
  </conditionalFormatting>
  <conditionalFormatting sqref="I307">
    <cfRule type="cellIs" dxfId="6179" priority="9891" stopIfTrue="1" operator="equal">
      <formula>"Fail"</formula>
    </cfRule>
    <cfRule type="cellIs" dxfId="6178" priority="9892" stopIfTrue="1" operator="equal">
      <formula>"Pass"</formula>
    </cfRule>
  </conditionalFormatting>
  <conditionalFormatting sqref="C307">
    <cfRule type="cellIs" dxfId="6177" priority="9889" stopIfTrue="1" operator="equal">
      <formula>"Fail"</formula>
    </cfRule>
    <cfRule type="cellIs" dxfId="6176" priority="9890" stopIfTrue="1" operator="equal">
      <formula>"Pass"</formula>
    </cfRule>
  </conditionalFormatting>
  <conditionalFormatting sqref="C307:I307 A307">
    <cfRule type="cellIs" dxfId="6175" priority="9895" stopIfTrue="1" operator="equal">
      <formula>"Fail"</formula>
    </cfRule>
    <cfRule type="cellIs" dxfId="6174" priority="9896" stopIfTrue="1" operator="equal">
      <formula>"Pass"</formula>
    </cfRule>
  </conditionalFormatting>
  <conditionalFormatting sqref="D307:I307 A307">
    <cfRule type="cellIs" dxfId="6173" priority="9893" stopIfTrue="1" operator="equal">
      <formula>"Fail"</formula>
    </cfRule>
    <cfRule type="cellIs" dxfId="6172" priority="9894" stopIfTrue="1" operator="equal">
      <formula>"Pass"</formula>
    </cfRule>
  </conditionalFormatting>
  <conditionalFormatting sqref="I311">
    <cfRule type="cellIs" dxfId="6171" priority="9875" stopIfTrue="1" operator="equal">
      <formula>"Fail"</formula>
    </cfRule>
    <cfRule type="cellIs" dxfId="6170" priority="9876" stopIfTrue="1" operator="equal">
      <formula>"Pass"</formula>
    </cfRule>
  </conditionalFormatting>
  <conditionalFormatting sqref="C311">
    <cfRule type="cellIs" dxfId="6169" priority="9873" stopIfTrue="1" operator="equal">
      <formula>"Fail"</formula>
    </cfRule>
    <cfRule type="cellIs" dxfId="6168" priority="9874" stopIfTrue="1" operator="equal">
      <formula>"Pass"</formula>
    </cfRule>
  </conditionalFormatting>
  <conditionalFormatting sqref="C311:I311 A311">
    <cfRule type="cellIs" dxfId="6167" priority="9879" stopIfTrue="1" operator="equal">
      <formula>"Fail"</formula>
    </cfRule>
    <cfRule type="cellIs" dxfId="6166" priority="9880" stopIfTrue="1" operator="equal">
      <formula>"Pass"</formula>
    </cfRule>
  </conditionalFormatting>
  <conditionalFormatting sqref="D311:I311 A311">
    <cfRule type="cellIs" dxfId="6165" priority="9877" stopIfTrue="1" operator="equal">
      <formula>"Fail"</formula>
    </cfRule>
    <cfRule type="cellIs" dxfId="6164" priority="9878" stopIfTrue="1" operator="equal">
      <formula>"Pass"</formula>
    </cfRule>
  </conditionalFormatting>
  <conditionalFormatting sqref="I312">
    <cfRule type="cellIs" dxfId="6163" priority="9867" stopIfTrue="1" operator="equal">
      <formula>"Fail"</formula>
    </cfRule>
    <cfRule type="cellIs" dxfId="6162" priority="9868" stopIfTrue="1" operator="equal">
      <formula>"Pass"</formula>
    </cfRule>
  </conditionalFormatting>
  <conditionalFormatting sqref="C312">
    <cfRule type="cellIs" dxfId="6161" priority="9865" stopIfTrue="1" operator="equal">
      <formula>"Fail"</formula>
    </cfRule>
    <cfRule type="cellIs" dxfId="6160" priority="9866" stopIfTrue="1" operator="equal">
      <formula>"Pass"</formula>
    </cfRule>
  </conditionalFormatting>
  <conditionalFormatting sqref="C312:I312 A312">
    <cfRule type="cellIs" dxfId="6159" priority="9871" stopIfTrue="1" operator="equal">
      <formula>"Fail"</formula>
    </cfRule>
    <cfRule type="cellIs" dxfId="6158" priority="9872" stopIfTrue="1" operator="equal">
      <formula>"Pass"</formula>
    </cfRule>
  </conditionalFormatting>
  <conditionalFormatting sqref="D312:I312 A312">
    <cfRule type="cellIs" dxfId="6157" priority="9869" stopIfTrue="1" operator="equal">
      <formula>"Fail"</formula>
    </cfRule>
    <cfRule type="cellIs" dxfId="6156" priority="9870" stopIfTrue="1" operator="equal">
      <formula>"Pass"</formula>
    </cfRule>
  </conditionalFormatting>
  <conditionalFormatting sqref="A224">
    <cfRule type="cellIs" dxfId="6155" priority="9331" stopIfTrue="1" operator="equal">
      <formula>"Fail"</formula>
    </cfRule>
    <cfRule type="cellIs" dxfId="6154" priority="9332" stopIfTrue="1" operator="equal">
      <formula>"Pass"</formula>
    </cfRule>
  </conditionalFormatting>
  <conditionalFormatting sqref="C224:I224">
    <cfRule type="cellIs" dxfId="6153" priority="9329" stopIfTrue="1" operator="equal">
      <formula>"Fail"</formula>
    </cfRule>
    <cfRule type="cellIs" dxfId="6152" priority="9330" stopIfTrue="1" operator="equal">
      <formula>"Pass"</formula>
    </cfRule>
  </conditionalFormatting>
  <conditionalFormatting sqref="B224">
    <cfRule type="cellIs" dxfId="6151" priority="9327" stopIfTrue="1" operator="equal">
      <formula>"Fail"</formula>
    </cfRule>
    <cfRule type="cellIs" dxfId="6150" priority="9328" stopIfTrue="1" operator="equal">
      <formula>"Pass"</formula>
    </cfRule>
  </conditionalFormatting>
  <conditionalFormatting sqref="C368:I368">
    <cfRule type="cellIs" dxfId="6149" priority="9235" stopIfTrue="1" operator="equal">
      <formula>"Fail"</formula>
    </cfRule>
    <cfRule type="cellIs" dxfId="6148" priority="9236" stopIfTrue="1" operator="equal">
      <formula>"Pass"</formula>
    </cfRule>
  </conditionalFormatting>
  <conditionalFormatting sqref="A368">
    <cfRule type="cellIs" dxfId="6147" priority="9237" stopIfTrue="1" operator="equal">
      <formula>"Fail"</formula>
    </cfRule>
    <cfRule type="cellIs" dxfId="6146" priority="9238" stopIfTrue="1" operator="equal">
      <formula>"Pass"</formula>
    </cfRule>
  </conditionalFormatting>
  <conditionalFormatting sqref="B368">
    <cfRule type="cellIs" dxfId="6145" priority="9233" stopIfTrue="1" operator="equal">
      <formula>"Fail"</formula>
    </cfRule>
    <cfRule type="cellIs" dxfId="6144" priority="9234" stopIfTrue="1" operator="equal">
      <formula>"Pass"</formula>
    </cfRule>
  </conditionalFormatting>
  <conditionalFormatting sqref="C369:I369">
    <cfRule type="cellIs" dxfId="6143" priority="9229" stopIfTrue="1" operator="equal">
      <formula>"Fail"</formula>
    </cfRule>
    <cfRule type="cellIs" dxfId="6142" priority="9230" stopIfTrue="1" operator="equal">
      <formula>"Pass"</formula>
    </cfRule>
  </conditionalFormatting>
  <conditionalFormatting sqref="A369">
    <cfRule type="cellIs" dxfId="6141" priority="9231" stopIfTrue="1" operator="equal">
      <formula>"Fail"</formula>
    </cfRule>
    <cfRule type="cellIs" dxfId="6140" priority="9232" stopIfTrue="1" operator="equal">
      <formula>"Pass"</formula>
    </cfRule>
  </conditionalFormatting>
  <conditionalFormatting sqref="B369">
    <cfRule type="cellIs" dxfId="6139" priority="9227" stopIfTrue="1" operator="equal">
      <formula>"Fail"</formula>
    </cfRule>
    <cfRule type="cellIs" dxfId="6138" priority="9228" stopIfTrue="1" operator="equal">
      <formula>"Pass"</formula>
    </cfRule>
  </conditionalFormatting>
  <conditionalFormatting sqref="C375:I375 A375">
    <cfRule type="cellIs" dxfId="6137" priority="9225" stopIfTrue="1" operator="equal">
      <formula>"Fail"</formula>
    </cfRule>
    <cfRule type="cellIs" dxfId="6136" priority="9226" stopIfTrue="1" operator="equal">
      <formula>"Pass"</formula>
    </cfRule>
  </conditionalFormatting>
  <conditionalFormatting sqref="D375:I375 A375">
    <cfRule type="cellIs" dxfId="6135" priority="9223" stopIfTrue="1" operator="equal">
      <formula>"Fail"</formula>
    </cfRule>
    <cfRule type="cellIs" dxfId="6134" priority="9224" stopIfTrue="1" operator="equal">
      <formula>"Pass"</formula>
    </cfRule>
  </conditionalFormatting>
  <conditionalFormatting sqref="I375">
    <cfRule type="cellIs" dxfId="6133" priority="9221" stopIfTrue="1" operator="equal">
      <formula>"Fail"</formula>
    </cfRule>
    <cfRule type="cellIs" dxfId="6132" priority="9222" stopIfTrue="1" operator="equal">
      <formula>"Pass"</formula>
    </cfRule>
  </conditionalFormatting>
  <conditionalFormatting sqref="C375">
    <cfRule type="cellIs" dxfId="6131" priority="9219" stopIfTrue="1" operator="equal">
      <formula>"Fail"</formula>
    </cfRule>
    <cfRule type="cellIs" dxfId="6130" priority="9220" stopIfTrue="1" operator="equal">
      <formula>"Pass"</formula>
    </cfRule>
  </conditionalFormatting>
  <conditionalFormatting sqref="C376:I376 A376">
    <cfRule type="cellIs" dxfId="6129" priority="9217" stopIfTrue="1" operator="equal">
      <formula>"Fail"</formula>
    </cfRule>
    <cfRule type="cellIs" dxfId="6128" priority="9218" stopIfTrue="1" operator="equal">
      <formula>"Pass"</formula>
    </cfRule>
  </conditionalFormatting>
  <conditionalFormatting sqref="D376:I376 A376">
    <cfRule type="cellIs" dxfId="6127" priority="9215" stopIfTrue="1" operator="equal">
      <formula>"Fail"</formula>
    </cfRule>
    <cfRule type="cellIs" dxfId="6126" priority="9216" stopIfTrue="1" operator="equal">
      <formula>"Pass"</formula>
    </cfRule>
  </conditionalFormatting>
  <conditionalFormatting sqref="I376">
    <cfRule type="cellIs" dxfId="6125" priority="9213" stopIfTrue="1" operator="equal">
      <formula>"Fail"</formula>
    </cfRule>
    <cfRule type="cellIs" dxfId="6124" priority="9214" stopIfTrue="1" operator="equal">
      <formula>"Pass"</formula>
    </cfRule>
  </conditionalFormatting>
  <conditionalFormatting sqref="C376">
    <cfRule type="cellIs" dxfId="6123" priority="9211" stopIfTrue="1" operator="equal">
      <formula>"Fail"</formula>
    </cfRule>
    <cfRule type="cellIs" dxfId="6122" priority="9212" stopIfTrue="1" operator="equal">
      <formula>"Pass"</formula>
    </cfRule>
  </conditionalFormatting>
  <conditionalFormatting sqref="I377">
    <cfRule type="cellIs" dxfId="6121" priority="9205" stopIfTrue="1" operator="equal">
      <formula>"Fail"</formula>
    </cfRule>
    <cfRule type="cellIs" dxfId="6120" priority="9206" stopIfTrue="1" operator="equal">
      <formula>"Pass"</formula>
    </cfRule>
  </conditionalFormatting>
  <conditionalFormatting sqref="C377">
    <cfRule type="cellIs" dxfId="6119" priority="9203" stopIfTrue="1" operator="equal">
      <formula>"Fail"</formula>
    </cfRule>
    <cfRule type="cellIs" dxfId="6118" priority="9204" stopIfTrue="1" operator="equal">
      <formula>"Pass"</formula>
    </cfRule>
  </conditionalFormatting>
  <conditionalFormatting sqref="C377:I377 A377">
    <cfRule type="cellIs" dxfId="6117" priority="9209" stopIfTrue="1" operator="equal">
      <formula>"Fail"</formula>
    </cfRule>
    <cfRule type="cellIs" dxfId="6116" priority="9210" stopIfTrue="1" operator="equal">
      <formula>"Pass"</formula>
    </cfRule>
  </conditionalFormatting>
  <conditionalFormatting sqref="D377:I377 A377">
    <cfRule type="cellIs" dxfId="6115" priority="9207" stopIfTrue="1" operator="equal">
      <formula>"Fail"</formula>
    </cfRule>
    <cfRule type="cellIs" dxfId="6114" priority="9208" stopIfTrue="1" operator="equal">
      <formula>"Pass"</formula>
    </cfRule>
  </conditionalFormatting>
  <conditionalFormatting sqref="A380">
    <cfRule type="cellIs" dxfId="6113" priority="9201" stopIfTrue="1" operator="equal">
      <formula>"Fail"</formula>
    </cfRule>
    <cfRule type="cellIs" dxfId="6112" priority="9202" stopIfTrue="1" operator="equal">
      <formula>"Pass"</formula>
    </cfRule>
  </conditionalFormatting>
  <conditionalFormatting sqref="B379:B380">
    <cfRule type="cellIs" dxfId="6111" priority="9199" stopIfTrue="1" operator="equal">
      <formula>"Fail"</formula>
    </cfRule>
    <cfRule type="cellIs" dxfId="6110" priority="9200" stopIfTrue="1" operator="equal">
      <formula>"Pass"</formula>
    </cfRule>
  </conditionalFormatting>
  <conditionalFormatting sqref="C380">
    <cfRule type="cellIs" dxfId="6109" priority="9197" stopIfTrue="1" operator="equal">
      <formula>"Fail"</formula>
    </cfRule>
    <cfRule type="cellIs" dxfId="6108" priority="9198" stopIfTrue="1" operator="equal">
      <formula>"Pass"</formula>
    </cfRule>
  </conditionalFormatting>
  <conditionalFormatting sqref="C380">
    <cfRule type="cellIs" dxfId="6107" priority="9191" stopIfTrue="1" operator="equal">
      <formula>"Fail"</formula>
    </cfRule>
    <cfRule type="cellIs" dxfId="6106" priority="9192" stopIfTrue="1" operator="equal">
      <formula>"Pass"</formula>
    </cfRule>
  </conditionalFormatting>
  <conditionalFormatting sqref="A380 C380:D380 F380:H380">
    <cfRule type="cellIs" dxfId="6105" priority="9195" stopIfTrue="1" operator="equal">
      <formula>"Fail"</formula>
    </cfRule>
    <cfRule type="cellIs" dxfId="6104" priority="9196" stopIfTrue="1" operator="equal">
      <formula>"Pass"</formula>
    </cfRule>
  </conditionalFormatting>
  <conditionalFormatting sqref="A380 D380 F380:H380">
    <cfRule type="cellIs" dxfId="6103" priority="9193" stopIfTrue="1" operator="equal">
      <formula>"Fail"</formula>
    </cfRule>
    <cfRule type="cellIs" dxfId="6102" priority="9194" stopIfTrue="1" operator="equal">
      <formula>"Pass"</formula>
    </cfRule>
  </conditionalFormatting>
  <conditionalFormatting sqref="I380">
    <cfRule type="cellIs" dxfId="6101" priority="9185" stopIfTrue="1" operator="equal">
      <formula>"Fail"</formula>
    </cfRule>
    <cfRule type="cellIs" dxfId="6100" priority="9186" stopIfTrue="1" operator="equal">
      <formula>"Pass"</formula>
    </cfRule>
  </conditionalFormatting>
  <conditionalFormatting sqref="I380">
    <cfRule type="cellIs" dxfId="6099" priority="9189" stopIfTrue="1" operator="equal">
      <formula>"Fail"</formula>
    </cfRule>
    <cfRule type="cellIs" dxfId="6098" priority="9190" stopIfTrue="1" operator="equal">
      <formula>"Pass"</formula>
    </cfRule>
  </conditionalFormatting>
  <conditionalFormatting sqref="I380">
    <cfRule type="cellIs" dxfId="6097" priority="9187" stopIfTrue="1" operator="equal">
      <formula>"Fail"</formula>
    </cfRule>
    <cfRule type="cellIs" dxfId="6096" priority="9188" stopIfTrue="1" operator="equal">
      <formula>"Pass"</formula>
    </cfRule>
  </conditionalFormatting>
  <conditionalFormatting sqref="I379">
    <cfRule type="cellIs" dxfId="6095" priority="9179" stopIfTrue="1" operator="equal">
      <formula>"Fail"</formula>
    </cfRule>
    <cfRule type="cellIs" dxfId="6094" priority="9180" stopIfTrue="1" operator="equal">
      <formula>"Pass"</formula>
    </cfRule>
  </conditionalFormatting>
  <conditionalFormatting sqref="C379">
    <cfRule type="cellIs" dxfId="6093" priority="9177" stopIfTrue="1" operator="equal">
      <formula>"Fail"</formula>
    </cfRule>
    <cfRule type="cellIs" dxfId="6092" priority="9178" stopIfTrue="1" operator="equal">
      <formula>"Pass"</formula>
    </cfRule>
  </conditionalFormatting>
  <conditionalFormatting sqref="C379:D379 A379 F379:I379">
    <cfRule type="cellIs" dxfId="6091" priority="9183" stopIfTrue="1" operator="equal">
      <formula>"Fail"</formula>
    </cfRule>
    <cfRule type="cellIs" dxfId="6090" priority="9184" stopIfTrue="1" operator="equal">
      <formula>"Pass"</formula>
    </cfRule>
  </conditionalFormatting>
  <conditionalFormatting sqref="D379 A379 F379:I379">
    <cfRule type="cellIs" dxfId="6089" priority="9181" stopIfTrue="1" operator="equal">
      <formula>"Fail"</formula>
    </cfRule>
    <cfRule type="cellIs" dxfId="6088" priority="9182" stopIfTrue="1" operator="equal">
      <formula>"Pass"</formula>
    </cfRule>
  </conditionalFormatting>
  <conditionalFormatting sqref="E379">
    <cfRule type="cellIs" dxfId="6087" priority="9175" stopIfTrue="1" operator="equal">
      <formula>"Fail"</formula>
    </cfRule>
    <cfRule type="cellIs" dxfId="6086" priority="9176" stopIfTrue="1" operator="equal">
      <formula>"Pass"</formula>
    </cfRule>
  </conditionalFormatting>
  <conditionalFormatting sqref="A381 C381:I381">
    <cfRule type="cellIs" dxfId="6085" priority="9165" stopIfTrue="1" operator="equal">
      <formula>"Fail"</formula>
    </cfRule>
    <cfRule type="cellIs" dxfId="6084" priority="9166" stopIfTrue="1" operator="equal">
      <formula>"Pass"</formula>
    </cfRule>
  </conditionalFormatting>
  <conditionalFormatting sqref="B381">
    <cfRule type="cellIs" dxfId="6083" priority="9163" stopIfTrue="1" operator="equal">
      <formula>"Fail"</formula>
    </cfRule>
    <cfRule type="cellIs" dxfId="6082" priority="9164" stopIfTrue="1" operator="equal">
      <formula>"Pass"</formula>
    </cfRule>
  </conditionalFormatting>
  <conditionalFormatting sqref="A407 C407:I407 C409:I409 A409">
    <cfRule type="cellIs" dxfId="6081" priority="9131" stopIfTrue="1" operator="equal">
      <formula>"Fail"</formula>
    </cfRule>
    <cfRule type="cellIs" dxfId="6080" priority="9132" stopIfTrue="1" operator="equal">
      <formula>"Pass"</formula>
    </cfRule>
  </conditionalFormatting>
  <conditionalFormatting sqref="A407 D407:I407 D409:I409 A409">
    <cfRule type="cellIs" dxfId="6079" priority="9129" stopIfTrue="1" operator="equal">
      <formula>"Fail"</formula>
    </cfRule>
    <cfRule type="cellIs" dxfId="6078" priority="9130" stopIfTrue="1" operator="equal">
      <formula>"Pass"</formula>
    </cfRule>
  </conditionalFormatting>
  <conditionalFormatting sqref="I407 I409">
    <cfRule type="cellIs" dxfId="6077" priority="9127" stopIfTrue="1" operator="equal">
      <formula>"Fail"</formula>
    </cfRule>
    <cfRule type="cellIs" dxfId="6076" priority="9128" stopIfTrue="1" operator="equal">
      <formula>"Pass"</formula>
    </cfRule>
  </conditionalFormatting>
  <conditionalFormatting sqref="C407 C409">
    <cfRule type="cellIs" dxfId="6075" priority="9125" stopIfTrue="1" operator="equal">
      <formula>"Fail"</formula>
    </cfRule>
    <cfRule type="cellIs" dxfId="6074" priority="9126" stopIfTrue="1" operator="equal">
      <formula>"Pass"</formula>
    </cfRule>
  </conditionalFormatting>
  <conditionalFormatting sqref="I390">
    <cfRule type="cellIs" dxfId="6073" priority="9111" stopIfTrue="1" operator="equal">
      <formula>"Fail"</formula>
    </cfRule>
    <cfRule type="cellIs" dxfId="6072" priority="9112" stopIfTrue="1" operator="equal">
      <formula>"Pass"</formula>
    </cfRule>
  </conditionalFormatting>
  <conditionalFormatting sqref="C390">
    <cfRule type="cellIs" dxfId="6071" priority="9109" stopIfTrue="1" operator="equal">
      <formula>"Fail"</formula>
    </cfRule>
    <cfRule type="cellIs" dxfId="6070" priority="9110" stopIfTrue="1" operator="equal">
      <formula>"Pass"</formula>
    </cfRule>
  </conditionalFormatting>
  <conditionalFormatting sqref="C390:I390 A390">
    <cfRule type="cellIs" dxfId="6069" priority="9115" stopIfTrue="1" operator="equal">
      <formula>"Fail"</formula>
    </cfRule>
    <cfRule type="cellIs" dxfId="6068" priority="9116" stopIfTrue="1" operator="equal">
      <formula>"Pass"</formula>
    </cfRule>
  </conditionalFormatting>
  <conditionalFormatting sqref="D390:I390 A390">
    <cfRule type="cellIs" dxfId="6067" priority="9113" stopIfTrue="1" operator="equal">
      <formula>"Fail"</formula>
    </cfRule>
    <cfRule type="cellIs" dxfId="6066" priority="9114" stopIfTrue="1" operator="equal">
      <formula>"Pass"</formula>
    </cfRule>
  </conditionalFormatting>
  <conditionalFormatting sqref="A393">
    <cfRule type="cellIs" dxfId="6065" priority="9107" stopIfTrue="1" operator="equal">
      <formula>"Fail"</formula>
    </cfRule>
    <cfRule type="cellIs" dxfId="6064" priority="9108" stopIfTrue="1" operator="equal">
      <formula>"Pass"</formula>
    </cfRule>
  </conditionalFormatting>
  <conditionalFormatting sqref="C393">
    <cfRule type="cellIs" dxfId="6063" priority="9103" stopIfTrue="1" operator="equal">
      <formula>"Fail"</formula>
    </cfRule>
    <cfRule type="cellIs" dxfId="6062" priority="9104" stopIfTrue="1" operator="equal">
      <formula>"Pass"</formula>
    </cfRule>
  </conditionalFormatting>
  <conditionalFormatting sqref="C393">
    <cfRule type="cellIs" dxfId="6061" priority="9097" stopIfTrue="1" operator="equal">
      <formula>"Fail"</formula>
    </cfRule>
    <cfRule type="cellIs" dxfId="6060" priority="9098" stopIfTrue="1" operator="equal">
      <formula>"Pass"</formula>
    </cfRule>
  </conditionalFormatting>
  <conditionalFormatting sqref="A393 C393:D393 F393:H393">
    <cfRule type="cellIs" dxfId="6059" priority="9101" stopIfTrue="1" operator="equal">
      <formula>"Fail"</formula>
    </cfRule>
    <cfRule type="cellIs" dxfId="6058" priority="9102" stopIfTrue="1" operator="equal">
      <formula>"Pass"</formula>
    </cfRule>
  </conditionalFormatting>
  <conditionalFormatting sqref="A393 D393 F393:H393">
    <cfRule type="cellIs" dxfId="6057" priority="9099" stopIfTrue="1" operator="equal">
      <formula>"Fail"</formula>
    </cfRule>
    <cfRule type="cellIs" dxfId="6056" priority="9100" stopIfTrue="1" operator="equal">
      <formula>"Pass"</formula>
    </cfRule>
  </conditionalFormatting>
  <conditionalFormatting sqref="I393">
    <cfRule type="cellIs" dxfId="6055" priority="9091" stopIfTrue="1" operator="equal">
      <formula>"Fail"</formula>
    </cfRule>
    <cfRule type="cellIs" dxfId="6054" priority="9092" stopIfTrue="1" operator="equal">
      <formula>"Pass"</formula>
    </cfRule>
  </conditionalFormatting>
  <conditionalFormatting sqref="I393">
    <cfRule type="cellIs" dxfId="6053" priority="9095" stopIfTrue="1" operator="equal">
      <formula>"Fail"</formula>
    </cfRule>
    <cfRule type="cellIs" dxfId="6052" priority="9096" stopIfTrue="1" operator="equal">
      <formula>"Pass"</formula>
    </cfRule>
  </conditionalFormatting>
  <conditionalFormatting sqref="I393">
    <cfRule type="cellIs" dxfId="6051" priority="9093" stopIfTrue="1" operator="equal">
      <formula>"Fail"</formula>
    </cfRule>
    <cfRule type="cellIs" dxfId="6050" priority="9094" stopIfTrue="1" operator="equal">
      <formula>"Pass"</formula>
    </cfRule>
  </conditionalFormatting>
  <conditionalFormatting sqref="I392">
    <cfRule type="cellIs" dxfId="6049" priority="9085" stopIfTrue="1" operator="equal">
      <formula>"Fail"</formula>
    </cfRule>
    <cfRule type="cellIs" dxfId="6048" priority="9086" stopIfTrue="1" operator="equal">
      <formula>"Pass"</formula>
    </cfRule>
  </conditionalFormatting>
  <conditionalFormatting sqref="C392">
    <cfRule type="cellIs" dxfId="6047" priority="9083" stopIfTrue="1" operator="equal">
      <formula>"Fail"</formula>
    </cfRule>
    <cfRule type="cellIs" dxfId="6046" priority="9084" stopIfTrue="1" operator="equal">
      <formula>"Pass"</formula>
    </cfRule>
  </conditionalFormatting>
  <conditionalFormatting sqref="C392:D392 A392 F392:I392">
    <cfRule type="cellIs" dxfId="6045" priority="9089" stopIfTrue="1" operator="equal">
      <formula>"Fail"</formula>
    </cfRule>
    <cfRule type="cellIs" dxfId="6044" priority="9090" stopIfTrue="1" operator="equal">
      <formula>"Pass"</formula>
    </cfRule>
  </conditionalFormatting>
  <conditionalFormatting sqref="D392 A392 F392:I392">
    <cfRule type="cellIs" dxfId="6043" priority="9087" stopIfTrue="1" operator="equal">
      <formula>"Fail"</formula>
    </cfRule>
    <cfRule type="cellIs" dxfId="6042" priority="9088" stopIfTrue="1" operator="equal">
      <formula>"Pass"</formula>
    </cfRule>
  </conditionalFormatting>
  <conditionalFormatting sqref="E392">
    <cfRule type="cellIs" dxfId="6041" priority="9081" stopIfTrue="1" operator="equal">
      <formula>"Fail"</formula>
    </cfRule>
    <cfRule type="cellIs" dxfId="6040" priority="9082" stopIfTrue="1" operator="equal">
      <formula>"Pass"</formula>
    </cfRule>
  </conditionalFormatting>
  <conditionalFormatting sqref="A394 C394:I394">
    <cfRule type="cellIs" dxfId="6039" priority="9071" stopIfTrue="1" operator="equal">
      <formula>"Fail"</formula>
    </cfRule>
    <cfRule type="cellIs" dxfId="6038" priority="9072" stopIfTrue="1" operator="equal">
      <formula>"Pass"</formula>
    </cfRule>
  </conditionalFormatting>
  <conditionalFormatting sqref="B394">
    <cfRule type="cellIs" dxfId="6037" priority="9069" stopIfTrue="1" operator="equal">
      <formula>"Fail"</formula>
    </cfRule>
    <cfRule type="cellIs" dxfId="6036" priority="9070" stopIfTrue="1" operator="equal">
      <formula>"Pass"</formula>
    </cfRule>
  </conditionalFormatting>
  <conditionalFormatting sqref="A378 D378:I378">
    <cfRule type="cellIs" dxfId="6035" priority="9043" stopIfTrue="1" operator="equal">
      <formula>"Fail"</formula>
    </cfRule>
    <cfRule type="cellIs" dxfId="6034" priority="9044" stopIfTrue="1" operator="equal">
      <formula>"Pass"</formula>
    </cfRule>
  </conditionalFormatting>
  <conditionalFormatting sqref="A378 C378:I378">
    <cfRule type="cellIs" dxfId="6033" priority="9045" stopIfTrue="1" operator="equal">
      <formula>"Fail"</formula>
    </cfRule>
    <cfRule type="cellIs" dxfId="6032" priority="9046" stopIfTrue="1" operator="equal">
      <formula>"Pass"</formula>
    </cfRule>
  </conditionalFormatting>
  <conditionalFormatting sqref="I378">
    <cfRule type="cellIs" dxfId="6031" priority="9041" stopIfTrue="1" operator="equal">
      <formula>"Fail"</formula>
    </cfRule>
    <cfRule type="cellIs" dxfId="6030" priority="9042" stopIfTrue="1" operator="equal">
      <formula>"Pass"</formula>
    </cfRule>
  </conditionalFormatting>
  <conditionalFormatting sqref="C378">
    <cfRule type="cellIs" dxfId="6029" priority="9039" stopIfTrue="1" operator="equal">
      <formula>"Fail"</formula>
    </cfRule>
    <cfRule type="cellIs" dxfId="6028" priority="9040" stopIfTrue="1" operator="equal">
      <formula>"Pass"</formula>
    </cfRule>
  </conditionalFormatting>
  <conditionalFormatting sqref="A391 D391:I391">
    <cfRule type="cellIs" dxfId="6027" priority="9035" stopIfTrue="1" operator="equal">
      <formula>"Fail"</formula>
    </cfRule>
    <cfRule type="cellIs" dxfId="6026" priority="9036" stopIfTrue="1" operator="equal">
      <formula>"Pass"</formula>
    </cfRule>
  </conditionalFormatting>
  <conditionalFormatting sqref="A391 D391:I391">
    <cfRule type="cellIs" dxfId="6025" priority="9037" stopIfTrue="1" operator="equal">
      <formula>"Fail"</formula>
    </cfRule>
    <cfRule type="cellIs" dxfId="6024" priority="9038" stopIfTrue="1" operator="equal">
      <formula>"Pass"</formula>
    </cfRule>
  </conditionalFormatting>
  <conditionalFormatting sqref="I391">
    <cfRule type="cellIs" dxfId="6023" priority="9033" stopIfTrue="1" operator="equal">
      <formula>"Fail"</formula>
    </cfRule>
    <cfRule type="cellIs" dxfId="6022" priority="9034" stopIfTrue="1" operator="equal">
      <formula>"Pass"</formula>
    </cfRule>
  </conditionalFormatting>
  <conditionalFormatting sqref="I382">
    <cfRule type="cellIs" dxfId="6021" priority="9025" stopIfTrue="1" operator="equal">
      <formula>"Fail"</formula>
    </cfRule>
    <cfRule type="cellIs" dxfId="6020" priority="9026" stopIfTrue="1" operator="equal">
      <formula>"Pass"</formula>
    </cfRule>
  </conditionalFormatting>
  <conditionalFormatting sqref="C382">
    <cfRule type="cellIs" dxfId="6019" priority="9023" stopIfTrue="1" operator="equal">
      <formula>"Fail"</formula>
    </cfRule>
    <cfRule type="cellIs" dxfId="6018" priority="9024" stopIfTrue="1" operator="equal">
      <formula>"Pass"</formula>
    </cfRule>
  </conditionalFormatting>
  <conditionalFormatting sqref="C382:I382 A382">
    <cfRule type="cellIs" dxfId="6017" priority="9029" stopIfTrue="1" operator="equal">
      <formula>"Fail"</formula>
    </cfRule>
    <cfRule type="cellIs" dxfId="6016" priority="9030" stopIfTrue="1" operator="equal">
      <formula>"Pass"</formula>
    </cfRule>
  </conditionalFormatting>
  <conditionalFormatting sqref="D382:I382 A382">
    <cfRule type="cellIs" dxfId="6015" priority="9027" stopIfTrue="1" operator="equal">
      <formula>"Fail"</formula>
    </cfRule>
    <cfRule type="cellIs" dxfId="6014" priority="9028" stopIfTrue="1" operator="equal">
      <formula>"Pass"</formula>
    </cfRule>
  </conditionalFormatting>
  <conditionalFormatting sqref="A385">
    <cfRule type="cellIs" dxfId="6013" priority="9021" stopIfTrue="1" operator="equal">
      <formula>"Fail"</formula>
    </cfRule>
    <cfRule type="cellIs" dxfId="6012" priority="9022" stopIfTrue="1" operator="equal">
      <formula>"Pass"</formula>
    </cfRule>
  </conditionalFormatting>
  <conditionalFormatting sqref="C385">
    <cfRule type="cellIs" dxfId="6011" priority="9017" stopIfTrue="1" operator="equal">
      <formula>"Fail"</formula>
    </cfRule>
    <cfRule type="cellIs" dxfId="6010" priority="9018" stopIfTrue="1" operator="equal">
      <formula>"Pass"</formula>
    </cfRule>
  </conditionalFormatting>
  <conditionalFormatting sqref="C385">
    <cfRule type="cellIs" dxfId="6009" priority="9011" stopIfTrue="1" operator="equal">
      <formula>"Fail"</formula>
    </cfRule>
    <cfRule type="cellIs" dxfId="6008" priority="9012" stopIfTrue="1" operator="equal">
      <formula>"Pass"</formula>
    </cfRule>
  </conditionalFormatting>
  <conditionalFormatting sqref="A385 C385:D385 F385:H385">
    <cfRule type="cellIs" dxfId="6007" priority="9015" stopIfTrue="1" operator="equal">
      <formula>"Fail"</formula>
    </cfRule>
    <cfRule type="cellIs" dxfId="6006" priority="9016" stopIfTrue="1" operator="equal">
      <formula>"Pass"</formula>
    </cfRule>
  </conditionalFormatting>
  <conditionalFormatting sqref="A385 D385 F385:H385">
    <cfRule type="cellIs" dxfId="6005" priority="9013" stopIfTrue="1" operator="equal">
      <formula>"Fail"</formula>
    </cfRule>
    <cfRule type="cellIs" dxfId="6004" priority="9014" stopIfTrue="1" operator="equal">
      <formula>"Pass"</formula>
    </cfRule>
  </conditionalFormatting>
  <conditionalFormatting sqref="I385">
    <cfRule type="cellIs" dxfId="6003" priority="9005" stopIfTrue="1" operator="equal">
      <formula>"Fail"</formula>
    </cfRule>
    <cfRule type="cellIs" dxfId="6002" priority="9006" stopIfTrue="1" operator="equal">
      <formula>"Pass"</formula>
    </cfRule>
  </conditionalFormatting>
  <conditionalFormatting sqref="I385">
    <cfRule type="cellIs" dxfId="6001" priority="9009" stopIfTrue="1" operator="equal">
      <formula>"Fail"</formula>
    </cfRule>
    <cfRule type="cellIs" dxfId="6000" priority="9010" stopIfTrue="1" operator="equal">
      <formula>"Pass"</formula>
    </cfRule>
  </conditionalFormatting>
  <conditionalFormatting sqref="I385">
    <cfRule type="cellIs" dxfId="5999" priority="9007" stopIfTrue="1" operator="equal">
      <formula>"Fail"</formula>
    </cfRule>
    <cfRule type="cellIs" dxfId="5998" priority="9008" stopIfTrue="1" operator="equal">
      <formula>"Pass"</formula>
    </cfRule>
  </conditionalFormatting>
  <conditionalFormatting sqref="I384">
    <cfRule type="cellIs" dxfId="5997" priority="8999" stopIfTrue="1" operator="equal">
      <formula>"Fail"</formula>
    </cfRule>
    <cfRule type="cellIs" dxfId="5996" priority="9000" stopIfTrue="1" operator="equal">
      <formula>"Pass"</formula>
    </cfRule>
  </conditionalFormatting>
  <conditionalFormatting sqref="C384">
    <cfRule type="cellIs" dxfId="5995" priority="8997" stopIfTrue="1" operator="equal">
      <formula>"Fail"</formula>
    </cfRule>
    <cfRule type="cellIs" dxfId="5994" priority="8998" stopIfTrue="1" operator="equal">
      <formula>"Pass"</formula>
    </cfRule>
  </conditionalFormatting>
  <conditionalFormatting sqref="C384:D384 A384 F384:I384">
    <cfRule type="cellIs" dxfId="5993" priority="9003" stopIfTrue="1" operator="equal">
      <formula>"Fail"</formula>
    </cfRule>
    <cfRule type="cellIs" dxfId="5992" priority="9004" stopIfTrue="1" operator="equal">
      <formula>"Pass"</formula>
    </cfRule>
  </conditionalFormatting>
  <conditionalFormatting sqref="D384 A384 F384:I384">
    <cfRule type="cellIs" dxfId="5991" priority="9001" stopIfTrue="1" operator="equal">
      <formula>"Fail"</formula>
    </cfRule>
    <cfRule type="cellIs" dxfId="5990" priority="9002" stopIfTrue="1" operator="equal">
      <formula>"Pass"</formula>
    </cfRule>
  </conditionalFormatting>
  <conditionalFormatting sqref="E384">
    <cfRule type="cellIs" dxfId="5989" priority="8995" stopIfTrue="1" operator="equal">
      <formula>"Fail"</formula>
    </cfRule>
    <cfRule type="cellIs" dxfId="5988" priority="8996" stopIfTrue="1" operator="equal">
      <formula>"Pass"</formula>
    </cfRule>
  </conditionalFormatting>
  <conditionalFormatting sqref="I387">
    <cfRule type="cellIs" dxfId="5987" priority="8989" stopIfTrue="1" operator="equal">
      <formula>"Fail"</formula>
    </cfRule>
    <cfRule type="cellIs" dxfId="5986" priority="8990" stopIfTrue="1" operator="equal">
      <formula>"Pass"</formula>
    </cfRule>
  </conditionalFormatting>
  <conditionalFormatting sqref="C387">
    <cfRule type="cellIs" dxfId="5985" priority="8987" stopIfTrue="1" operator="equal">
      <formula>"Fail"</formula>
    </cfRule>
    <cfRule type="cellIs" dxfId="5984" priority="8988" stopIfTrue="1" operator="equal">
      <formula>"Pass"</formula>
    </cfRule>
  </conditionalFormatting>
  <conditionalFormatting sqref="A387 C387:D387 F387:I387">
    <cfRule type="cellIs" dxfId="5983" priority="8993" stopIfTrue="1" operator="equal">
      <formula>"Fail"</formula>
    </cfRule>
    <cfRule type="cellIs" dxfId="5982" priority="8994" stopIfTrue="1" operator="equal">
      <formula>"Pass"</formula>
    </cfRule>
  </conditionalFormatting>
  <conditionalFormatting sqref="A387 D387 F387:I387">
    <cfRule type="cellIs" dxfId="5981" priority="8991" stopIfTrue="1" operator="equal">
      <formula>"Fail"</formula>
    </cfRule>
    <cfRule type="cellIs" dxfId="5980" priority="8992" stopIfTrue="1" operator="equal">
      <formula>"Pass"</formula>
    </cfRule>
  </conditionalFormatting>
  <conditionalFormatting sqref="A386 C386:I386">
    <cfRule type="cellIs" dxfId="5979" priority="8985" stopIfTrue="1" operator="equal">
      <formula>"Fail"</formula>
    </cfRule>
    <cfRule type="cellIs" dxfId="5978" priority="8986" stopIfTrue="1" operator="equal">
      <formula>"Pass"</formula>
    </cfRule>
  </conditionalFormatting>
  <conditionalFormatting sqref="B386">
    <cfRule type="cellIs" dxfId="5977" priority="8983" stopIfTrue="1" operator="equal">
      <formula>"Fail"</formula>
    </cfRule>
    <cfRule type="cellIs" dxfId="5976" priority="8984" stopIfTrue="1" operator="equal">
      <formula>"Pass"</formula>
    </cfRule>
  </conditionalFormatting>
  <conditionalFormatting sqref="A388">
    <cfRule type="cellIs" dxfId="5975" priority="8981" stopIfTrue="1" operator="equal">
      <formula>"Fail"</formula>
    </cfRule>
    <cfRule type="cellIs" dxfId="5974" priority="8982" stopIfTrue="1" operator="equal">
      <formula>"Pass"</formula>
    </cfRule>
  </conditionalFormatting>
  <conditionalFormatting sqref="C388">
    <cfRule type="cellIs" dxfId="5973" priority="8977" stopIfTrue="1" operator="equal">
      <formula>"Fail"</formula>
    </cfRule>
    <cfRule type="cellIs" dxfId="5972" priority="8978" stopIfTrue="1" operator="equal">
      <formula>"Pass"</formula>
    </cfRule>
  </conditionalFormatting>
  <conditionalFormatting sqref="C388">
    <cfRule type="cellIs" dxfId="5971" priority="8971" stopIfTrue="1" operator="equal">
      <formula>"Fail"</formula>
    </cfRule>
    <cfRule type="cellIs" dxfId="5970" priority="8972" stopIfTrue="1" operator="equal">
      <formula>"Pass"</formula>
    </cfRule>
  </conditionalFormatting>
  <conditionalFormatting sqref="A388 C388:D388 F388:H388">
    <cfRule type="cellIs" dxfId="5969" priority="8975" stopIfTrue="1" operator="equal">
      <formula>"Fail"</formula>
    </cfRule>
    <cfRule type="cellIs" dxfId="5968" priority="8976" stopIfTrue="1" operator="equal">
      <formula>"Pass"</formula>
    </cfRule>
  </conditionalFormatting>
  <conditionalFormatting sqref="A388 D388 F388:H388">
    <cfRule type="cellIs" dxfId="5967" priority="8973" stopIfTrue="1" operator="equal">
      <formula>"Fail"</formula>
    </cfRule>
    <cfRule type="cellIs" dxfId="5966" priority="8974" stopIfTrue="1" operator="equal">
      <formula>"Pass"</formula>
    </cfRule>
  </conditionalFormatting>
  <conditionalFormatting sqref="I388">
    <cfRule type="cellIs" dxfId="5965" priority="8965" stopIfTrue="1" operator="equal">
      <formula>"Fail"</formula>
    </cfRule>
    <cfRule type="cellIs" dxfId="5964" priority="8966" stopIfTrue="1" operator="equal">
      <formula>"Pass"</formula>
    </cfRule>
  </conditionalFormatting>
  <conditionalFormatting sqref="I388">
    <cfRule type="cellIs" dxfId="5963" priority="8969" stopIfTrue="1" operator="equal">
      <formula>"Fail"</formula>
    </cfRule>
    <cfRule type="cellIs" dxfId="5962" priority="8970" stopIfTrue="1" operator="equal">
      <formula>"Pass"</formula>
    </cfRule>
  </conditionalFormatting>
  <conditionalFormatting sqref="I388">
    <cfRule type="cellIs" dxfId="5961" priority="8967" stopIfTrue="1" operator="equal">
      <formula>"Fail"</formula>
    </cfRule>
    <cfRule type="cellIs" dxfId="5960" priority="8968" stopIfTrue="1" operator="equal">
      <formula>"Pass"</formula>
    </cfRule>
  </conditionalFormatting>
  <conditionalFormatting sqref="A389 C389:I389">
    <cfRule type="cellIs" dxfId="5959" priority="8963" stopIfTrue="1" operator="equal">
      <formula>"Fail"</formula>
    </cfRule>
    <cfRule type="cellIs" dxfId="5958" priority="8964" stopIfTrue="1" operator="equal">
      <formula>"Pass"</formula>
    </cfRule>
  </conditionalFormatting>
  <conditionalFormatting sqref="B389">
    <cfRule type="cellIs" dxfId="5957" priority="8961" stopIfTrue="1" operator="equal">
      <formula>"Fail"</formula>
    </cfRule>
    <cfRule type="cellIs" dxfId="5956" priority="8962" stopIfTrue="1" operator="equal">
      <formula>"Pass"</formula>
    </cfRule>
  </conditionalFormatting>
  <conditionalFormatting sqref="A383 D383:I383">
    <cfRule type="cellIs" dxfId="5955" priority="8957" stopIfTrue="1" operator="equal">
      <formula>"Fail"</formula>
    </cfRule>
    <cfRule type="cellIs" dxfId="5954" priority="8958" stopIfTrue="1" operator="equal">
      <formula>"Pass"</formula>
    </cfRule>
  </conditionalFormatting>
  <conditionalFormatting sqref="A383 D383:I383">
    <cfRule type="cellIs" dxfId="5953" priority="8959" stopIfTrue="1" operator="equal">
      <formula>"Fail"</formula>
    </cfRule>
    <cfRule type="cellIs" dxfId="5952" priority="8960" stopIfTrue="1" operator="equal">
      <formula>"Pass"</formula>
    </cfRule>
  </conditionalFormatting>
  <conditionalFormatting sqref="I383">
    <cfRule type="cellIs" dxfId="5951" priority="8955" stopIfTrue="1" operator="equal">
      <formula>"Fail"</formula>
    </cfRule>
    <cfRule type="cellIs" dxfId="5950" priority="8956" stopIfTrue="1" operator="equal">
      <formula>"Pass"</formula>
    </cfRule>
  </conditionalFormatting>
  <conditionalFormatting sqref="I395">
    <cfRule type="cellIs" dxfId="5949" priority="8947" stopIfTrue="1" operator="equal">
      <formula>"Fail"</formula>
    </cfRule>
    <cfRule type="cellIs" dxfId="5948" priority="8948" stopIfTrue="1" operator="equal">
      <formula>"Pass"</formula>
    </cfRule>
  </conditionalFormatting>
  <conditionalFormatting sqref="C395">
    <cfRule type="cellIs" dxfId="5947" priority="8945" stopIfTrue="1" operator="equal">
      <formula>"Fail"</formula>
    </cfRule>
    <cfRule type="cellIs" dxfId="5946" priority="8946" stopIfTrue="1" operator="equal">
      <formula>"Pass"</formula>
    </cfRule>
  </conditionalFormatting>
  <conditionalFormatting sqref="C395:I395 A395">
    <cfRule type="cellIs" dxfId="5945" priority="8951" stopIfTrue="1" operator="equal">
      <formula>"Fail"</formula>
    </cfRule>
    <cfRule type="cellIs" dxfId="5944" priority="8952" stopIfTrue="1" operator="equal">
      <formula>"Pass"</formula>
    </cfRule>
  </conditionalFormatting>
  <conditionalFormatting sqref="D395:I395 A395">
    <cfRule type="cellIs" dxfId="5943" priority="8949" stopIfTrue="1" operator="equal">
      <formula>"Fail"</formula>
    </cfRule>
    <cfRule type="cellIs" dxfId="5942" priority="8950" stopIfTrue="1" operator="equal">
      <formula>"Pass"</formula>
    </cfRule>
  </conditionalFormatting>
  <conditionalFormatting sqref="A398">
    <cfRule type="cellIs" dxfId="5941" priority="8943" stopIfTrue="1" operator="equal">
      <formula>"Fail"</formula>
    </cfRule>
    <cfRule type="cellIs" dxfId="5940" priority="8944" stopIfTrue="1" operator="equal">
      <formula>"Pass"</formula>
    </cfRule>
  </conditionalFormatting>
  <conditionalFormatting sqref="C398">
    <cfRule type="cellIs" dxfId="5939" priority="8939" stopIfTrue="1" operator="equal">
      <formula>"Fail"</formula>
    </cfRule>
    <cfRule type="cellIs" dxfId="5938" priority="8940" stopIfTrue="1" operator="equal">
      <formula>"Pass"</formula>
    </cfRule>
  </conditionalFormatting>
  <conditionalFormatting sqref="C398">
    <cfRule type="cellIs" dxfId="5937" priority="8933" stopIfTrue="1" operator="equal">
      <formula>"Fail"</formula>
    </cfRule>
    <cfRule type="cellIs" dxfId="5936" priority="8934" stopIfTrue="1" operator="equal">
      <formula>"Pass"</formula>
    </cfRule>
  </conditionalFormatting>
  <conditionalFormatting sqref="A398 C398:D398 F398:H398">
    <cfRule type="cellIs" dxfId="5935" priority="8937" stopIfTrue="1" operator="equal">
      <formula>"Fail"</formula>
    </cfRule>
    <cfRule type="cellIs" dxfId="5934" priority="8938" stopIfTrue="1" operator="equal">
      <formula>"Pass"</formula>
    </cfRule>
  </conditionalFormatting>
  <conditionalFormatting sqref="A398 D398 F398:H398">
    <cfRule type="cellIs" dxfId="5933" priority="8935" stopIfTrue="1" operator="equal">
      <formula>"Fail"</formula>
    </cfRule>
    <cfRule type="cellIs" dxfId="5932" priority="8936" stopIfTrue="1" operator="equal">
      <formula>"Pass"</formula>
    </cfRule>
  </conditionalFormatting>
  <conditionalFormatting sqref="I398">
    <cfRule type="cellIs" dxfId="5931" priority="8927" stopIfTrue="1" operator="equal">
      <formula>"Fail"</formula>
    </cfRule>
    <cfRule type="cellIs" dxfId="5930" priority="8928" stopIfTrue="1" operator="equal">
      <formula>"Pass"</formula>
    </cfRule>
  </conditionalFormatting>
  <conditionalFormatting sqref="I398">
    <cfRule type="cellIs" dxfId="5929" priority="8931" stopIfTrue="1" operator="equal">
      <formula>"Fail"</formula>
    </cfRule>
    <cfRule type="cellIs" dxfId="5928" priority="8932" stopIfTrue="1" operator="equal">
      <formula>"Pass"</formula>
    </cfRule>
  </conditionalFormatting>
  <conditionalFormatting sqref="I398">
    <cfRule type="cellIs" dxfId="5927" priority="8929" stopIfTrue="1" operator="equal">
      <formula>"Fail"</formula>
    </cfRule>
    <cfRule type="cellIs" dxfId="5926" priority="8930" stopIfTrue="1" operator="equal">
      <formula>"Pass"</formula>
    </cfRule>
  </conditionalFormatting>
  <conditionalFormatting sqref="I397">
    <cfRule type="cellIs" dxfId="5925" priority="8921" stopIfTrue="1" operator="equal">
      <formula>"Fail"</formula>
    </cfRule>
    <cfRule type="cellIs" dxfId="5924" priority="8922" stopIfTrue="1" operator="equal">
      <formula>"Pass"</formula>
    </cfRule>
  </conditionalFormatting>
  <conditionalFormatting sqref="C397">
    <cfRule type="cellIs" dxfId="5923" priority="8919" stopIfTrue="1" operator="equal">
      <formula>"Fail"</formula>
    </cfRule>
    <cfRule type="cellIs" dxfId="5922" priority="8920" stopIfTrue="1" operator="equal">
      <formula>"Pass"</formula>
    </cfRule>
  </conditionalFormatting>
  <conditionalFormatting sqref="C397:D397 A397 F397:I397">
    <cfRule type="cellIs" dxfId="5921" priority="8925" stopIfTrue="1" operator="equal">
      <formula>"Fail"</formula>
    </cfRule>
    <cfRule type="cellIs" dxfId="5920" priority="8926" stopIfTrue="1" operator="equal">
      <formula>"Pass"</formula>
    </cfRule>
  </conditionalFormatting>
  <conditionalFormatting sqref="D397 A397 F397:I397">
    <cfRule type="cellIs" dxfId="5919" priority="8923" stopIfTrue="1" operator="equal">
      <formula>"Fail"</formula>
    </cfRule>
    <cfRule type="cellIs" dxfId="5918" priority="8924" stopIfTrue="1" operator="equal">
      <formula>"Pass"</formula>
    </cfRule>
  </conditionalFormatting>
  <conditionalFormatting sqref="E397">
    <cfRule type="cellIs" dxfId="5917" priority="8917" stopIfTrue="1" operator="equal">
      <formula>"Fail"</formula>
    </cfRule>
    <cfRule type="cellIs" dxfId="5916" priority="8918" stopIfTrue="1" operator="equal">
      <formula>"Pass"</formula>
    </cfRule>
  </conditionalFormatting>
  <conditionalFormatting sqref="I400">
    <cfRule type="cellIs" dxfId="5915" priority="8911" stopIfTrue="1" operator="equal">
      <formula>"Fail"</formula>
    </cfRule>
    <cfRule type="cellIs" dxfId="5914" priority="8912" stopIfTrue="1" operator="equal">
      <formula>"Pass"</formula>
    </cfRule>
  </conditionalFormatting>
  <conditionalFormatting sqref="C400">
    <cfRule type="cellIs" dxfId="5913" priority="8909" stopIfTrue="1" operator="equal">
      <formula>"Fail"</formula>
    </cfRule>
    <cfRule type="cellIs" dxfId="5912" priority="8910" stopIfTrue="1" operator="equal">
      <formula>"Pass"</formula>
    </cfRule>
  </conditionalFormatting>
  <conditionalFormatting sqref="A400 C400:D400 F400:I400">
    <cfRule type="cellIs" dxfId="5911" priority="8915" stopIfTrue="1" operator="equal">
      <formula>"Fail"</formula>
    </cfRule>
    <cfRule type="cellIs" dxfId="5910" priority="8916" stopIfTrue="1" operator="equal">
      <formula>"Pass"</formula>
    </cfRule>
  </conditionalFormatting>
  <conditionalFormatting sqref="A400 D400 F400:I400">
    <cfRule type="cellIs" dxfId="5909" priority="8913" stopIfTrue="1" operator="equal">
      <formula>"Fail"</formula>
    </cfRule>
    <cfRule type="cellIs" dxfId="5908" priority="8914" stopIfTrue="1" operator="equal">
      <formula>"Pass"</formula>
    </cfRule>
  </conditionalFormatting>
  <conditionalFormatting sqref="A399 C399:I399">
    <cfRule type="cellIs" dxfId="5907" priority="8907" stopIfTrue="1" operator="equal">
      <formula>"Fail"</formula>
    </cfRule>
    <cfRule type="cellIs" dxfId="5906" priority="8908" stopIfTrue="1" operator="equal">
      <formula>"Pass"</formula>
    </cfRule>
  </conditionalFormatting>
  <conditionalFormatting sqref="B399">
    <cfRule type="cellIs" dxfId="5905" priority="8905" stopIfTrue="1" operator="equal">
      <formula>"Fail"</formula>
    </cfRule>
    <cfRule type="cellIs" dxfId="5904" priority="8906" stopIfTrue="1" operator="equal">
      <formula>"Pass"</formula>
    </cfRule>
  </conditionalFormatting>
  <conditionalFormatting sqref="A401">
    <cfRule type="cellIs" dxfId="5903" priority="8903" stopIfTrue="1" operator="equal">
      <formula>"Fail"</formula>
    </cfRule>
    <cfRule type="cellIs" dxfId="5902" priority="8904" stopIfTrue="1" operator="equal">
      <formula>"Pass"</formula>
    </cfRule>
  </conditionalFormatting>
  <conditionalFormatting sqref="C401">
    <cfRule type="cellIs" dxfId="5901" priority="8899" stopIfTrue="1" operator="equal">
      <formula>"Fail"</formula>
    </cfRule>
    <cfRule type="cellIs" dxfId="5900" priority="8900" stopIfTrue="1" operator="equal">
      <formula>"Pass"</formula>
    </cfRule>
  </conditionalFormatting>
  <conditionalFormatting sqref="C401">
    <cfRule type="cellIs" dxfId="5899" priority="8893" stopIfTrue="1" operator="equal">
      <formula>"Fail"</formula>
    </cfRule>
    <cfRule type="cellIs" dxfId="5898" priority="8894" stopIfTrue="1" operator="equal">
      <formula>"Pass"</formula>
    </cfRule>
  </conditionalFormatting>
  <conditionalFormatting sqref="A401 C401:D401 F401:H401">
    <cfRule type="cellIs" dxfId="5897" priority="8897" stopIfTrue="1" operator="equal">
      <formula>"Fail"</formula>
    </cfRule>
    <cfRule type="cellIs" dxfId="5896" priority="8898" stopIfTrue="1" operator="equal">
      <formula>"Pass"</formula>
    </cfRule>
  </conditionalFormatting>
  <conditionalFormatting sqref="A401 D401 F401:H401">
    <cfRule type="cellIs" dxfId="5895" priority="8895" stopIfTrue="1" operator="equal">
      <formula>"Fail"</formula>
    </cfRule>
    <cfRule type="cellIs" dxfId="5894" priority="8896" stopIfTrue="1" operator="equal">
      <formula>"Pass"</formula>
    </cfRule>
  </conditionalFormatting>
  <conditionalFormatting sqref="I401">
    <cfRule type="cellIs" dxfId="5893" priority="8887" stopIfTrue="1" operator="equal">
      <formula>"Fail"</formula>
    </cfRule>
    <cfRule type="cellIs" dxfId="5892" priority="8888" stopIfTrue="1" operator="equal">
      <formula>"Pass"</formula>
    </cfRule>
  </conditionalFormatting>
  <conditionalFormatting sqref="I401">
    <cfRule type="cellIs" dxfId="5891" priority="8891" stopIfTrue="1" operator="equal">
      <formula>"Fail"</formula>
    </cfRule>
    <cfRule type="cellIs" dxfId="5890" priority="8892" stopIfTrue="1" operator="equal">
      <formula>"Pass"</formula>
    </cfRule>
  </conditionalFormatting>
  <conditionalFormatting sqref="I401">
    <cfRule type="cellIs" dxfId="5889" priority="8889" stopIfTrue="1" operator="equal">
      <formula>"Fail"</formula>
    </cfRule>
    <cfRule type="cellIs" dxfId="5888" priority="8890" stopIfTrue="1" operator="equal">
      <formula>"Pass"</formula>
    </cfRule>
  </conditionalFormatting>
  <conditionalFormatting sqref="A402 C402:I402">
    <cfRule type="cellIs" dxfId="5887" priority="8885" stopIfTrue="1" operator="equal">
      <formula>"Fail"</formula>
    </cfRule>
    <cfRule type="cellIs" dxfId="5886" priority="8886" stopIfTrue="1" operator="equal">
      <formula>"Pass"</formula>
    </cfRule>
  </conditionalFormatting>
  <conditionalFormatting sqref="B402">
    <cfRule type="cellIs" dxfId="5885" priority="8883" stopIfTrue="1" operator="equal">
      <formula>"Fail"</formula>
    </cfRule>
    <cfRule type="cellIs" dxfId="5884" priority="8884" stopIfTrue="1" operator="equal">
      <formula>"Pass"</formula>
    </cfRule>
  </conditionalFormatting>
  <conditionalFormatting sqref="A396 D396:I396">
    <cfRule type="cellIs" dxfId="5883" priority="8879" stopIfTrue="1" operator="equal">
      <formula>"Fail"</formula>
    </cfRule>
    <cfRule type="cellIs" dxfId="5882" priority="8880" stopIfTrue="1" operator="equal">
      <formula>"Pass"</formula>
    </cfRule>
  </conditionalFormatting>
  <conditionalFormatting sqref="A396 D396:I396">
    <cfRule type="cellIs" dxfId="5881" priority="8881" stopIfTrue="1" operator="equal">
      <formula>"Fail"</formula>
    </cfRule>
    <cfRule type="cellIs" dxfId="5880" priority="8882" stopIfTrue="1" operator="equal">
      <formula>"Pass"</formula>
    </cfRule>
  </conditionalFormatting>
  <conditionalFormatting sqref="I396">
    <cfRule type="cellIs" dxfId="5879" priority="8877" stopIfTrue="1" operator="equal">
      <formula>"Fail"</formula>
    </cfRule>
    <cfRule type="cellIs" dxfId="5878" priority="8878" stopIfTrue="1" operator="equal">
      <formula>"Pass"</formula>
    </cfRule>
  </conditionalFormatting>
  <conditionalFormatting sqref="A545 C545:I545">
    <cfRule type="cellIs" dxfId="5877" priority="8793" stopIfTrue="1" operator="equal">
      <formula>"Fail"</formula>
    </cfRule>
    <cfRule type="cellIs" dxfId="5876" priority="8794" stopIfTrue="1" operator="equal">
      <formula>"Pass"</formula>
    </cfRule>
  </conditionalFormatting>
  <conditionalFormatting sqref="A545 D545:I545">
    <cfRule type="cellIs" dxfId="5875" priority="8791" stopIfTrue="1" operator="equal">
      <formula>"Fail"</formula>
    </cfRule>
    <cfRule type="cellIs" dxfId="5874" priority="8792" stopIfTrue="1" operator="equal">
      <formula>"Pass"</formula>
    </cfRule>
  </conditionalFormatting>
  <conditionalFormatting sqref="I545">
    <cfRule type="cellIs" dxfId="5873" priority="8789" stopIfTrue="1" operator="equal">
      <formula>"Fail"</formula>
    </cfRule>
    <cfRule type="cellIs" dxfId="5872" priority="8790" stopIfTrue="1" operator="equal">
      <formula>"Pass"</formula>
    </cfRule>
  </conditionalFormatting>
  <conditionalFormatting sqref="C545">
    <cfRule type="cellIs" dxfId="5871" priority="8787" stopIfTrue="1" operator="equal">
      <formula>"Fail"</formula>
    </cfRule>
    <cfRule type="cellIs" dxfId="5870" priority="8788" stopIfTrue="1" operator="equal">
      <formula>"Pass"</formula>
    </cfRule>
  </conditionalFormatting>
  <conditionalFormatting sqref="A410">
    <cfRule type="cellIs" dxfId="5869" priority="8705" stopIfTrue="1" operator="equal">
      <formula>"Fail"</formula>
    </cfRule>
    <cfRule type="cellIs" dxfId="5868" priority="8706" stopIfTrue="1" operator="equal">
      <formula>"Pass"</formula>
    </cfRule>
  </conditionalFormatting>
  <conditionalFormatting sqref="C410:I410">
    <cfRule type="cellIs" dxfId="5867" priority="8703" stopIfTrue="1" operator="equal">
      <formula>"Fail"</formula>
    </cfRule>
    <cfRule type="cellIs" dxfId="5866" priority="8704" stopIfTrue="1" operator="equal">
      <formula>"Pass"</formula>
    </cfRule>
  </conditionalFormatting>
  <conditionalFormatting sqref="B410">
    <cfRule type="cellIs" dxfId="5865" priority="8701" stopIfTrue="1" operator="equal">
      <formula>"Fail"</formula>
    </cfRule>
    <cfRule type="cellIs" dxfId="5864" priority="8702" stopIfTrue="1" operator="equal">
      <formula>"Pass"</formula>
    </cfRule>
  </conditionalFormatting>
  <conditionalFormatting sqref="I411">
    <cfRule type="cellIs" dxfId="5863" priority="8695" stopIfTrue="1" operator="equal">
      <formula>"Fail"</formula>
    </cfRule>
    <cfRule type="cellIs" dxfId="5862" priority="8696" stopIfTrue="1" operator="equal">
      <formula>"Pass"</formula>
    </cfRule>
  </conditionalFormatting>
  <conditionalFormatting sqref="C411">
    <cfRule type="cellIs" dxfId="5861" priority="8693" stopIfTrue="1" operator="equal">
      <formula>"Fail"</formula>
    </cfRule>
    <cfRule type="cellIs" dxfId="5860" priority="8694" stopIfTrue="1" operator="equal">
      <formula>"Pass"</formula>
    </cfRule>
  </conditionalFormatting>
  <conditionalFormatting sqref="C411:I411 A411">
    <cfRule type="cellIs" dxfId="5859" priority="8699" stopIfTrue="1" operator="equal">
      <formula>"Fail"</formula>
    </cfRule>
    <cfRule type="cellIs" dxfId="5858" priority="8700" stopIfTrue="1" operator="equal">
      <formula>"Pass"</formula>
    </cfRule>
  </conditionalFormatting>
  <conditionalFormatting sqref="D411:I411 A411">
    <cfRule type="cellIs" dxfId="5857" priority="8697" stopIfTrue="1" operator="equal">
      <formula>"Fail"</formula>
    </cfRule>
    <cfRule type="cellIs" dxfId="5856" priority="8698" stopIfTrue="1" operator="equal">
      <formula>"Pass"</formula>
    </cfRule>
  </conditionalFormatting>
  <conditionalFormatting sqref="I412">
    <cfRule type="cellIs" dxfId="5855" priority="8687" stopIfTrue="1" operator="equal">
      <formula>"Fail"</formula>
    </cfRule>
    <cfRule type="cellIs" dxfId="5854" priority="8688" stopIfTrue="1" operator="equal">
      <formula>"Pass"</formula>
    </cfRule>
  </conditionalFormatting>
  <conditionalFormatting sqref="C412">
    <cfRule type="cellIs" dxfId="5853" priority="8685" stopIfTrue="1" operator="equal">
      <formula>"Fail"</formula>
    </cfRule>
    <cfRule type="cellIs" dxfId="5852" priority="8686" stopIfTrue="1" operator="equal">
      <formula>"Pass"</formula>
    </cfRule>
  </conditionalFormatting>
  <conditionalFormatting sqref="C412:I412 A412">
    <cfRule type="cellIs" dxfId="5851" priority="8691" stopIfTrue="1" operator="equal">
      <formula>"Fail"</formula>
    </cfRule>
    <cfRule type="cellIs" dxfId="5850" priority="8692" stopIfTrue="1" operator="equal">
      <formula>"Pass"</formula>
    </cfRule>
  </conditionalFormatting>
  <conditionalFormatting sqref="D412:I412 A412">
    <cfRule type="cellIs" dxfId="5849" priority="8689" stopIfTrue="1" operator="equal">
      <formula>"Fail"</formula>
    </cfRule>
    <cfRule type="cellIs" dxfId="5848" priority="8690" stopIfTrue="1" operator="equal">
      <formula>"Pass"</formula>
    </cfRule>
  </conditionalFormatting>
  <conditionalFormatting sqref="I413">
    <cfRule type="cellIs" dxfId="5847" priority="8679" stopIfTrue="1" operator="equal">
      <formula>"Fail"</formula>
    </cfRule>
    <cfRule type="cellIs" dxfId="5846" priority="8680" stopIfTrue="1" operator="equal">
      <formula>"Pass"</formula>
    </cfRule>
  </conditionalFormatting>
  <conditionalFormatting sqref="C413">
    <cfRule type="cellIs" dxfId="5845" priority="8677" stopIfTrue="1" operator="equal">
      <formula>"Fail"</formula>
    </cfRule>
    <cfRule type="cellIs" dxfId="5844" priority="8678" stopIfTrue="1" operator="equal">
      <formula>"Pass"</formula>
    </cfRule>
  </conditionalFormatting>
  <conditionalFormatting sqref="C413:I413 A413">
    <cfRule type="cellIs" dxfId="5843" priority="8683" stopIfTrue="1" operator="equal">
      <formula>"Fail"</formula>
    </cfRule>
    <cfRule type="cellIs" dxfId="5842" priority="8684" stopIfTrue="1" operator="equal">
      <formula>"Pass"</formula>
    </cfRule>
  </conditionalFormatting>
  <conditionalFormatting sqref="D413:I413 A413">
    <cfRule type="cellIs" dxfId="5841" priority="8681" stopIfTrue="1" operator="equal">
      <formula>"Fail"</formula>
    </cfRule>
    <cfRule type="cellIs" dxfId="5840" priority="8682" stopIfTrue="1" operator="equal">
      <formula>"Pass"</formula>
    </cfRule>
  </conditionalFormatting>
  <conditionalFormatting sqref="C414:I414 A414">
    <cfRule type="cellIs" dxfId="5839" priority="8667" stopIfTrue="1" operator="equal">
      <formula>"Fail"</formula>
    </cfRule>
    <cfRule type="cellIs" dxfId="5838" priority="8668" stopIfTrue="1" operator="equal">
      <formula>"Pass"</formula>
    </cfRule>
  </conditionalFormatting>
  <conditionalFormatting sqref="D414:I414 A414">
    <cfRule type="cellIs" dxfId="5837" priority="8665" stopIfTrue="1" operator="equal">
      <formula>"Fail"</formula>
    </cfRule>
    <cfRule type="cellIs" dxfId="5836" priority="8666" stopIfTrue="1" operator="equal">
      <formula>"Pass"</formula>
    </cfRule>
  </conditionalFormatting>
  <conditionalFormatting sqref="I414">
    <cfRule type="cellIs" dxfId="5835" priority="8663" stopIfTrue="1" operator="equal">
      <formula>"Fail"</formula>
    </cfRule>
    <cfRule type="cellIs" dxfId="5834" priority="8664" stopIfTrue="1" operator="equal">
      <formula>"Pass"</formula>
    </cfRule>
  </conditionalFormatting>
  <conditionalFormatting sqref="C414">
    <cfRule type="cellIs" dxfId="5833" priority="8661" stopIfTrue="1" operator="equal">
      <formula>"Fail"</formula>
    </cfRule>
    <cfRule type="cellIs" dxfId="5832" priority="8662" stopIfTrue="1" operator="equal">
      <formula>"Pass"</formula>
    </cfRule>
  </conditionalFormatting>
  <conditionalFormatting sqref="A417:A418 C418:I418 C417:D417 F417:I417">
    <cfRule type="cellIs" dxfId="5831" priority="8651" stopIfTrue="1" operator="equal">
      <formula>"Fail"</formula>
    </cfRule>
    <cfRule type="cellIs" dxfId="5830" priority="8652" stopIfTrue="1" operator="equal">
      <formula>"Pass"</formula>
    </cfRule>
  </conditionalFormatting>
  <conditionalFormatting sqref="A418">
    <cfRule type="cellIs" dxfId="5829" priority="8647" stopIfTrue="1" operator="equal">
      <formula>"Fail"</formula>
    </cfRule>
    <cfRule type="cellIs" dxfId="5828" priority="8648" stopIfTrue="1" operator="equal">
      <formula>"Pass"</formula>
    </cfRule>
  </conditionalFormatting>
  <conditionalFormatting sqref="I418">
    <cfRule type="cellIs" dxfId="5827" priority="8641" stopIfTrue="1" operator="equal">
      <formula>"Fail"</formula>
    </cfRule>
    <cfRule type="cellIs" dxfId="5826" priority="8642" stopIfTrue="1" operator="equal">
      <formula>"Pass"</formula>
    </cfRule>
  </conditionalFormatting>
  <conditionalFormatting sqref="I418">
    <cfRule type="cellIs" dxfId="5825" priority="8645" stopIfTrue="1" operator="equal">
      <formula>"Fail"</formula>
    </cfRule>
    <cfRule type="cellIs" dxfId="5824" priority="8646" stopIfTrue="1" operator="equal">
      <formula>"Pass"</formula>
    </cfRule>
  </conditionalFormatting>
  <conditionalFormatting sqref="I418">
    <cfRule type="cellIs" dxfId="5823" priority="8643" stopIfTrue="1" operator="equal">
      <formula>"Fail"</formula>
    </cfRule>
    <cfRule type="cellIs" dxfId="5822" priority="8644" stopIfTrue="1" operator="equal">
      <formula>"Pass"</formula>
    </cfRule>
  </conditionalFormatting>
  <conditionalFormatting sqref="I417">
    <cfRule type="cellIs" dxfId="5821" priority="8635" stopIfTrue="1" operator="equal">
      <formula>"Fail"</formula>
    </cfRule>
    <cfRule type="cellIs" dxfId="5820" priority="8636" stopIfTrue="1" operator="equal">
      <formula>"Pass"</formula>
    </cfRule>
  </conditionalFormatting>
  <conditionalFormatting sqref="C417">
    <cfRule type="cellIs" dxfId="5819" priority="8633" stopIfTrue="1" operator="equal">
      <formula>"Fail"</formula>
    </cfRule>
    <cfRule type="cellIs" dxfId="5818" priority="8634" stopIfTrue="1" operator="equal">
      <formula>"Pass"</formula>
    </cfRule>
  </conditionalFormatting>
  <conditionalFormatting sqref="C417:D417 A417 F417:I417">
    <cfRule type="cellIs" dxfId="5817" priority="8639" stopIfTrue="1" operator="equal">
      <formula>"Fail"</formula>
    </cfRule>
    <cfRule type="cellIs" dxfId="5816" priority="8640" stopIfTrue="1" operator="equal">
      <formula>"Pass"</formula>
    </cfRule>
  </conditionalFormatting>
  <conditionalFormatting sqref="D417 A417 F417:I417">
    <cfRule type="cellIs" dxfId="5815" priority="8637" stopIfTrue="1" operator="equal">
      <formula>"Fail"</formula>
    </cfRule>
    <cfRule type="cellIs" dxfId="5814" priority="8638" stopIfTrue="1" operator="equal">
      <formula>"Pass"</formula>
    </cfRule>
  </conditionalFormatting>
  <conditionalFormatting sqref="B417">
    <cfRule type="cellIs" dxfId="5813" priority="8631" stopIfTrue="1" operator="equal">
      <formula>"Fail"</formula>
    </cfRule>
    <cfRule type="cellIs" dxfId="5812" priority="8632" stopIfTrue="1" operator="equal">
      <formula>"Pass"</formula>
    </cfRule>
  </conditionalFormatting>
  <conditionalFormatting sqref="E417">
    <cfRule type="cellIs" dxfId="5811" priority="8613" stopIfTrue="1" operator="equal">
      <formula>"Fail"</formula>
    </cfRule>
    <cfRule type="cellIs" dxfId="5810" priority="8614" stopIfTrue="1" operator="equal">
      <formula>"Pass"</formula>
    </cfRule>
  </conditionalFormatting>
  <conditionalFormatting sqref="A429 C429:I429">
    <cfRule type="cellIs" dxfId="5809" priority="8603" stopIfTrue="1" operator="equal">
      <formula>"Fail"</formula>
    </cfRule>
    <cfRule type="cellIs" dxfId="5808" priority="8604" stopIfTrue="1" operator="equal">
      <formula>"Pass"</formula>
    </cfRule>
  </conditionalFormatting>
  <conditionalFormatting sqref="F422:H422">
    <cfRule type="cellIs" dxfId="5807" priority="8601" stopIfTrue="1" operator="equal">
      <formula>"Fail"</formula>
    </cfRule>
    <cfRule type="cellIs" dxfId="5806" priority="8602" stopIfTrue="1" operator="equal">
      <formula>"Pass"</formula>
    </cfRule>
  </conditionalFormatting>
  <conditionalFormatting sqref="F422:H422">
    <cfRule type="cellIs" dxfId="5805" priority="8599" stopIfTrue="1" operator="equal">
      <formula>"Fail"</formula>
    </cfRule>
    <cfRule type="cellIs" dxfId="5804" priority="8600" stopIfTrue="1" operator="equal">
      <formula>"Pass"</formula>
    </cfRule>
  </conditionalFormatting>
  <conditionalFormatting sqref="I422">
    <cfRule type="cellIs" dxfId="5803" priority="8583" stopIfTrue="1" operator="equal">
      <formula>"Fail"</formula>
    </cfRule>
    <cfRule type="cellIs" dxfId="5802" priority="8584" stopIfTrue="1" operator="equal">
      <formula>"Pass"</formula>
    </cfRule>
  </conditionalFormatting>
  <conditionalFormatting sqref="I422">
    <cfRule type="cellIs" dxfId="5801" priority="8587" stopIfTrue="1" operator="equal">
      <formula>"Fail"</formula>
    </cfRule>
    <cfRule type="cellIs" dxfId="5800" priority="8588" stopIfTrue="1" operator="equal">
      <formula>"Pass"</formula>
    </cfRule>
  </conditionalFormatting>
  <conditionalFormatting sqref="I422">
    <cfRule type="cellIs" dxfId="5799" priority="8585" stopIfTrue="1" operator="equal">
      <formula>"Fail"</formula>
    </cfRule>
    <cfRule type="cellIs" dxfId="5798" priority="8586" stopIfTrue="1" operator="equal">
      <formula>"Pass"</formula>
    </cfRule>
  </conditionalFormatting>
  <conditionalFormatting sqref="E422 I422">
    <cfRule type="cellIs" dxfId="5797" priority="8581" stopIfTrue="1" operator="equal">
      <formula>"Fail"</formula>
    </cfRule>
    <cfRule type="cellIs" dxfId="5796" priority="8582" stopIfTrue="1" operator="equal">
      <formula>"Pass"</formula>
    </cfRule>
  </conditionalFormatting>
  <conditionalFormatting sqref="A423 D423:I423">
    <cfRule type="cellIs" dxfId="5795" priority="8577" stopIfTrue="1" operator="equal">
      <formula>"Fail"</formula>
    </cfRule>
    <cfRule type="cellIs" dxfId="5794" priority="8578" stopIfTrue="1" operator="equal">
      <formula>"Pass"</formula>
    </cfRule>
  </conditionalFormatting>
  <conditionalFormatting sqref="A423 C423:I423">
    <cfRule type="cellIs" dxfId="5793" priority="8579" stopIfTrue="1" operator="equal">
      <formula>"Fail"</formula>
    </cfRule>
    <cfRule type="cellIs" dxfId="5792" priority="8580" stopIfTrue="1" operator="equal">
      <formula>"Pass"</formula>
    </cfRule>
  </conditionalFormatting>
  <conditionalFormatting sqref="I423">
    <cfRule type="cellIs" dxfId="5791" priority="8575" stopIfTrue="1" operator="equal">
      <formula>"Fail"</formula>
    </cfRule>
    <cfRule type="cellIs" dxfId="5790" priority="8576" stopIfTrue="1" operator="equal">
      <formula>"Pass"</formula>
    </cfRule>
  </conditionalFormatting>
  <conditionalFormatting sqref="C423">
    <cfRule type="cellIs" dxfId="5789" priority="8573" stopIfTrue="1" operator="equal">
      <formula>"Fail"</formula>
    </cfRule>
    <cfRule type="cellIs" dxfId="5788" priority="8574" stopIfTrue="1" operator="equal">
      <formula>"Pass"</formula>
    </cfRule>
  </conditionalFormatting>
  <conditionalFormatting sqref="B423">
    <cfRule type="cellIs" dxfId="5787" priority="8571" stopIfTrue="1" operator="equal">
      <formula>"Fail"</formula>
    </cfRule>
    <cfRule type="cellIs" dxfId="5786" priority="8572" stopIfTrue="1" operator="equal">
      <formula>"Pass"</formula>
    </cfRule>
  </conditionalFormatting>
  <conditionalFormatting sqref="A427 D427:I427">
    <cfRule type="cellIs" dxfId="5785" priority="8567" stopIfTrue="1" operator="equal">
      <formula>"Fail"</formula>
    </cfRule>
    <cfRule type="cellIs" dxfId="5784" priority="8568" stopIfTrue="1" operator="equal">
      <formula>"Pass"</formula>
    </cfRule>
  </conditionalFormatting>
  <conditionalFormatting sqref="A427 C427:I427">
    <cfRule type="cellIs" dxfId="5783" priority="8569" stopIfTrue="1" operator="equal">
      <formula>"Fail"</formula>
    </cfRule>
    <cfRule type="cellIs" dxfId="5782" priority="8570" stopIfTrue="1" operator="equal">
      <formula>"Pass"</formula>
    </cfRule>
  </conditionalFormatting>
  <conditionalFormatting sqref="I427">
    <cfRule type="cellIs" dxfId="5781" priority="8565" stopIfTrue="1" operator="equal">
      <formula>"Fail"</formula>
    </cfRule>
    <cfRule type="cellIs" dxfId="5780" priority="8566" stopIfTrue="1" operator="equal">
      <formula>"Pass"</formula>
    </cfRule>
  </conditionalFormatting>
  <conditionalFormatting sqref="C427">
    <cfRule type="cellIs" dxfId="5779" priority="8563" stopIfTrue="1" operator="equal">
      <formula>"Fail"</formula>
    </cfRule>
    <cfRule type="cellIs" dxfId="5778" priority="8564" stopIfTrue="1" operator="equal">
      <formula>"Pass"</formula>
    </cfRule>
  </conditionalFormatting>
  <conditionalFormatting sqref="B427">
    <cfRule type="cellIs" dxfId="5777" priority="8561" stopIfTrue="1" operator="equal">
      <formula>"Fail"</formula>
    </cfRule>
    <cfRule type="cellIs" dxfId="5776" priority="8562" stopIfTrue="1" operator="equal">
      <formula>"Pass"</formula>
    </cfRule>
  </conditionalFormatting>
  <conditionalFormatting sqref="F424:H424">
    <cfRule type="cellIs" dxfId="5775" priority="8559" stopIfTrue="1" operator="equal">
      <formula>"Fail"</formula>
    </cfRule>
    <cfRule type="cellIs" dxfId="5774" priority="8560" stopIfTrue="1" operator="equal">
      <formula>"Pass"</formula>
    </cfRule>
  </conditionalFormatting>
  <conditionalFormatting sqref="F424:H424">
    <cfRule type="cellIs" dxfId="5773" priority="8557" stopIfTrue="1" operator="equal">
      <formula>"Fail"</formula>
    </cfRule>
    <cfRule type="cellIs" dxfId="5772" priority="8558" stopIfTrue="1" operator="equal">
      <formula>"Pass"</formula>
    </cfRule>
  </conditionalFormatting>
  <conditionalFormatting sqref="I424">
    <cfRule type="cellIs" dxfId="5771" priority="8551" stopIfTrue="1" operator="equal">
      <formula>"Fail"</formula>
    </cfRule>
    <cfRule type="cellIs" dxfId="5770" priority="8552" stopIfTrue="1" operator="equal">
      <formula>"Pass"</formula>
    </cfRule>
  </conditionalFormatting>
  <conditionalFormatting sqref="I424">
    <cfRule type="cellIs" dxfId="5769" priority="8555" stopIfTrue="1" operator="equal">
      <formula>"Fail"</formula>
    </cfRule>
    <cfRule type="cellIs" dxfId="5768" priority="8556" stopIfTrue="1" operator="equal">
      <formula>"Pass"</formula>
    </cfRule>
  </conditionalFormatting>
  <conditionalFormatting sqref="I424">
    <cfRule type="cellIs" dxfId="5767" priority="8553" stopIfTrue="1" operator="equal">
      <formula>"Fail"</formula>
    </cfRule>
    <cfRule type="cellIs" dxfId="5766" priority="8554" stopIfTrue="1" operator="equal">
      <formula>"Pass"</formula>
    </cfRule>
  </conditionalFormatting>
  <conditionalFormatting sqref="E424 I424">
    <cfRule type="cellIs" dxfId="5765" priority="8549" stopIfTrue="1" operator="equal">
      <formula>"Fail"</formula>
    </cfRule>
    <cfRule type="cellIs" dxfId="5764" priority="8550" stopIfTrue="1" operator="equal">
      <formula>"Pass"</formula>
    </cfRule>
  </conditionalFormatting>
  <conditionalFormatting sqref="F428:H428">
    <cfRule type="cellIs" dxfId="5763" priority="8547" stopIfTrue="1" operator="equal">
      <formula>"Fail"</formula>
    </cfRule>
    <cfRule type="cellIs" dxfId="5762" priority="8548" stopIfTrue="1" operator="equal">
      <formula>"Pass"</formula>
    </cfRule>
  </conditionalFormatting>
  <conditionalFormatting sqref="F428:H428">
    <cfRule type="cellIs" dxfId="5761" priority="8545" stopIfTrue="1" operator="equal">
      <formula>"Fail"</formula>
    </cfRule>
    <cfRule type="cellIs" dxfId="5760" priority="8546" stopIfTrue="1" operator="equal">
      <formula>"Pass"</formula>
    </cfRule>
  </conditionalFormatting>
  <conditionalFormatting sqref="I428">
    <cfRule type="cellIs" dxfId="5759" priority="8539" stopIfTrue="1" operator="equal">
      <formula>"Fail"</formula>
    </cfRule>
    <cfRule type="cellIs" dxfId="5758" priority="8540" stopIfTrue="1" operator="equal">
      <formula>"Pass"</formula>
    </cfRule>
  </conditionalFormatting>
  <conditionalFormatting sqref="I428">
    <cfRule type="cellIs" dxfId="5757" priority="8543" stopIfTrue="1" operator="equal">
      <formula>"Fail"</formula>
    </cfRule>
    <cfRule type="cellIs" dxfId="5756" priority="8544" stopIfTrue="1" operator="equal">
      <formula>"Pass"</formula>
    </cfRule>
  </conditionalFormatting>
  <conditionalFormatting sqref="I428">
    <cfRule type="cellIs" dxfId="5755" priority="8541" stopIfTrue="1" operator="equal">
      <formula>"Fail"</formula>
    </cfRule>
    <cfRule type="cellIs" dxfId="5754" priority="8542" stopIfTrue="1" operator="equal">
      <formula>"Pass"</formula>
    </cfRule>
  </conditionalFormatting>
  <conditionalFormatting sqref="E428 I428">
    <cfRule type="cellIs" dxfId="5753" priority="8537" stopIfTrue="1" operator="equal">
      <formula>"Fail"</formula>
    </cfRule>
    <cfRule type="cellIs" dxfId="5752" priority="8538" stopIfTrue="1" operator="equal">
      <formula>"Pass"</formula>
    </cfRule>
  </conditionalFormatting>
  <conditionalFormatting sqref="B429">
    <cfRule type="cellIs" dxfId="5751" priority="8535" stopIfTrue="1" operator="equal">
      <formula>"Fail"</formula>
    </cfRule>
    <cfRule type="cellIs" dxfId="5750" priority="8536" stopIfTrue="1" operator="equal">
      <formula>"Pass"</formula>
    </cfRule>
  </conditionalFormatting>
  <conditionalFormatting sqref="I430">
    <cfRule type="cellIs" dxfId="5749" priority="8525" stopIfTrue="1" operator="equal">
      <formula>"Fail"</formula>
    </cfRule>
    <cfRule type="cellIs" dxfId="5748" priority="8526" stopIfTrue="1" operator="equal">
      <formula>"Pass"</formula>
    </cfRule>
  </conditionalFormatting>
  <conditionalFormatting sqref="C430">
    <cfRule type="cellIs" dxfId="5747" priority="8523" stopIfTrue="1" operator="equal">
      <formula>"Fail"</formula>
    </cfRule>
    <cfRule type="cellIs" dxfId="5746" priority="8524" stopIfTrue="1" operator="equal">
      <formula>"Pass"</formula>
    </cfRule>
  </conditionalFormatting>
  <conditionalFormatting sqref="C430:I430 A430">
    <cfRule type="cellIs" dxfId="5745" priority="8529" stopIfTrue="1" operator="equal">
      <formula>"Fail"</formula>
    </cfRule>
    <cfRule type="cellIs" dxfId="5744" priority="8530" stopIfTrue="1" operator="equal">
      <formula>"Pass"</formula>
    </cfRule>
  </conditionalFormatting>
  <conditionalFormatting sqref="D430:I430 A430">
    <cfRule type="cellIs" dxfId="5743" priority="8527" stopIfTrue="1" operator="equal">
      <formula>"Fail"</formula>
    </cfRule>
    <cfRule type="cellIs" dxfId="5742" priority="8528" stopIfTrue="1" operator="equal">
      <formula>"Pass"</formula>
    </cfRule>
  </conditionalFormatting>
  <conditionalFormatting sqref="I431">
    <cfRule type="cellIs" dxfId="5741" priority="8517" stopIfTrue="1" operator="equal">
      <formula>"Fail"</formula>
    </cfRule>
    <cfRule type="cellIs" dxfId="5740" priority="8518" stopIfTrue="1" operator="equal">
      <formula>"Pass"</formula>
    </cfRule>
  </conditionalFormatting>
  <conditionalFormatting sqref="C431">
    <cfRule type="cellIs" dxfId="5739" priority="8515" stopIfTrue="1" operator="equal">
      <formula>"Fail"</formula>
    </cfRule>
    <cfRule type="cellIs" dxfId="5738" priority="8516" stopIfTrue="1" operator="equal">
      <formula>"Pass"</formula>
    </cfRule>
  </conditionalFormatting>
  <conditionalFormatting sqref="C431:I431 A431">
    <cfRule type="cellIs" dxfId="5737" priority="8521" stopIfTrue="1" operator="equal">
      <formula>"Fail"</formula>
    </cfRule>
    <cfRule type="cellIs" dxfId="5736" priority="8522" stopIfTrue="1" operator="equal">
      <formula>"Pass"</formula>
    </cfRule>
  </conditionalFormatting>
  <conditionalFormatting sqref="D431:I431 A431">
    <cfRule type="cellIs" dxfId="5735" priority="8519" stopIfTrue="1" operator="equal">
      <formula>"Fail"</formula>
    </cfRule>
    <cfRule type="cellIs" dxfId="5734" priority="8520" stopIfTrue="1" operator="equal">
      <formula>"Pass"</formula>
    </cfRule>
  </conditionalFormatting>
  <conditionalFormatting sqref="I432">
    <cfRule type="cellIs" dxfId="5733" priority="8509" stopIfTrue="1" operator="equal">
      <formula>"Fail"</formula>
    </cfRule>
    <cfRule type="cellIs" dxfId="5732" priority="8510" stopIfTrue="1" operator="equal">
      <formula>"Pass"</formula>
    </cfRule>
  </conditionalFormatting>
  <conditionalFormatting sqref="C432">
    <cfRule type="cellIs" dxfId="5731" priority="8507" stopIfTrue="1" operator="equal">
      <formula>"Fail"</formula>
    </cfRule>
    <cfRule type="cellIs" dxfId="5730" priority="8508" stopIfTrue="1" operator="equal">
      <formula>"Pass"</formula>
    </cfRule>
  </conditionalFormatting>
  <conditionalFormatting sqref="C432:I432 A432">
    <cfRule type="cellIs" dxfId="5729" priority="8513" stopIfTrue="1" operator="equal">
      <formula>"Fail"</formula>
    </cfRule>
    <cfRule type="cellIs" dxfId="5728" priority="8514" stopIfTrue="1" operator="equal">
      <formula>"Pass"</formula>
    </cfRule>
  </conditionalFormatting>
  <conditionalFormatting sqref="D432:I432 A432">
    <cfRule type="cellIs" dxfId="5727" priority="8511" stopIfTrue="1" operator="equal">
      <formula>"Fail"</formula>
    </cfRule>
    <cfRule type="cellIs" dxfId="5726" priority="8512" stopIfTrue="1" operator="equal">
      <formula>"Pass"</formula>
    </cfRule>
  </conditionalFormatting>
  <conditionalFormatting sqref="I433">
    <cfRule type="cellIs" dxfId="5725" priority="8501" stopIfTrue="1" operator="equal">
      <formula>"Fail"</formula>
    </cfRule>
    <cfRule type="cellIs" dxfId="5724" priority="8502" stopIfTrue="1" operator="equal">
      <formula>"Pass"</formula>
    </cfRule>
  </conditionalFormatting>
  <conditionalFormatting sqref="C433">
    <cfRule type="cellIs" dxfId="5723" priority="8499" stopIfTrue="1" operator="equal">
      <formula>"Fail"</formula>
    </cfRule>
    <cfRule type="cellIs" dxfId="5722" priority="8500" stopIfTrue="1" operator="equal">
      <formula>"Pass"</formula>
    </cfRule>
  </conditionalFormatting>
  <conditionalFormatting sqref="C433:I433 A433">
    <cfRule type="cellIs" dxfId="5721" priority="8505" stopIfTrue="1" operator="equal">
      <formula>"Fail"</formula>
    </cfRule>
    <cfRule type="cellIs" dxfId="5720" priority="8506" stopIfTrue="1" operator="equal">
      <formula>"Pass"</formula>
    </cfRule>
  </conditionalFormatting>
  <conditionalFormatting sqref="D433:I433 A433">
    <cfRule type="cellIs" dxfId="5719" priority="8503" stopIfTrue="1" operator="equal">
      <formula>"Fail"</formula>
    </cfRule>
    <cfRule type="cellIs" dxfId="5718" priority="8504" stopIfTrue="1" operator="equal">
      <formula>"Pass"</formula>
    </cfRule>
  </conditionalFormatting>
  <conditionalFormatting sqref="A434 D434:I434">
    <cfRule type="cellIs" dxfId="5717" priority="8495" stopIfTrue="1" operator="equal">
      <formula>"Fail"</formula>
    </cfRule>
    <cfRule type="cellIs" dxfId="5716" priority="8496" stopIfTrue="1" operator="equal">
      <formula>"Pass"</formula>
    </cfRule>
  </conditionalFormatting>
  <conditionalFormatting sqref="A434 C434:I434">
    <cfRule type="cellIs" dxfId="5715" priority="8497" stopIfTrue="1" operator="equal">
      <formula>"Fail"</formula>
    </cfRule>
    <cfRule type="cellIs" dxfId="5714" priority="8498" stopIfTrue="1" operator="equal">
      <formula>"Pass"</formula>
    </cfRule>
  </conditionalFormatting>
  <conditionalFormatting sqref="I434">
    <cfRule type="cellIs" dxfId="5713" priority="8493" stopIfTrue="1" operator="equal">
      <formula>"Fail"</formula>
    </cfRule>
    <cfRule type="cellIs" dxfId="5712" priority="8494" stopIfTrue="1" operator="equal">
      <formula>"Pass"</formula>
    </cfRule>
  </conditionalFormatting>
  <conditionalFormatting sqref="C434">
    <cfRule type="cellIs" dxfId="5711" priority="8491" stopIfTrue="1" operator="equal">
      <formula>"Fail"</formula>
    </cfRule>
    <cfRule type="cellIs" dxfId="5710" priority="8492" stopIfTrue="1" operator="equal">
      <formula>"Pass"</formula>
    </cfRule>
  </conditionalFormatting>
  <conditionalFormatting sqref="A444">
    <cfRule type="cellIs" dxfId="5709" priority="8489" stopIfTrue="1" operator="equal">
      <formula>"Fail"</formula>
    </cfRule>
    <cfRule type="cellIs" dxfId="5708" priority="8490" stopIfTrue="1" operator="equal">
      <formula>"Pass"</formula>
    </cfRule>
  </conditionalFormatting>
  <conditionalFormatting sqref="C444">
    <cfRule type="cellIs" dxfId="5707" priority="8485" stopIfTrue="1" operator="equal">
      <formula>"Fail"</formula>
    </cfRule>
    <cfRule type="cellIs" dxfId="5706" priority="8486" stopIfTrue="1" operator="equal">
      <formula>"Pass"</formula>
    </cfRule>
  </conditionalFormatting>
  <conditionalFormatting sqref="C444">
    <cfRule type="cellIs" dxfId="5705" priority="8479" stopIfTrue="1" operator="equal">
      <formula>"Fail"</formula>
    </cfRule>
    <cfRule type="cellIs" dxfId="5704" priority="8480" stopIfTrue="1" operator="equal">
      <formula>"Pass"</formula>
    </cfRule>
  </conditionalFormatting>
  <conditionalFormatting sqref="A444 C444:D444 F444:H444">
    <cfRule type="cellIs" dxfId="5703" priority="8483" stopIfTrue="1" operator="equal">
      <formula>"Fail"</formula>
    </cfRule>
    <cfRule type="cellIs" dxfId="5702" priority="8484" stopIfTrue="1" operator="equal">
      <formula>"Pass"</formula>
    </cfRule>
  </conditionalFormatting>
  <conditionalFormatting sqref="A444 D444 F444:H444">
    <cfRule type="cellIs" dxfId="5701" priority="8481" stopIfTrue="1" operator="equal">
      <formula>"Fail"</formula>
    </cfRule>
    <cfRule type="cellIs" dxfId="5700" priority="8482" stopIfTrue="1" operator="equal">
      <formula>"Pass"</formula>
    </cfRule>
  </conditionalFormatting>
  <conditionalFormatting sqref="I444">
    <cfRule type="cellIs" dxfId="5699" priority="8473" stopIfTrue="1" operator="equal">
      <formula>"Fail"</formula>
    </cfRule>
    <cfRule type="cellIs" dxfId="5698" priority="8474" stopIfTrue="1" operator="equal">
      <formula>"Pass"</formula>
    </cfRule>
  </conditionalFormatting>
  <conditionalFormatting sqref="I444">
    <cfRule type="cellIs" dxfId="5697" priority="8477" stopIfTrue="1" operator="equal">
      <formula>"Fail"</formula>
    </cfRule>
    <cfRule type="cellIs" dxfId="5696" priority="8478" stopIfTrue="1" operator="equal">
      <formula>"Pass"</formula>
    </cfRule>
  </conditionalFormatting>
  <conditionalFormatting sqref="I444">
    <cfRule type="cellIs" dxfId="5695" priority="8475" stopIfTrue="1" operator="equal">
      <formula>"Fail"</formula>
    </cfRule>
    <cfRule type="cellIs" dxfId="5694" priority="8476" stopIfTrue="1" operator="equal">
      <formula>"Pass"</formula>
    </cfRule>
  </conditionalFormatting>
  <conditionalFormatting sqref="C446">
    <cfRule type="cellIs" dxfId="5693" priority="8459" stopIfTrue="1" operator="equal">
      <formula>"Fail"</formula>
    </cfRule>
    <cfRule type="cellIs" dxfId="5692" priority="8460" stopIfTrue="1" operator="equal">
      <formula>"Pass"</formula>
    </cfRule>
  </conditionalFormatting>
  <conditionalFormatting sqref="A445 C445:I445">
    <cfRule type="cellIs" dxfId="5691" priority="8457" stopIfTrue="1" operator="equal">
      <formula>"Fail"</formula>
    </cfRule>
    <cfRule type="cellIs" dxfId="5690" priority="8458" stopIfTrue="1" operator="equal">
      <formula>"Pass"</formula>
    </cfRule>
  </conditionalFormatting>
  <conditionalFormatting sqref="B445">
    <cfRule type="cellIs" dxfId="5689" priority="8455" stopIfTrue="1" operator="equal">
      <formula>"Fail"</formula>
    </cfRule>
    <cfRule type="cellIs" dxfId="5688" priority="8456" stopIfTrue="1" operator="equal">
      <formula>"Pass"</formula>
    </cfRule>
  </conditionalFormatting>
  <conditionalFormatting sqref="I447">
    <cfRule type="cellIs" dxfId="5687" priority="8447" stopIfTrue="1" operator="equal">
      <formula>"Fail"</formula>
    </cfRule>
    <cfRule type="cellIs" dxfId="5686" priority="8448" stopIfTrue="1" operator="equal">
      <formula>"Pass"</formula>
    </cfRule>
  </conditionalFormatting>
  <conditionalFormatting sqref="I447">
    <cfRule type="cellIs" dxfId="5685" priority="8451" stopIfTrue="1" operator="equal">
      <formula>"Fail"</formula>
    </cfRule>
    <cfRule type="cellIs" dxfId="5684" priority="8452" stopIfTrue="1" operator="equal">
      <formula>"Pass"</formula>
    </cfRule>
  </conditionalFormatting>
  <conditionalFormatting sqref="I447">
    <cfRule type="cellIs" dxfId="5683" priority="8449" stopIfTrue="1" operator="equal">
      <formula>"Fail"</formula>
    </cfRule>
    <cfRule type="cellIs" dxfId="5682" priority="8450" stopIfTrue="1" operator="equal">
      <formula>"Pass"</formula>
    </cfRule>
  </conditionalFormatting>
  <conditionalFormatting sqref="A447">
    <cfRule type="cellIs" dxfId="5681" priority="8453" stopIfTrue="1" operator="equal">
      <formula>"Fail"</formula>
    </cfRule>
    <cfRule type="cellIs" dxfId="5680" priority="8454" stopIfTrue="1" operator="equal">
      <formula>"Pass"</formula>
    </cfRule>
  </conditionalFormatting>
  <conditionalFormatting sqref="C447">
    <cfRule type="cellIs" dxfId="5679" priority="8443" stopIfTrue="1" operator="equal">
      <formula>"Fail"</formula>
    </cfRule>
    <cfRule type="cellIs" dxfId="5678" priority="8444" stopIfTrue="1" operator="equal">
      <formula>"Pass"</formula>
    </cfRule>
  </conditionalFormatting>
  <conditionalFormatting sqref="A448 C448:I448">
    <cfRule type="cellIs" dxfId="5677" priority="8441" stopIfTrue="1" operator="equal">
      <formula>"Fail"</formula>
    </cfRule>
    <cfRule type="cellIs" dxfId="5676" priority="8442" stopIfTrue="1" operator="equal">
      <formula>"Pass"</formula>
    </cfRule>
  </conditionalFormatting>
  <conditionalFormatting sqref="B448">
    <cfRule type="cellIs" dxfId="5675" priority="8439" stopIfTrue="1" operator="equal">
      <formula>"Fail"</formula>
    </cfRule>
    <cfRule type="cellIs" dxfId="5674" priority="8440" stopIfTrue="1" operator="equal">
      <formula>"Pass"</formula>
    </cfRule>
  </conditionalFormatting>
  <conditionalFormatting sqref="B436">
    <cfRule type="cellIs" dxfId="5673" priority="8437" stopIfTrue="1" operator="equal">
      <formula>"Fail"</formula>
    </cfRule>
    <cfRule type="cellIs" dxfId="5672" priority="8438" stopIfTrue="1" operator="equal">
      <formula>"Pass"</formula>
    </cfRule>
  </conditionalFormatting>
  <conditionalFormatting sqref="A436">
    <cfRule type="cellIs" dxfId="5671" priority="8435" stopIfTrue="1" operator="equal">
      <formula>"Fail"</formula>
    </cfRule>
    <cfRule type="cellIs" dxfId="5670" priority="8436" stopIfTrue="1" operator="equal">
      <formula>"Pass"</formula>
    </cfRule>
  </conditionalFormatting>
  <conditionalFormatting sqref="I435">
    <cfRule type="cellIs" dxfId="5669" priority="8429" stopIfTrue="1" operator="equal">
      <formula>"Fail"</formula>
    </cfRule>
    <cfRule type="cellIs" dxfId="5668" priority="8430" stopIfTrue="1" operator="equal">
      <formula>"Pass"</formula>
    </cfRule>
  </conditionalFormatting>
  <conditionalFormatting sqref="C435">
    <cfRule type="cellIs" dxfId="5667" priority="8427" stopIfTrue="1" operator="equal">
      <formula>"Fail"</formula>
    </cfRule>
    <cfRule type="cellIs" dxfId="5666" priority="8428" stopIfTrue="1" operator="equal">
      <formula>"Pass"</formula>
    </cfRule>
  </conditionalFormatting>
  <conditionalFormatting sqref="A435 C435:D435 F435:I435">
    <cfRule type="cellIs" dxfId="5665" priority="8433" stopIfTrue="1" operator="equal">
      <formula>"Fail"</formula>
    </cfRule>
    <cfRule type="cellIs" dxfId="5664" priority="8434" stopIfTrue="1" operator="equal">
      <formula>"Pass"</formula>
    </cfRule>
  </conditionalFormatting>
  <conditionalFormatting sqref="A435 D435 F435:I435">
    <cfRule type="cellIs" dxfId="5663" priority="8431" stopIfTrue="1" operator="equal">
      <formula>"Fail"</formula>
    </cfRule>
    <cfRule type="cellIs" dxfId="5662" priority="8432" stopIfTrue="1" operator="equal">
      <formula>"Pass"</formula>
    </cfRule>
  </conditionalFormatting>
  <conditionalFormatting sqref="C436">
    <cfRule type="cellIs" dxfId="5661" priority="8425" stopIfTrue="1" operator="equal">
      <formula>"Fail"</formula>
    </cfRule>
    <cfRule type="cellIs" dxfId="5660" priority="8426" stopIfTrue="1" operator="equal">
      <formula>"Pass"</formula>
    </cfRule>
  </conditionalFormatting>
  <conditionalFormatting sqref="I436">
    <cfRule type="cellIs" dxfId="5659" priority="8419" stopIfTrue="1" operator="equal">
      <formula>"Fail"</formula>
    </cfRule>
    <cfRule type="cellIs" dxfId="5658" priority="8420" stopIfTrue="1" operator="equal">
      <formula>"Pass"</formula>
    </cfRule>
  </conditionalFormatting>
  <conditionalFormatting sqref="I436">
    <cfRule type="cellIs" dxfId="5657" priority="8423" stopIfTrue="1" operator="equal">
      <formula>"Fail"</formula>
    </cfRule>
    <cfRule type="cellIs" dxfId="5656" priority="8424" stopIfTrue="1" operator="equal">
      <formula>"Pass"</formula>
    </cfRule>
  </conditionalFormatting>
  <conditionalFormatting sqref="I436">
    <cfRule type="cellIs" dxfId="5655" priority="8421" stopIfTrue="1" operator="equal">
      <formula>"Fail"</formula>
    </cfRule>
    <cfRule type="cellIs" dxfId="5654" priority="8422" stopIfTrue="1" operator="equal">
      <formula>"Pass"</formula>
    </cfRule>
  </conditionalFormatting>
  <conditionalFormatting sqref="D489:I489 A489">
    <cfRule type="cellIs" dxfId="5653" priority="8389" stopIfTrue="1" operator="equal">
      <formula>"Fail"</formula>
    </cfRule>
    <cfRule type="cellIs" dxfId="5652" priority="8390" stopIfTrue="1" operator="equal">
      <formula>"Pass"</formula>
    </cfRule>
  </conditionalFormatting>
  <conditionalFormatting sqref="C439">
    <cfRule type="cellIs" dxfId="5651" priority="8403" stopIfTrue="1" operator="equal">
      <formula>"Fail"</formula>
    </cfRule>
    <cfRule type="cellIs" dxfId="5650" priority="8404" stopIfTrue="1" operator="equal">
      <formula>"Pass"</formula>
    </cfRule>
  </conditionalFormatting>
  <conditionalFormatting sqref="C489:I489 A489">
    <cfRule type="cellIs" dxfId="5649" priority="8391" stopIfTrue="1" operator="equal">
      <formula>"Fail"</formula>
    </cfRule>
    <cfRule type="cellIs" dxfId="5648" priority="8392" stopIfTrue="1" operator="equal">
      <formula>"Pass"</formula>
    </cfRule>
  </conditionalFormatting>
  <conditionalFormatting sqref="A439">
    <cfRule type="cellIs" dxfId="5647" priority="8413" stopIfTrue="1" operator="equal">
      <formula>"Fail"</formula>
    </cfRule>
    <cfRule type="cellIs" dxfId="5646" priority="8414" stopIfTrue="1" operator="equal">
      <formula>"Pass"</formula>
    </cfRule>
  </conditionalFormatting>
  <conditionalFormatting sqref="I439">
    <cfRule type="cellIs" dxfId="5645" priority="8407" stopIfTrue="1" operator="equal">
      <formula>"Fail"</formula>
    </cfRule>
    <cfRule type="cellIs" dxfId="5644" priority="8408" stopIfTrue="1" operator="equal">
      <formula>"Pass"</formula>
    </cfRule>
  </conditionalFormatting>
  <conditionalFormatting sqref="I439">
    <cfRule type="cellIs" dxfId="5643" priority="8411" stopIfTrue="1" operator="equal">
      <formula>"Fail"</formula>
    </cfRule>
    <cfRule type="cellIs" dxfId="5642" priority="8412" stopIfTrue="1" operator="equal">
      <formula>"Pass"</formula>
    </cfRule>
  </conditionalFormatting>
  <conditionalFormatting sqref="I439">
    <cfRule type="cellIs" dxfId="5641" priority="8409" stopIfTrue="1" operator="equal">
      <formula>"Fail"</formula>
    </cfRule>
    <cfRule type="cellIs" dxfId="5640" priority="8410" stopIfTrue="1" operator="equal">
      <formula>"Pass"</formula>
    </cfRule>
  </conditionalFormatting>
  <conditionalFormatting sqref="B439">
    <cfRule type="cellIs" dxfId="5639" priority="8405" stopIfTrue="1" operator="equal">
      <formula>"Fail"</formula>
    </cfRule>
    <cfRule type="cellIs" dxfId="5638" priority="8406" stopIfTrue="1" operator="equal">
      <formula>"Pass"</formula>
    </cfRule>
  </conditionalFormatting>
  <conditionalFormatting sqref="C438">
    <cfRule type="cellIs" dxfId="5637" priority="8399" stopIfTrue="1" operator="equal">
      <formula>"Fail"</formula>
    </cfRule>
    <cfRule type="cellIs" dxfId="5636" priority="8400" stopIfTrue="1" operator="equal">
      <formula>"Pass"</formula>
    </cfRule>
  </conditionalFormatting>
  <conditionalFormatting sqref="A438">
    <cfRule type="cellIs" dxfId="5635" priority="8397" stopIfTrue="1" operator="equal">
      <formula>"Fail"</formula>
    </cfRule>
    <cfRule type="cellIs" dxfId="5634" priority="8398" stopIfTrue="1" operator="equal">
      <formula>"Pass"</formula>
    </cfRule>
  </conditionalFormatting>
  <conditionalFormatting sqref="A437 C437:I437">
    <cfRule type="cellIs" dxfId="5633" priority="8395" stopIfTrue="1" operator="equal">
      <formula>"Fail"</formula>
    </cfRule>
    <cfRule type="cellIs" dxfId="5632" priority="8396" stopIfTrue="1" operator="equal">
      <formula>"Pass"</formula>
    </cfRule>
  </conditionalFormatting>
  <conditionalFormatting sqref="B437">
    <cfRule type="cellIs" dxfId="5631" priority="8393" stopIfTrue="1" operator="equal">
      <formula>"Fail"</formula>
    </cfRule>
    <cfRule type="cellIs" dxfId="5630" priority="8394" stopIfTrue="1" operator="equal">
      <formula>"Pass"</formula>
    </cfRule>
  </conditionalFormatting>
  <conditionalFormatting sqref="I489">
    <cfRule type="cellIs" dxfId="5629" priority="8387" stopIfTrue="1" operator="equal">
      <formula>"Fail"</formula>
    </cfRule>
    <cfRule type="cellIs" dxfId="5628" priority="8388" stopIfTrue="1" operator="equal">
      <formula>"Pass"</formula>
    </cfRule>
  </conditionalFormatting>
  <conditionalFormatting sqref="C489">
    <cfRule type="cellIs" dxfId="5627" priority="8385" stopIfTrue="1" operator="equal">
      <formula>"Fail"</formula>
    </cfRule>
    <cfRule type="cellIs" dxfId="5626" priority="8386" stopIfTrue="1" operator="equal">
      <formula>"Pass"</formula>
    </cfRule>
  </conditionalFormatting>
  <conditionalFormatting sqref="I510">
    <cfRule type="cellIs" dxfId="5625" priority="8203" stopIfTrue="1" operator="equal">
      <formula>"Fail"</formula>
    </cfRule>
    <cfRule type="cellIs" dxfId="5624" priority="8204" stopIfTrue="1" operator="equal">
      <formula>"Pass"</formula>
    </cfRule>
  </conditionalFormatting>
  <conditionalFormatting sqref="C510">
    <cfRule type="cellIs" dxfId="5623" priority="8201" stopIfTrue="1" operator="equal">
      <formula>"Fail"</formula>
    </cfRule>
    <cfRule type="cellIs" dxfId="5622" priority="8202" stopIfTrue="1" operator="equal">
      <formula>"Pass"</formula>
    </cfRule>
  </conditionalFormatting>
  <conditionalFormatting sqref="C510:I510 A510">
    <cfRule type="cellIs" dxfId="5621" priority="8207" stopIfTrue="1" operator="equal">
      <formula>"Fail"</formula>
    </cfRule>
    <cfRule type="cellIs" dxfId="5620" priority="8208" stopIfTrue="1" operator="equal">
      <formula>"Pass"</formula>
    </cfRule>
  </conditionalFormatting>
  <conditionalFormatting sqref="D510:I510 A510">
    <cfRule type="cellIs" dxfId="5619" priority="8205" stopIfTrue="1" operator="equal">
      <formula>"Fail"</formula>
    </cfRule>
    <cfRule type="cellIs" dxfId="5618" priority="8206" stopIfTrue="1" operator="equal">
      <formula>"Pass"</formula>
    </cfRule>
  </conditionalFormatting>
  <conditionalFormatting sqref="I511">
    <cfRule type="cellIs" dxfId="5617" priority="8195" stopIfTrue="1" operator="equal">
      <formula>"Fail"</formula>
    </cfRule>
    <cfRule type="cellIs" dxfId="5616" priority="8196" stopIfTrue="1" operator="equal">
      <formula>"Pass"</formula>
    </cfRule>
  </conditionalFormatting>
  <conditionalFormatting sqref="C511">
    <cfRule type="cellIs" dxfId="5615" priority="8193" stopIfTrue="1" operator="equal">
      <formula>"Fail"</formula>
    </cfRule>
    <cfRule type="cellIs" dxfId="5614" priority="8194" stopIfTrue="1" operator="equal">
      <formula>"Pass"</formula>
    </cfRule>
  </conditionalFormatting>
  <conditionalFormatting sqref="C511:I511 A511">
    <cfRule type="cellIs" dxfId="5613" priority="8199" stopIfTrue="1" operator="equal">
      <formula>"Fail"</formula>
    </cfRule>
    <cfRule type="cellIs" dxfId="5612" priority="8200" stopIfTrue="1" operator="equal">
      <formula>"Pass"</formula>
    </cfRule>
  </conditionalFormatting>
  <conditionalFormatting sqref="D511:I511 A511">
    <cfRule type="cellIs" dxfId="5611" priority="8197" stopIfTrue="1" operator="equal">
      <formula>"Fail"</formula>
    </cfRule>
    <cfRule type="cellIs" dxfId="5610" priority="8198" stopIfTrue="1" operator="equal">
      <formula>"Pass"</formula>
    </cfRule>
  </conditionalFormatting>
  <conditionalFormatting sqref="I512">
    <cfRule type="cellIs" dxfId="5609" priority="8187" stopIfTrue="1" operator="equal">
      <formula>"Fail"</formula>
    </cfRule>
    <cfRule type="cellIs" dxfId="5608" priority="8188" stopIfTrue="1" operator="equal">
      <formula>"Pass"</formula>
    </cfRule>
  </conditionalFormatting>
  <conditionalFormatting sqref="C512">
    <cfRule type="cellIs" dxfId="5607" priority="8185" stopIfTrue="1" operator="equal">
      <formula>"Fail"</formula>
    </cfRule>
    <cfRule type="cellIs" dxfId="5606" priority="8186" stopIfTrue="1" operator="equal">
      <formula>"Pass"</formula>
    </cfRule>
  </conditionalFormatting>
  <conditionalFormatting sqref="C512:I512 A512">
    <cfRule type="cellIs" dxfId="5605" priority="8191" stopIfTrue="1" operator="equal">
      <formula>"Fail"</formula>
    </cfRule>
    <cfRule type="cellIs" dxfId="5604" priority="8192" stopIfTrue="1" operator="equal">
      <formula>"Pass"</formula>
    </cfRule>
  </conditionalFormatting>
  <conditionalFormatting sqref="D512:I512 A512">
    <cfRule type="cellIs" dxfId="5603" priority="8189" stopIfTrue="1" operator="equal">
      <formula>"Fail"</formula>
    </cfRule>
    <cfRule type="cellIs" dxfId="5602" priority="8190" stopIfTrue="1" operator="equal">
      <formula>"Pass"</formula>
    </cfRule>
  </conditionalFormatting>
  <conditionalFormatting sqref="I513">
    <cfRule type="cellIs" dxfId="5601" priority="8179" stopIfTrue="1" operator="equal">
      <formula>"Fail"</formula>
    </cfRule>
    <cfRule type="cellIs" dxfId="5600" priority="8180" stopIfTrue="1" operator="equal">
      <formula>"Pass"</formula>
    </cfRule>
  </conditionalFormatting>
  <conditionalFormatting sqref="C513">
    <cfRule type="cellIs" dxfId="5599" priority="8177" stopIfTrue="1" operator="equal">
      <formula>"Fail"</formula>
    </cfRule>
    <cfRule type="cellIs" dxfId="5598" priority="8178" stopIfTrue="1" operator="equal">
      <formula>"Pass"</formula>
    </cfRule>
  </conditionalFormatting>
  <conditionalFormatting sqref="C513:I513 A513">
    <cfRule type="cellIs" dxfId="5597" priority="8183" stopIfTrue="1" operator="equal">
      <formula>"Fail"</formula>
    </cfRule>
    <cfRule type="cellIs" dxfId="5596" priority="8184" stopIfTrue="1" operator="equal">
      <formula>"Pass"</formula>
    </cfRule>
  </conditionalFormatting>
  <conditionalFormatting sqref="D513:I513 A513">
    <cfRule type="cellIs" dxfId="5595" priority="8181" stopIfTrue="1" operator="equal">
      <formula>"Fail"</formula>
    </cfRule>
    <cfRule type="cellIs" dxfId="5594" priority="8182" stopIfTrue="1" operator="equal">
      <formula>"Pass"</formula>
    </cfRule>
  </conditionalFormatting>
  <conditionalFormatting sqref="A514:A520 D514:I520 A522 D522:I522">
    <cfRule type="cellIs" dxfId="5593" priority="8173" stopIfTrue="1" operator="equal">
      <formula>"Fail"</formula>
    </cfRule>
    <cfRule type="cellIs" dxfId="5592" priority="8174" stopIfTrue="1" operator="equal">
      <formula>"Pass"</formula>
    </cfRule>
  </conditionalFormatting>
  <conditionalFormatting sqref="A514:A520 C514:I520 A522 C522:I522">
    <cfRule type="cellIs" dxfId="5591" priority="8175" stopIfTrue="1" operator="equal">
      <formula>"Fail"</formula>
    </cfRule>
    <cfRule type="cellIs" dxfId="5590" priority="8176" stopIfTrue="1" operator="equal">
      <formula>"Pass"</formula>
    </cfRule>
  </conditionalFormatting>
  <conditionalFormatting sqref="I514:I520 I522">
    <cfRule type="cellIs" dxfId="5589" priority="8171" stopIfTrue="1" operator="equal">
      <formula>"Fail"</formula>
    </cfRule>
    <cfRule type="cellIs" dxfId="5588" priority="8172" stopIfTrue="1" operator="equal">
      <formula>"Pass"</formula>
    </cfRule>
  </conditionalFormatting>
  <conditionalFormatting sqref="C514:C520 C522">
    <cfRule type="cellIs" dxfId="5587" priority="8169" stopIfTrue="1" operator="equal">
      <formula>"Fail"</formula>
    </cfRule>
    <cfRule type="cellIs" dxfId="5586" priority="8170" stopIfTrue="1" operator="equal">
      <formula>"Pass"</formula>
    </cfRule>
  </conditionalFormatting>
  <conditionalFormatting sqref="A524">
    <cfRule type="cellIs" dxfId="5585" priority="8167" stopIfTrue="1" operator="equal">
      <formula>"Fail"</formula>
    </cfRule>
    <cfRule type="cellIs" dxfId="5584" priority="8168" stopIfTrue="1" operator="equal">
      <formula>"Pass"</formula>
    </cfRule>
  </conditionalFormatting>
  <conditionalFormatting sqref="C524">
    <cfRule type="cellIs" dxfId="5583" priority="8163" stopIfTrue="1" operator="equal">
      <formula>"Fail"</formula>
    </cfRule>
    <cfRule type="cellIs" dxfId="5582" priority="8164" stopIfTrue="1" operator="equal">
      <formula>"Pass"</formula>
    </cfRule>
  </conditionalFormatting>
  <conditionalFormatting sqref="C524">
    <cfRule type="cellIs" dxfId="5581" priority="8157" stopIfTrue="1" operator="equal">
      <formula>"Fail"</formula>
    </cfRule>
    <cfRule type="cellIs" dxfId="5580" priority="8158" stopIfTrue="1" operator="equal">
      <formula>"Pass"</formula>
    </cfRule>
  </conditionalFormatting>
  <conditionalFormatting sqref="A524 C524:D524 F524:H524">
    <cfRule type="cellIs" dxfId="5579" priority="8161" stopIfTrue="1" operator="equal">
      <formula>"Fail"</formula>
    </cfRule>
    <cfRule type="cellIs" dxfId="5578" priority="8162" stopIfTrue="1" operator="equal">
      <formula>"Pass"</formula>
    </cfRule>
  </conditionalFormatting>
  <conditionalFormatting sqref="A524 D524 F524:H524">
    <cfRule type="cellIs" dxfId="5577" priority="8159" stopIfTrue="1" operator="equal">
      <formula>"Fail"</formula>
    </cfRule>
    <cfRule type="cellIs" dxfId="5576" priority="8160" stopIfTrue="1" operator="equal">
      <formula>"Pass"</formula>
    </cfRule>
  </conditionalFormatting>
  <conditionalFormatting sqref="I524">
    <cfRule type="cellIs" dxfId="5575" priority="8151" stopIfTrue="1" operator="equal">
      <formula>"Fail"</formula>
    </cfRule>
    <cfRule type="cellIs" dxfId="5574" priority="8152" stopIfTrue="1" operator="equal">
      <formula>"Pass"</formula>
    </cfRule>
  </conditionalFormatting>
  <conditionalFormatting sqref="I524">
    <cfRule type="cellIs" dxfId="5573" priority="8155" stopIfTrue="1" operator="equal">
      <formula>"Fail"</formula>
    </cfRule>
    <cfRule type="cellIs" dxfId="5572" priority="8156" stopIfTrue="1" operator="equal">
      <formula>"Pass"</formula>
    </cfRule>
  </conditionalFormatting>
  <conditionalFormatting sqref="I524">
    <cfRule type="cellIs" dxfId="5571" priority="8153" stopIfTrue="1" operator="equal">
      <formula>"Fail"</formula>
    </cfRule>
    <cfRule type="cellIs" dxfId="5570" priority="8154" stopIfTrue="1" operator="equal">
      <formula>"Pass"</formula>
    </cfRule>
  </conditionalFormatting>
  <conditionalFormatting sqref="I523">
    <cfRule type="cellIs" dxfId="5569" priority="8145" stopIfTrue="1" operator="equal">
      <formula>"Fail"</formula>
    </cfRule>
    <cfRule type="cellIs" dxfId="5568" priority="8146" stopIfTrue="1" operator="equal">
      <formula>"Pass"</formula>
    </cfRule>
  </conditionalFormatting>
  <conditionalFormatting sqref="C523">
    <cfRule type="cellIs" dxfId="5567" priority="8143" stopIfTrue="1" operator="equal">
      <formula>"Fail"</formula>
    </cfRule>
    <cfRule type="cellIs" dxfId="5566" priority="8144" stopIfTrue="1" operator="equal">
      <formula>"Pass"</formula>
    </cfRule>
  </conditionalFormatting>
  <conditionalFormatting sqref="C523:D523 A523 F523:I523">
    <cfRule type="cellIs" dxfId="5565" priority="8149" stopIfTrue="1" operator="equal">
      <formula>"Fail"</formula>
    </cfRule>
    <cfRule type="cellIs" dxfId="5564" priority="8150" stopIfTrue="1" operator="equal">
      <formula>"Pass"</formula>
    </cfRule>
  </conditionalFormatting>
  <conditionalFormatting sqref="D523 A523 F523:I523">
    <cfRule type="cellIs" dxfId="5563" priority="8147" stopIfTrue="1" operator="equal">
      <formula>"Fail"</formula>
    </cfRule>
    <cfRule type="cellIs" dxfId="5562" priority="8148" stopIfTrue="1" operator="equal">
      <formula>"Pass"</formula>
    </cfRule>
  </conditionalFormatting>
  <conditionalFormatting sqref="E523">
    <cfRule type="cellIs" dxfId="5561" priority="8141" stopIfTrue="1" operator="equal">
      <formula>"Fail"</formula>
    </cfRule>
    <cfRule type="cellIs" dxfId="5560" priority="8142" stopIfTrue="1" operator="equal">
      <formula>"Pass"</formula>
    </cfRule>
  </conditionalFormatting>
  <conditionalFormatting sqref="C526">
    <cfRule type="cellIs" dxfId="5559" priority="8137" stopIfTrue="1" operator="equal">
      <formula>"Fail"</formula>
    </cfRule>
    <cfRule type="cellIs" dxfId="5558" priority="8138" stopIfTrue="1" operator="equal">
      <formula>"Pass"</formula>
    </cfRule>
  </conditionalFormatting>
  <conditionalFormatting sqref="A525 C525:I525">
    <cfRule type="cellIs" dxfId="5557" priority="8135" stopIfTrue="1" operator="equal">
      <formula>"Fail"</formula>
    </cfRule>
    <cfRule type="cellIs" dxfId="5556" priority="8136" stopIfTrue="1" operator="equal">
      <formula>"Pass"</formula>
    </cfRule>
  </conditionalFormatting>
  <conditionalFormatting sqref="B525">
    <cfRule type="cellIs" dxfId="5555" priority="8133" stopIfTrue="1" operator="equal">
      <formula>"Fail"</formula>
    </cfRule>
    <cfRule type="cellIs" dxfId="5554" priority="8134" stopIfTrue="1" operator="equal">
      <formula>"Pass"</formula>
    </cfRule>
  </conditionalFormatting>
  <conditionalFormatting sqref="I527">
    <cfRule type="cellIs" dxfId="5553" priority="8125" stopIfTrue="1" operator="equal">
      <formula>"Fail"</formula>
    </cfRule>
    <cfRule type="cellIs" dxfId="5552" priority="8126" stopIfTrue="1" operator="equal">
      <formula>"Pass"</formula>
    </cfRule>
  </conditionalFormatting>
  <conditionalFormatting sqref="I527">
    <cfRule type="cellIs" dxfId="5551" priority="8129" stopIfTrue="1" operator="equal">
      <formula>"Fail"</formula>
    </cfRule>
    <cfRule type="cellIs" dxfId="5550" priority="8130" stopIfTrue="1" operator="equal">
      <formula>"Pass"</formula>
    </cfRule>
  </conditionalFormatting>
  <conditionalFormatting sqref="I527">
    <cfRule type="cellIs" dxfId="5549" priority="8127" stopIfTrue="1" operator="equal">
      <formula>"Fail"</formula>
    </cfRule>
    <cfRule type="cellIs" dxfId="5548" priority="8128" stopIfTrue="1" operator="equal">
      <formula>"Pass"</formula>
    </cfRule>
  </conditionalFormatting>
  <conditionalFormatting sqref="A527">
    <cfRule type="cellIs" dxfId="5547" priority="8131" stopIfTrue="1" operator="equal">
      <formula>"Fail"</formula>
    </cfRule>
    <cfRule type="cellIs" dxfId="5546" priority="8132" stopIfTrue="1" operator="equal">
      <formula>"Pass"</formula>
    </cfRule>
  </conditionalFormatting>
  <conditionalFormatting sqref="B527">
    <cfRule type="cellIs" dxfId="5545" priority="8123" stopIfTrue="1" operator="equal">
      <formula>"Fail"</formula>
    </cfRule>
    <cfRule type="cellIs" dxfId="5544" priority="8124" stopIfTrue="1" operator="equal">
      <formula>"Pass"</formula>
    </cfRule>
  </conditionalFormatting>
  <conditionalFormatting sqref="C527">
    <cfRule type="cellIs" dxfId="5543" priority="8121" stopIfTrue="1" operator="equal">
      <formula>"Fail"</formula>
    </cfRule>
    <cfRule type="cellIs" dxfId="5542" priority="8122" stopIfTrue="1" operator="equal">
      <formula>"Pass"</formula>
    </cfRule>
  </conditionalFormatting>
  <conditionalFormatting sqref="A528 C528:I528">
    <cfRule type="cellIs" dxfId="5541" priority="8119" stopIfTrue="1" operator="equal">
      <formula>"Fail"</formula>
    </cfRule>
    <cfRule type="cellIs" dxfId="5540" priority="8120" stopIfTrue="1" operator="equal">
      <formula>"Pass"</formula>
    </cfRule>
  </conditionalFormatting>
  <conditionalFormatting sqref="B528">
    <cfRule type="cellIs" dxfId="5539" priority="8117" stopIfTrue="1" operator="equal">
      <formula>"Fail"</formula>
    </cfRule>
    <cfRule type="cellIs" dxfId="5538" priority="8118" stopIfTrue="1" operator="equal">
      <formula>"Pass"</formula>
    </cfRule>
  </conditionalFormatting>
  <conditionalFormatting sqref="B516">
    <cfRule type="cellIs" dxfId="5537" priority="8115" stopIfTrue="1" operator="equal">
      <formula>"Fail"</formula>
    </cfRule>
    <cfRule type="cellIs" dxfId="5536" priority="8116" stopIfTrue="1" operator="equal">
      <formula>"Pass"</formula>
    </cfRule>
  </conditionalFormatting>
  <conditionalFormatting sqref="A516">
    <cfRule type="cellIs" dxfId="5535" priority="8113" stopIfTrue="1" operator="equal">
      <formula>"Fail"</formula>
    </cfRule>
    <cfRule type="cellIs" dxfId="5534" priority="8114" stopIfTrue="1" operator="equal">
      <formula>"Pass"</formula>
    </cfRule>
  </conditionalFormatting>
  <conditionalFormatting sqref="I515">
    <cfRule type="cellIs" dxfId="5533" priority="8107" stopIfTrue="1" operator="equal">
      <formula>"Fail"</formula>
    </cfRule>
    <cfRule type="cellIs" dxfId="5532" priority="8108" stopIfTrue="1" operator="equal">
      <formula>"Pass"</formula>
    </cfRule>
  </conditionalFormatting>
  <conditionalFormatting sqref="C515">
    <cfRule type="cellIs" dxfId="5531" priority="8105" stopIfTrue="1" operator="equal">
      <formula>"Fail"</formula>
    </cfRule>
    <cfRule type="cellIs" dxfId="5530" priority="8106" stopIfTrue="1" operator="equal">
      <formula>"Pass"</formula>
    </cfRule>
  </conditionalFormatting>
  <conditionalFormatting sqref="A515 C515:D515 F515:I515">
    <cfRule type="cellIs" dxfId="5529" priority="8111" stopIfTrue="1" operator="equal">
      <formula>"Fail"</formula>
    </cfRule>
    <cfRule type="cellIs" dxfId="5528" priority="8112" stopIfTrue="1" operator="equal">
      <formula>"Pass"</formula>
    </cfRule>
  </conditionalFormatting>
  <conditionalFormatting sqref="A515 D515 F515:I515">
    <cfRule type="cellIs" dxfId="5527" priority="8109" stopIfTrue="1" operator="equal">
      <formula>"Fail"</formula>
    </cfRule>
    <cfRule type="cellIs" dxfId="5526" priority="8110" stopIfTrue="1" operator="equal">
      <formula>"Pass"</formula>
    </cfRule>
  </conditionalFormatting>
  <conditionalFormatting sqref="C516">
    <cfRule type="cellIs" dxfId="5525" priority="8103" stopIfTrue="1" operator="equal">
      <formula>"Fail"</formula>
    </cfRule>
    <cfRule type="cellIs" dxfId="5524" priority="8104" stopIfTrue="1" operator="equal">
      <formula>"Pass"</formula>
    </cfRule>
  </conditionalFormatting>
  <conditionalFormatting sqref="I516">
    <cfRule type="cellIs" dxfId="5523" priority="8097" stopIfTrue="1" operator="equal">
      <formula>"Fail"</formula>
    </cfRule>
    <cfRule type="cellIs" dxfId="5522" priority="8098" stopIfTrue="1" operator="equal">
      <formula>"Pass"</formula>
    </cfRule>
  </conditionalFormatting>
  <conditionalFormatting sqref="I516">
    <cfRule type="cellIs" dxfId="5521" priority="8101" stopIfTrue="1" operator="equal">
      <formula>"Fail"</formula>
    </cfRule>
    <cfRule type="cellIs" dxfId="5520" priority="8102" stopIfTrue="1" operator="equal">
      <formula>"Pass"</formula>
    </cfRule>
  </conditionalFormatting>
  <conditionalFormatting sqref="I516">
    <cfRule type="cellIs" dxfId="5519" priority="8099" stopIfTrue="1" operator="equal">
      <formula>"Fail"</formula>
    </cfRule>
    <cfRule type="cellIs" dxfId="5518" priority="8100" stopIfTrue="1" operator="equal">
      <formula>"Pass"</formula>
    </cfRule>
  </conditionalFormatting>
  <conditionalFormatting sqref="C519">
    <cfRule type="cellIs" dxfId="5517" priority="8081" stopIfTrue="1" operator="equal">
      <formula>"Fail"</formula>
    </cfRule>
    <cfRule type="cellIs" dxfId="5516" priority="8082" stopIfTrue="1" operator="equal">
      <formula>"Pass"</formula>
    </cfRule>
  </conditionalFormatting>
  <conditionalFormatting sqref="A519">
    <cfRule type="cellIs" dxfId="5515" priority="8091" stopIfTrue="1" operator="equal">
      <formula>"Fail"</formula>
    </cfRule>
    <cfRule type="cellIs" dxfId="5514" priority="8092" stopIfTrue="1" operator="equal">
      <formula>"Pass"</formula>
    </cfRule>
  </conditionalFormatting>
  <conditionalFormatting sqref="I519">
    <cfRule type="cellIs" dxfId="5513" priority="8085" stopIfTrue="1" operator="equal">
      <formula>"Fail"</formula>
    </cfRule>
    <cfRule type="cellIs" dxfId="5512" priority="8086" stopIfTrue="1" operator="equal">
      <formula>"Pass"</formula>
    </cfRule>
  </conditionalFormatting>
  <conditionalFormatting sqref="I519">
    <cfRule type="cellIs" dxfId="5511" priority="8089" stopIfTrue="1" operator="equal">
      <formula>"Fail"</formula>
    </cfRule>
    <cfRule type="cellIs" dxfId="5510" priority="8090" stopIfTrue="1" operator="equal">
      <formula>"Pass"</formula>
    </cfRule>
  </conditionalFormatting>
  <conditionalFormatting sqref="I519">
    <cfRule type="cellIs" dxfId="5509" priority="8087" stopIfTrue="1" operator="equal">
      <formula>"Fail"</formula>
    </cfRule>
    <cfRule type="cellIs" dxfId="5508" priority="8088" stopIfTrue="1" operator="equal">
      <formula>"Pass"</formula>
    </cfRule>
  </conditionalFormatting>
  <conditionalFormatting sqref="B519">
    <cfRule type="cellIs" dxfId="5507" priority="8083" stopIfTrue="1" operator="equal">
      <formula>"Fail"</formula>
    </cfRule>
    <cfRule type="cellIs" dxfId="5506" priority="8084" stopIfTrue="1" operator="equal">
      <formula>"Pass"</formula>
    </cfRule>
  </conditionalFormatting>
  <conditionalFormatting sqref="B518">
    <cfRule type="cellIs" dxfId="5505" priority="8079" stopIfTrue="1" operator="equal">
      <formula>"Fail"</formula>
    </cfRule>
    <cfRule type="cellIs" dxfId="5504" priority="8080" stopIfTrue="1" operator="equal">
      <formula>"Pass"</formula>
    </cfRule>
  </conditionalFormatting>
  <conditionalFormatting sqref="C518">
    <cfRule type="cellIs" dxfId="5503" priority="8077" stopIfTrue="1" operator="equal">
      <formula>"Fail"</formula>
    </cfRule>
    <cfRule type="cellIs" dxfId="5502" priority="8078" stopIfTrue="1" operator="equal">
      <formula>"Pass"</formula>
    </cfRule>
  </conditionalFormatting>
  <conditionalFormatting sqref="A518">
    <cfRule type="cellIs" dxfId="5501" priority="8075" stopIfTrue="1" operator="equal">
      <formula>"Fail"</formula>
    </cfRule>
    <cfRule type="cellIs" dxfId="5500" priority="8076" stopIfTrue="1" operator="equal">
      <formula>"Pass"</formula>
    </cfRule>
  </conditionalFormatting>
  <conditionalFormatting sqref="A517 C517:I517">
    <cfRule type="cellIs" dxfId="5499" priority="8073" stopIfTrue="1" operator="equal">
      <formula>"Fail"</formula>
    </cfRule>
    <cfRule type="cellIs" dxfId="5498" priority="8074" stopIfTrue="1" operator="equal">
      <formula>"Pass"</formula>
    </cfRule>
  </conditionalFormatting>
  <conditionalFormatting sqref="B517">
    <cfRule type="cellIs" dxfId="5497" priority="8071" stopIfTrue="1" operator="equal">
      <formula>"Fail"</formula>
    </cfRule>
    <cfRule type="cellIs" dxfId="5496" priority="8072" stopIfTrue="1" operator="equal">
      <formula>"Pass"</formula>
    </cfRule>
  </conditionalFormatting>
  <conditionalFormatting sqref="A487 C487:I487">
    <cfRule type="cellIs" dxfId="5495" priority="8053" stopIfTrue="1" operator="equal">
      <formula>"Fail"</formula>
    </cfRule>
    <cfRule type="cellIs" dxfId="5494" priority="8054" stopIfTrue="1" operator="equal">
      <formula>"Pass"</formula>
    </cfRule>
  </conditionalFormatting>
  <conditionalFormatting sqref="A487 D487:I487">
    <cfRule type="cellIs" dxfId="5493" priority="8051" stopIfTrue="1" operator="equal">
      <formula>"Fail"</formula>
    </cfRule>
    <cfRule type="cellIs" dxfId="5492" priority="8052" stopIfTrue="1" operator="equal">
      <formula>"Pass"</formula>
    </cfRule>
  </conditionalFormatting>
  <conditionalFormatting sqref="I487">
    <cfRule type="cellIs" dxfId="5491" priority="8049" stopIfTrue="1" operator="equal">
      <formula>"Fail"</formula>
    </cfRule>
    <cfRule type="cellIs" dxfId="5490" priority="8050" stopIfTrue="1" operator="equal">
      <formula>"Pass"</formula>
    </cfRule>
  </conditionalFormatting>
  <conditionalFormatting sqref="C487">
    <cfRule type="cellIs" dxfId="5489" priority="8047" stopIfTrue="1" operator="equal">
      <formula>"Fail"</formula>
    </cfRule>
    <cfRule type="cellIs" dxfId="5488" priority="8048" stopIfTrue="1" operator="equal">
      <formula>"Pass"</formula>
    </cfRule>
  </conditionalFormatting>
  <conditionalFormatting sqref="I469:I470">
    <cfRule type="cellIs" dxfId="5487" priority="8009" stopIfTrue="1" operator="equal">
      <formula>"Fail"</formula>
    </cfRule>
    <cfRule type="cellIs" dxfId="5486" priority="8010" stopIfTrue="1" operator="equal">
      <formula>"Pass"</formula>
    </cfRule>
  </conditionalFormatting>
  <conditionalFormatting sqref="C469:C470">
    <cfRule type="cellIs" dxfId="5485" priority="8007" stopIfTrue="1" operator="equal">
      <formula>"Fail"</formula>
    </cfRule>
    <cfRule type="cellIs" dxfId="5484" priority="8008" stopIfTrue="1" operator="equal">
      <formula>"Pass"</formula>
    </cfRule>
  </conditionalFormatting>
  <conditionalFormatting sqref="C469:I470 A469:A470">
    <cfRule type="cellIs" dxfId="5483" priority="8013" stopIfTrue="1" operator="equal">
      <formula>"Fail"</formula>
    </cfRule>
    <cfRule type="cellIs" dxfId="5482" priority="8014" stopIfTrue="1" operator="equal">
      <formula>"Pass"</formula>
    </cfRule>
  </conditionalFormatting>
  <conditionalFormatting sqref="D469:I470 A469:A470">
    <cfRule type="cellIs" dxfId="5481" priority="8011" stopIfTrue="1" operator="equal">
      <formula>"Fail"</formula>
    </cfRule>
    <cfRule type="cellIs" dxfId="5480" priority="8012" stopIfTrue="1" operator="equal">
      <formula>"Pass"</formula>
    </cfRule>
  </conditionalFormatting>
  <conditionalFormatting sqref="I471">
    <cfRule type="cellIs" dxfId="5479" priority="8001" stopIfTrue="1" operator="equal">
      <formula>"Fail"</formula>
    </cfRule>
    <cfRule type="cellIs" dxfId="5478" priority="8002" stopIfTrue="1" operator="equal">
      <formula>"Pass"</formula>
    </cfRule>
  </conditionalFormatting>
  <conditionalFormatting sqref="C471">
    <cfRule type="cellIs" dxfId="5477" priority="7999" stopIfTrue="1" operator="equal">
      <formula>"Fail"</formula>
    </cfRule>
    <cfRule type="cellIs" dxfId="5476" priority="8000" stopIfTrue="1" operator="equal">
      <formula>"Pass"</formula>
    </cfRule>
  </conditionalFormatting>
  <conditionalFormatting sqref="C471:I471 A471">
    <cfRule type="cellIs" dxfId="5475" priority="8005" stopIfTrue="1" operator="equal">
      <formula>"Fail"</formula>
    </cfRule>
    <cfRule type="cellIs" dxfId="5474" priority="8006" stopIfTrue="1" operator="equal">
      <formula>"Pass"</formula>
    </cfRule>
  </conditionalFormatting>
  <conditionalFormatting sqref="D471:I471 A471">
    <cfRule type="cellIs" dxfId="5473" priority="8003" stopIfTrue="1" operator="equal">
      <formula>"Fail"</formula>
    </cfRule>
    <cfRule type="cellIs" dxfId="5472" priority="8004" stopIfTrue="1" operator="equal">
      <formula>"Pass"</formula>
    </cfRule>
  </conditionalFormatting>
  <conditionalFormatting sqref="I472">
    <cfRule type="cellIs" dxfId="5471" priority="7993" stopIfTrue="1" operator="equal">
      <formula>"Fail"</formula>
    </cfRule>
    <cfRule type="cellIs" dxfId="5470" priority="7994" stopIfTrue="1" operator="equal">
      <formula>"Pass"</formula>
    </cfRule>
  </conditionalFormatting>
  <conditionalFormatting sqref="C472">
    <cfRule type="cellIs" dxfId="5469" priority="7991" stopIfTrue="1" operator="equal">
      <formula>"Fail"</formula>
    </cfRule>
    <cfRule type="cellIs" dxfId="5468" priority="7992" stopIfTrue="1" operator="equal">
      <formula>"Pass"</formula>
    </cfRule>
  </conditionalFormatting>
  <conditionalFormatting sqref="C472:I472 A472">
    <cfRule type="cellIs" dxfId="5467" priority="7997" stopIfTrue="1" operator="equal">
      <formula>"Fail"</formula>
    </cfRule>
    <cfRule type="cellIs" dxfId="5466" priority="7998" stopIfTrue="1" operator="equal">
      <formula>"Pass"</formula>
    </cfRule>
  </conditionalFormatting>
  <conditionalFormatting sqref="D472:I472 A472">
    <cfRule type="cellIs" dxfId="5465" priority="7995" stopIfTrue="1" operator="equal">
      <formula>"Fail"</formula>
    </cfRule>
    <cfRule type="cellIs" dxfId="5464" priority="7996" stopIfTrue="1" operator="equal">
      <formula>"Pass"</formula>
    </cfRule>
  </conditionalFormatting>
  <conditionalFormatting sqref="I474">
    <cfRule type="cellIs" dxfId="5463" priority="7967" stopIfTrue="1" operator="equal">
      <formula>"Fail"</formula>
    </cfRule>
    <cfRule type="cellIs" dxfId="5462" priority="7968" stopIfTrue="1" operator="equal">
      <formula>"Pass"</formula>
    </cfRule>
  </conditionalFormatting>
  <conditionalFormatting sqref="C474">
    <cfRule type="cellIs" dxfId="5461" priority="7965" stopIfTrue="1" operator="equal">
      <formula>"Fail"</formula>
    </cfRule>
    <cfRule type="cellIs" dxfId="5460" priority="7966" stopIfTrue="1" operator="equal">
      <formula>"Pass"</formula>
    </cfRule>
  </conditionalFormatting>
  <conditionalFormatting sqref="C474:D474 A474 F474:I474">
    <cfRule type="cellIs" dxfId="5459" priority="7971" stopIfTrue="1" operator="equal">
      <formula>"Fail"</formula>
    </cfRule>
    <cfRule type="cellIs" dxfId="5458" priority="7972" stopIfTrue="1" operator="equal">
      <formula>"Pass"</formula>
    </cfRule>
  </conditionalFormatting>
  <conditionalFormatting sqref="D474 A474 F474:I474">
    <cfRule type="cellIs" dxfId="5457" priority="7969" stopIfTrue="1" operator="equal">
      <formula>"Fail"</formula>
    </cfRule>
    <cfRule type="cellIs" dxfId="5456" priority="7970" stopIfTrue="1" operator="equal">
      <formula>"Pass"</formula>
    </cfRule>
  </conditionalFormatting>
  <conditionalFormatting sqref="E474">
    <cfRule type="cellIs" dxfId="5455" priority="7963" stopIfTrue="1" operator="equal">
      <formula>"Fail"</formula>
    </cfRule>
    <cfRule type="cellIs" dxfId="5454" priority="7964" stopIfTrue="1" operator="equal">
      <formula>"Pass"</formula>
    </cfRule>
  </conditionalFormatting>
  <conditionalFormatting sqref="A473 D473:I473">
    <cfRule type="cellIs" dxfId="5453" priority="7959" stopIfTrue="1" operator="equal">
      <formula>"Fail"</formula>
    </cfRule>
    <cfRule type="cellIs" dxfId="5452" priority="7960" stopIfTrue="1" operator="equal">
      <formula>"Pass"</formula>
    </cfRule>
  </conditionalFormatting>
  <conditionalFormatting sqref="A473 C473:I473">
    <cfRule type="cellIs" dxfId="5451" priority="7961" stopIfTrue="1" operator="equal">
      <formula>"Fail"</formula>
    </cfRule>
    <cfRule type="cellIs" dxfId="5450" priority="7962" stopIfTrue="1" operator="equal">
      <formula>"Pass"</formula>
    </cfRule>
  </conditionalFormatting>
  <conditionalFormatting sqref="I473">
    <cfRule type="cellIs" dxfId="5449" priority="7957" stopIfTrue="1" operator="equal">
      <formula>"Fail"</formula>
    </cfRule>
    <cfRule type="cellIs" dxfId="5448" priority="7958" stopIfTrue="1" operator="equal">
      <formula>"Pass"</formula>
    </cfRule>
  </conditionalFormatting>
  <conditionalFormatting sqref="C473">
    <cfRule type="cellIs" dxfId="5447" priority="7955" stopIfTrue="1" operator="equal">
      <formula>"Fail"</formula>
    </cfRule>
    <cfRule type="cellIs" dxfId="5446" priority="7956" stopIfTrue="1" operator="equal">
      <formula>"Pass"</formula>
    </cfRule>
  </conditionalFormatting>
  <conditionalFormatting sqref="A468">
    <cfRule type="cellIs" dxfId="5445" priority="7953" stopIfTrue="1" operator="equal">
      <formula>"Fail"</formula>
    </cfRule>
    <cfRule type="cellIs" dxfId="5444" priority="7954" stopIfTrue="1" operator="equal">
      <formula>"Pass"</formula>
    </cfRule>
  </conditionalFormatting>
  <conditionalFormatting sqref="C468:I468">
    <cfRule type="cellIs" dxfId="5443" priority="7951" stopIfTrue="1" operator="equal">
      <formula>"Fail"</formula>
    </cfRule>
    <cfRule type="cellIs" dxfId="5442" priority="7952" stopIfTrue="1" operator="equal">
      <formula>"Pass"</formula>
    </cfRule>
  </conditionalFormatting>
  <conditionalFormatting sqref="B468">
    <cfRule type="cellIs" dxfId="5441" priority="7949" stopIfTrue="1" operator="equal">
      <formula>"Fail"</formula>
    </cfRule>
    <cfRule type="cellIs" dxfId="5440" priority="7950" stopIfTrue="1" operator="equal">
      <formula>"Pass"</formula>
    </cfRule>
  </conditionalFormatting>
  <conditionalFormatting sqref="A465 C465:I465">
    <cfRule type="cellIs" dxfId="5439" priority="7947" stopIfTrue="1" operator="equal">
      <formula>"Fail"</formula>
    </cfRule>
    <cfRule type="cellIs" dxfId="5438" priority="7948" stopIfTrue="1" operator="equal">
      <formula>"Pass"</formula>
    </cfRule>
  </conditionalFormatting>
  <conditionalFormatting sqref="A465 D465:I465">
    <cfRule type="cellIs" dxfId="5437" priority="7945" stopIfTrue="1" operator="equal">
      <formula>"Fail"</formula>
    </cfRule>
    <cfRule type="cellIs" dxfId="5436" priority="7946" stopIfTrue="1" operator="equal">
      <formula>"Pass"</formula>
    </cfRule>
  </conditionalFormatting>
  <conditionalFormatting sqref="I465">
    <cfRule type="cellIs" dxfId="5435" priority="7943" stopIfTrue="1" operator="equal">
      <formula>"Fail"</formula>
    </cfRule>
    <cfRule type="cellIs" dxfId="5434" priority="7944" stopIfTrue="1" operator="equal">
      <formula>"Pass"</formula>
    </cfRule>
  </conditionalFormatting>
  <conditionalFormatting sqref="C465">
    <cfRule type="cellIs" dxfId="5433" priority="7941" stopIfTrue="1" operator="equal">
      <formula>"Fail"</formula>
    </cfRule>
    <cfRule type="cellIs" dxfId="5432" priority="7942" stopIfTrue="1" operator="equal">
      <formula>"Pass"</formula>
    </cfRule>
  </conditionalFormatting>
  <conditionalFormatting sqref="A475">
    <cfRule type="cellIs" dxfId="5431" priority="7939" stopIfTrue="1" operator="equal">
      <formula>"Fail"</formula>
    </cfRule>
    <cfRule type="cellIs" dxfId="5430" priority="7940" stopIfTrue="1" operator="equal">
      <formula>"Pass"</formula>
    </cfRule>
  </conditionalFormatting>
  <conditionalFormatting sqref="C475">
    <cfRule type="cellIs" dxfId="5429" priority="7935" stopIfTrue="1" operator="equal">
      <formula>"Fail"</formula>
    </cfRule>
    <cfRule type="cellIs" dxfId="5428" priority="7936" stopIfTrue="1" operator="equal">
      <formula>"Pass"</formula>
    </cfRule>
  </conditionalFormatting>
  <conditionalFormatting sqref="C475">
    <cfRule type="cellIs" dxfId="5427" priority="7929" stopIfTrue="1" operator="equal">
      <formula>"Fail"</formula>
    </cfRule>
    <cfRule type="cellIs" dxfId="5426" priority="7930" stopIfTrue="1" operator="equal">
      <formula>"Pass"</formula>
    </cfRule>
  </conditionalFormatting>
  <conditionalFormatting sqref="A475 C475:D475 F475:H475">
    <cfRule type="cellIs" dxfId="5425" priority="7933" stopIfTrue="1" operator="equal">
      <formula>"Fail"</formula>
    </cfRule>
    <cfRule type="cellIs" dxfId="5424" priority="7934" stopIfTrue="1" operator="equal">
      <formula>"Pass"</formula>
    </cfRule>
  </conditionalFormatting>
  <conditionalFormatting sqref="A475 D475 F475:H475">
    <cfRule type="cellIs" dxfId="5423" priority="7931" stopIfTrue="1" operator="equal">
      <formula>"Fail"</formula>
    </cfRule>
    <cfRule type="cellIs" dxfId="5422" priority="7932" stopIfTrue="1" operator="equal">
      <formula>"Pass"</formula>
    </cfRule>
  </conditionalFormatting>
  <conditionalFormatting sqref="I475">
    <cfRule type="cellIs" dxfId="5421" priority="7923" stopIfTrue="1" operator="equal">
      <formula>"Fail"</formula>
    </cfRule>
    <cfRule type="cellIs" dxfId="5420" priority="7924" stopIfTrue="1" operator="equal">
      <formula>"Pass"</formula>
    </cfRule>
  </conditionalFormatting>
  <conditionalFormatting sqref="I475">
    <cfRule type="cellIs" dxfId="5419" priority="7927" stopIfTrue="1" operator="equal">
      <formula>"Fail"</formula>
    </cfRule>
    <cfRule type="cellIs" dxfId="5418" priority="7928" stopIfTrue="1" operator="equal">
      <formula>"Pass"</formula>
    </cfRule>
  </conditionalFormatting>
  <conditionalFormatting sqref="I475">
    <cfRule type="cellIs" dxfId="5417" priority="7925" stopIfTrue="1" operator="equal">
      <formula>"Fail"</formula>
    </cfRule>
    <cfRule type="cellIs" dxfId="5416" priority="7926" stopIfTrue="1" operator="equal">
      <formula>"Pass"</formula>
    </cfRule>
  </conditionalFormatting>
  <conditionalFormatting sqref="A476 C476:I476">
    <cfRule type="cellIs" dxfId="5415" priority="7921" stopIfTrue="1" operator="equal">
      <formula>"Fail"</formula>
    </cfRule>
    <cfRule type="cellIs" dxfId="5414" priority="7922" stopIfTrue="1" operator="equal">
      <formula>"Pass"</formula>
    </cfRule>
  </conditionalFormatting>
  <conditionalFormatting sqref="B476">
    <cfRule type="cellIs" dxfId="5413" priority="7919" stopIfTrue="1" operator="equal">
      <formula>"Fail"</formula>
    </cfRule>
    <cfRule type="cellIs" dxfId="5412" priority="7920" stopIfTrue="1" operator="equal">
      <formula>"Pass"</formula>
    </cfRule>
  </conditionalFormatting>
  <conditionalFormatting sqref="I470">
    <cfRule type="cellIs" dxfId="5411" priority="7905" stopIfTrue="1" operator="equal">
      <formula>"Fail"</formula>
    </cfRule>
    <cfRule type="cellIs" dxfId="5410" priority="7906" stopIfTrue="1" operator="equal">
      <formula>"Pass"</formula>
    </cfRule>
  </conditionalFormatting>
  <conditionalFormatting sqref="C470">
    <cfRule type="cellIs" dxfId="5409" priority="7903" stopIfTrue="1" operator="equal">
      <formula>"Fail"</formula>
    </cfRule>
    <cfRule type="cellIs" dxfId="5408" priority="7904" stopIfTrue="1" operator="equal">
      <formula>"Pass"</formula>
    </cfRule>
  </conditionalFormatting>
  <conditionalFormatting sqref="C470:I470 A470">
    <cfRule type="cellIs" dxfId="5407" priority="7909" stopIfTrue="1" operator="equal">
      <formula>"Fail"</formula>
    </cfRule>
    <cfRule type="cellIs" dxfId="5406" priority="7910" stopIfTrue="1" operator="equal">
      <formula>"Pass"</formula>
    </cfRule>
  </conditionalFormatting>
  <conditionalFormatting sqref="D470:I470 A470">
    <cfRule type="cellIs" dxfId="5405" priority="7907" stopIfTrue="1" operator="equal">
      <formula>"Fail"</formula>
    </cfRule>
    <cfRule type="cellIs" dxfId="5404" priority="7908" stopIfTrue="1" operator="equal">
      <formula>"Pass"</formula>
    </cfRule>
  </conditionalFormatting>
  <conditionalFormatting sqref="I479">
    <cfRule type="cellIs" dxfId="5403" priority="7881" stopIfTrue="1" operator="equal">
      <formula>"Fail"</formula>
    </cfRule>
    <cfRule type="cellIs" dxfId="5402" priority="7882" stopIfTrue="1" operator="equal">
      <formula>"Pass"</formula>
    </cfRule>
  </conditionalFormatting>
  <conditionalFormatting sqref="C479">
    <cfRule type="cellIs" dxfId="5401" priority="7879" stopIfTrue="1" operator="equal">
      <formula>"Fail"</formula>
    </cfRule>
    <cfRule type="cellIs" dxfId="5400" priority="7880" stopIfTrue="1" operator="equal">
      <formula>"Pass"</formula>
    </cfRule>
  </conditionalFormatting>
  <conditionalFormatting sqref="C479:D479 A479 F479:I479">
    <cfRule type="cellIs" dxfId="5399" priority="7885" stopIfTrue="1" operator="equal">
      <formula>"Fail"</formula>
    </cfRule>
    <cfRule type="cellIs" dxfId="5398" priority="7886" stopIfTrue="1" operator="equal">
      <formula>"Pass"</formula>
    </cfRule>
  </conditionalFormatting>
  <conditionalFormatting sqref="D479 A479 F479:I479">
    <cfRule type="cellIs" dxfId="5397" priority="7883" stopIfTrue="1" operator="equal">
      <formula>"Fail"</formula>
    </cfRule>
    <cfRule type="cellIs" dxfId="5396" priority="7884" stopIfTrue="1" operator="equal">
      <formula>"Pass"</formula>
    </cfRule>
  </conditionalFormatting>
  <conditionalFormatting sqref="A478 D478:I478">
    <cfRule type="cellIs" dxfId="5395" priority="7873" stopIfTrue="1" operator="equal">
      <formula>"Fail"</formula>
    </cfRule>
    <cfRule type="cellIs" dxfId="5394" priority="7874" stopIfTrue="1" operator="equal">
      <formula>"Pass"</formula>
    </cfRule>
  </conditionalFormatting>
  <conditionalFormatting sqref="I478">
    <cfRule type="cellIs" dxfId="5393" priority="7871" stopIfTrue="1" operator="equal">
      <formula>"Fail"</formula>
    </cfRule>
    <cfRule type="cellIs" dxfId="5392" priority="7872" stopIfTrue="1" operator="equal">
      <formula>"Pass"</formula>
    </cfRule>
  </conditionalFormatting>
  <conditionalFormatting sqref="E479">
    <cfRule type="cellIs" dxfId="5391" priority="7877" stopIfTrue="1" operator="equal">
      <formula>"Fail"</formula>
    </cfRule>
    <cfRule type="cellIs" dxfId="5390" priority="7878" stopIfTrue="1" operator="equal">
      <formula>"Pass"</formula>
    </cfRule>
  </conditionalFormatting>
  <conditionalFormatting sqref="A478 C478:I478">
    <cfRule type="cellIs" dxfId="5389" priority="7875" stopIfTrue="1" operator="equal">
      <formula>"Fail"</formula>
    </cfRule>
    <cfRule type="cellIs" dxfId="5388" priority="7876" stopIfTrue="1" operator="equal">
      <formula>"Pass"</formula>
    </cfRule>
  </conditionalFormatting>
  <conditionalFormatting sqref="C478">
    <cfRule type="cellIs" dxfId="5387" priority="7869" stopIfTrue="1" operator="equal">
      <formula>"Fail"</formula>
    </cfRule>
    <cfRule type="cellIs" dxfId="5386" priority="7870" stopIfTrue="1" operator="equal">
      <formula>"Pass"</formula>
    </cfRule>
  </conditionalFormatting>
  <conditionalFormatting sqref="A480">
    <cfRule type="cellIs" dxfId="5385" priority="7867" stopIfTrue="1" operator="equal">
      <formula>"Fail"</formula>
    </cfRule>
    <cfRule type="cellIs" dxfId="5384" priority="7868" stopIfTrue="1" operator="equal">
      <formula>"Pass"</formula>
    </cfRule>
  </conditionalFormatting>
  <conditionalFormatting sqref="C480">
    <cfRule type="cellIs" dxfId="5383" priority="7863" stopIfTrue="1" operator="equal">
      <formula>"Fail"</formula>
    </cfRule>
    <cfRule type="cellIs" dxfId="5382" priority="7864" stopIfTrue="1" operator="equal">
      <formula>"Pass"</formula>
    </cfRule>
  </conditionalFormatting>
  <conditionalFormatting sqref="C480">
    <cfRule type="cellIs" dxfId="5381" priority="7857" stopIfTrue="1" operator="equal">
      <formula>"Fail"</formula>
    </cfRule>
    <cfRule type="cellIs" dxfId="5380" priority="7858" stopIfTrue="1" operator="equal">
      <formula>"Pass"</formula>
    </cfRule>
  </conditionalFormatting>
  <conditionalFormatting sqref="A480 C480:D480 F480:H480">
    <cfRule type="cellIs" dxfId="5379" priority="7861" stopIfTrue="1" operator="equal">
      <formula>"Fail"</formula>
    </cfRule>
    <cfRule type="cellIs" dxfId="5378" priority="7862" stopIfTrue="1" operator="equal">
      <formula>"Pass"</formula>
    </cfRule>
  </conditionalFormatting>
  <conditionalFormatting sqref="A480 D480 F480:H480">
    <cfRule type="cellIs" dxfId="5377" priority="7859" stopIfTrue="1" operator="equal">
      <formula>"Fail"</formula>
    </cfRule>
    <cfRule type="cellIs" dxfId="5376" priority="7860" stopIfTrue="1" operator="equal">
      <formula>"Pass"</formula>
    </cfRule>
  </conditionalFormatting>
  <conditionalFormatting sqref="I480">
    <cfRule type="cellIs" dxfId="5375" priority="7851" stopIfTrue="1" operator="equal">
      <formula>"Fail"</formula>
    </cfRule>
    <cfRule type="cellIs" dxfId="5374" priority="7852" stopIfTrue="1" operator="equal">
      <formula>"Pass"</formula>
    </cfRule>
  </conditionalFormatting>
  <conditionalFormatting sqref="I480">
    <cfRule type="cellIs" dxfId="5373" priority="7855" stopIfTrue="1" operator="equal">
      <formula>"Fail"</formula>
    </cfRule>
    <cfRule type="cellIs" dxfId="5372" priority="7856" stopIfTrue="1" operator="equal">
      <formula>"Pass"</formula>
    </cfRule>
  </conditionalFormatting>
  <conditionalFormatting sqref="I480">
    <cfRule type="cellIs" dxfId="5371" priority="7853" stopIfTrue="1" operator="equal">
      <formula>"Fail"</formula>
    </cfRule>
    <cfRule type="cellIs" dxfId="5370" priority="7854" stopIfTrue="1" operator="equal">
      <formula>"Pass"</formula>
    </cfRule>
  </conditionalFormatting>
  <conditionalFormatting sqref="A482 C482:I482">
    <cfRule type="cellIs" dxfId="5369" priority="7849" stopIfTrue="1" operator="equal">
      <formula>"Fail"</formula>
    </cfRule>
    <cfRule type="cellIs" dxfId="5368" priority="7850" stopIfTrue="1" operator="equal">
      <formula>"Pass"</formula>
    </cfRule>
  </conditionalFormatting>
  <conditionalFormatting sqref="B482">
    <cfRule type="cellIs" dxfId="5367" priority="7847" stopIfTrue="1" operator="equal">
      <formula>"Fail"</formula>
    </cfRule>
    <cfRule type="cellIs" dxfId="5366" priority="7848" stopIfTrue="1" operator="equal">
      <formula>"Pass"</formula>
    </cfRule>
  </conditionalFormatting>
  <conditionalFormatting sqref="B481">
    <cfRule type="cellIs" dxfId="5365" priority="7841" stopIfTrue="1" operator="equal">
      <formula>"Fail"</formula>
    </cfRule>
    <cfRule type="cellIs" dxfId="5364" priority="7842" stopIfTrue="1" operator="equal">
      <formula>"Pass"</formula>
    </cfRule>
  </conditionalFormatting>
  <conditionalFormatting sqref="A481">
    <cfRule type="cellIs" dxfId="5363" priority="7839" stopIfTrue="1" operator="equal">
      <formula>"Fail"</formula>
    </cfRule>
    <cfRule type="cellIs" dxfId="5362" priority="7840" stopIfTrue="1" operator="equal">
      <formula>"Pass"</formula>
    </cfRule>
  </conditionalFormatting>
  <conditionalFormatting sqref="C481">
    <cfRule type="cellIs" dxfId="5361" priority="7837" stopIfTrue="1" operator="equal">
      <formula>"Fail"</formula>
    </cfRule>
    <cfRule type="cellIs" dxfId="5360" priority="7838" stopIfTrue="1" operator="equal">
      <formula>"Pass"</formula>
    </cfRule>
  </conditionalFormatting>
  <conditionalFormatting sqref="I481">
    <cfRule type="cellIs" dxfId="5359" priority="7831" stopIfTrue="1" operator="equal">
      <formula>"Fail"</formula>
    </cfRule>
    <cfRule type="cellIs" dxfId="5358" priority="7832" stopIfTrue="1" operator="equal">
      <formula>"Pass"</formula>
    </cfRule>
  </conditionalFormatting>
  <conditionalFormatting sqref="I481">
    <cfRule type="cellIs" dxfId="5357" priority="7835" stopIfTrue="1" operator="equal">
      <formula>"Fail"</formula>
    </cfRule>
    <cfRule type="cellIs" dxfId="5356" priority="7836" stopIfTrue="1" operator="equal">
      <formula>"Pass"</formula>
    </cfRule>
  </conditionalFormatting>
  <conditionalFormatting sqref="I481">
    <cfRule type="cellIs" dxfId="5355" priority="7833" stopIfTrue="1" operator="equal">
      <formula>"Fail"</formula>
    </cfRule>
    <cfRule type="cellIs" dxfId="5354" priority="7834" stopIfTrue="1" operator="equal">
      <formula>"Pass"</formula>
    </cfRule>
  </conditionalFormatting>
  <conditionalFormatting sqref="I549:I550">
    <cfRule type="cellIs" dxfId="5353" priority="7825" stopIfTrue="1" operator="equal">
      <formula>"Fail"</formula>
    </cfRule>
    <cfRule type="cellIs" dxfId="5352" priority="7826" stopIfTrue="1" operator="equal">
      <formula>"Pass"</formula>
    </cfRule>
  </conditionalFormatting>
  <conditionalFormatting sqref="C549:C550">
    <cfRule type="cellIs" dxfId="5351" priority="7823" stopIfTrue="1" operator="equal">
      <formula>"Fail"</formula>
    </cfRule>
    <cfRule type="cellIs" dxfId="5350" priority="7824" stopIfTrue="1" operator="equal">
      <formula>"Pass"</formula>
    </cfRule>
  </conditionalFormatting>
  <conditionalFormatting sqref="C549:I550 A549:A550">
    <cfRule type="cellIs" dxfId="5349" priority="7829" stopIfTrue="1" operator="equal">
      <formula>"Fail"</formula>
    </cfRule>
    <cfRule type="cellIs" dxfId="5348" priority="7830" stopIfTrue="1" operator="equal">
      <formula>"Pass"</formula>
    </cfRule>
  </conditionalFormatting>
  <conditionalFormatting sqref="D549:I550 A549:A550">
    <cfRule type="cellIs" dxfId="5347" priority="7827" stopIfTrue="1" operator="equal">
      <formula>"Fail"</formula>
    </cfRule>
    <cfRule type="cellIs" dxfId="5346" priority="7828" stopIfTrue="1" operator="equal">
      <formula>"Pass"</formula>
    </cfRule>
  </conditionalFormatting>
  <conditionalFormatting sqref="I551">
    <cfRule type="cellIs" dxfId="5345" priority="7817" stopIfTrue="1" operator="equal">
      <formula>"Fail"</formula>
    </cfRule>
    <cfRule type="cellIs" dxfId="5344" priority="7818" stopIfTrue="1" operator="equal">
      <formula>"Pass"</formula>
    </cfRule>
  </conditionalFormatting>
  <conditionalFormatting sqref="C551">
    <cfRule type="cellIs" dxfId="5343" priority="7815" stopIfTrue="1" operator="equal">
      <formula>"Fail"</formula>
    </cfRule>
    <cfRule type="cellIs" dxfId="5342" priority="7816" stopIfTrue="1" operator="equal">
      <formula>"Pass"</formula>
    </cfRule>
  </conditionalFormatting>
  <conditionalFormatting sqref="C551:I551 A551">
    <cfRule type="cellIs" dxfId="5341" priority="7821" stopIfTrue="1" operator="equal">
      <formula>"Fail"</formula>
    </cfRule>
    <cfRule type="cellIs" dxfId="5340" priority="7822" stopIfTrue="1" operator="equal">
      <formula>"Pass"</formula>
    </cfRule>
  </conditionalFormatting>
  <conditionalFormatting sqref="D551:I551 A551">
    <cfRule type="cellIs" dxfId="5339" priority="7819" stopIfTrue="1" operator="equal">
      <formula>"Fail"</formula>
    </cfRule>
    <cfRule type="cellIs" dxfId="5338" priority="7820" stopIfTrue="1" operator="equal">
      <formula>"Pass"</formula>
    </cfRule>
  </conditionalFormatting>
  <conditionalFormatting sqref="I552">
    <cfRule type="cellIs" dxfId="5337" priority="7809" stopIfTrue="1" operator="equal">
      <formula>"Fail"</formula>
    </cfRule>
    <cfRule type="cellIs" dxfId="5336" priority="7810" stopIfTrue="1" operator="equal">
      <formula>"Pass"</formula>
    </cfRule>
  </conditionalFormatting>
  <conditionalFormatting sqref="C552">
    <cfRule type="cellIs" dxfId="5335" priority="7807" stopIfTrue="1" operator="equal">
      <formula>"Fail"</formula>
    </cfRule>
    <cfRule type="cellIs" dxfId="5334" priority="7808" stopIfTrue="1" operator="equal">
      <formula>"Pass"</formula>
    </cfRule>
  </conditionalFormatting>
  <conditionalFormatting sqref="C552:I552 A552">
    <cfRule type="cellIs" dxfId="5333" priority="7813" stopIfTrue="1" operator="equal">
      <formula>"Fail"</formula>
    </cfRule>
    <cfRule type="cellIs" dxfId="5332" priority="7814" stopIfTrue="1" operator="equal">
      <formula>"Pass"</formula>
    </cfRule>
  </conditionalFormatting>
  <conditionalFormatting sqref="D552:I552 A552">
    <cfRule type="cellIs" dxfId="5331" priority="7811" stopIfTrue="1" operator="equal">
      <formula>"Fail"</formula>
    </cfRule>
    <cfRule type="cellIs" dxfId="5330" priority="7812" stopIfTrue="1" operator="equal">
      <formula>"Pass"</formula>
    </cfRule>
  </conditionalFormatting>
  <conditionalFormatting sqref="I554">
    <cfRule type="cellIs" dxfId="5329" priority="7801" stopIfTrue="1" operator="equal">
      <formula>"Fail"</formula>
    </cfRule>
    <cfRule type="cellIs" dxfId="5328" priority="7802" stopIfTrue="1" operator="equal">
      <formula>"Pass"</formula>
    </cfRule>
  </conditionalFormatting>
  <conditionalFormatting sqref="C554">
    <cfRule type="cellIs" dxfId="5327" priority="7799" stopIfTrue="1" operator="equal">
      <formula>"Fail"</formula>
    </cfRule>
    <cfRule type="cellIs" dxfId="5326" priority="7800" stopIfTrue="1" operator="equal">
      <formula>"Pass"</formula>
    </cfRule>
  </conditionalFormatting>
  <conditionalFormatting sqref="C554:D554 A554 F554:I554">
    <cfRule type="cellIs" dxfId="5325" priority="7805" stopIfTrue="1" operator="equal">
      <formula>"Fail"</formula>
    </cfRule>
    <cfRule type="cellIs" dxfId="5324" priority="7806" stopIfTrue="1" operator="equal">
      <formula>"Pass"</formula>
    </cfRule>
  </conditionalFormatting>
  <conditionalFormatting sqref="D554 A554 F554:I554">
    <cfRule type="cellIs" dxfId="5323" priority="7803" stopIfTrue="1" operator="equal">
      <formula>"Fail"</formula>
    </cfRule>
    <cfRule type="cellIs" dxfId="5322" priority="7804" stopIfTrue="1" operator="equal">
      <formula>"Pass"</formula>
    </cfRule>
  </conditionalFormatting>
  <conditionalFormatting sqref="E554">
    <cfRule type="cellIs" dxfId="5321" priority="7797" stopIfTrue="1" operator="equal">
      <formula>"Fail"</formula>
    </cfRule>
    <cfRule type="cellIs" dxfId="5320" priority="7798" stopIfTrue="1" operator="equal">
      <formula>"Pass"</formula>
    </cfRule>
  </conditionalFormatting>
  <conditionalFormatting sqref="A553 D553:I553">
    <cfRule type="cellIs" dxfId="5319" priority="7793" stopIfTrue="1" operator="equal">
      <formula>"Fail"</formula>
    </cfRule>
    <cfRule type="cellIs" dxfId="5318" priority="7794" stopIfTrue="1" operator="equal">
      <formula>"Pass"</formula>
    </cfRule>
  </conditionalFormatting>
  <conditionalFormatting sqref="A553 C553:I553">
    <cfRule type="cellIs" dxfId="5317" priority="7795" stopIfTrue="1" operator="equal">
      <formula>"Fail"</formula>
    </cfRule>
    <cfRule type="cellIs" dxfId="5316" priority="7796" stopIfTrue="1" operator="equal">
      <formula>"Pass"</formula>
    </cfRule>
  </conditionalFormatting>
  <conditionalFormatting sqref="I553">
    <cfRule type="cellIs" dxfId="5315" priority="7791" stopIfTrue="1" operator="equal">
      <formula>"Fail"</formula>
    </cfRule>
    <cfRule type="cellIs" dxfId="5314" priority="7792" stopIfTrue="1" operator="equal">
      <formula>"Pass"</formula>
    </cfRule>
  </conditionalFormatting>
  <conditionalFormatting sqref="C553">
    <cfRule type="cellIs" dxfId="5313" priority="7789" stopIfTrue="1" operator="equal">
      <formula>"Fail"</formula>
    </cfRule>
    <cfRule type="cellIs" dxfId="5312" priority="7790" stopIfTrue="1" operator="equal">
      <formula>"Pass"</formula>
    </cfRule>
  </conditionalFormatting>
  <conditionalFormatting sqref="A548">
    <cfRule type="cellIs" dxfId="5311" priority="7787" stopIfTrue="1" operator="equal">
      <formula>"Fail"</formula>
    </cfRule>
    <cfRule type="cellIs" dxfId="5310" priority="7788" stopIfTrue="1" operator="equal">
      <formula>"Pass"</formula>
    </cfRule>
  </conditionalFormatting>
  <conditionalFormatting sqref="C548:I548">
    <cfRule type="cellIs" dxfId="5309" priority="7785" stopIfTrue="1" operator="equal">
      <formula>"Fail"</formula>
    </cfRule>
    <cfRule type="cellIs" dxfId="5308" priority="7786" stopIfTrue="1" operator="equal">
      <formula>"Pass"</formula>
    </cfRule>
  </conditionalFormatting>
  <conditionalFormatting sqref="B548">
    <cfRule type="cellIs" dxfId="5307" priority="7783" stopIfTrue="1" operator="equal">
      <formula>"Fail"</formula>
    </cfRule>
    <cfRule type="cellIs" dxfId="5306" priority="7784" stopIfTrue="1" operator="equal">
      <formula>"Pass"</formula>
    </cfRule>
  </conditionalFormatting>
  <conditionalFormatting sqref="A555">
    <cfRule type="cellIs" dxfId="5305" priority="7781" stopIfTrue="1" operator="equal">
      <formula>"Fail"</formula>
    </cfRule>
    <cfRule type="cellIs" dxfId="5304" priority="7782" stopIfTrue="1" operator="equal">
      <formula>"Pass"</formula>
    </cfRule>
  </conditionalFormatting>
  <conditionalFormatting sqref="C555">
    <cfRule type="cellIs" dxfId="5303" priority="7777" stopIfTrue="1" operator="equal">
      <formula>"Fail"</formula>
    </cfRule>
    <cfRule type="cellIs" dxfId="5302" priority="7778" stopIfTrue="1" operator="equal">
      <formula>"Pass"</formula>
    </cfRule>
  </conditionalFormatting>
  <conditionalFormatting sqref="C555">
    <cfRule type="cellIs" dxfId="5301" priority="7771" stopIfTrue="1" operator="equal">
      <formula>"Fail"</formula>
    </cfRule>
    <cfRule type="cellIs" dxfId="5300" priority="7772" stopIfTrue="1" operator="equal">
      <formula>"Pass"</formula>
    </cfRule>
  </conditionalFormatting>
  <conditionalFormatting sqref="A555 C555:D555 F555:H555">
    <cfRule type="cellIs" dxfId="5299" priority="7775" stopIfTrue="1" operator="equal">
      <formula>"Fail"</formula>
    </cfRule>
    <cfRule type="cellIs" dxfId="5298" priority="7776" stopIfTrue="1" operator="equal">
      <formula>"Pass"</formula>
    </cfRule>
  </conditionalFormatting>
  <conditionalFormatting sqref="A555 D555 F555:H555">
    <cfRule type="cellIs" dxfId="5297" priority="7773" stopIfTrue="1" operator="equal">
      <formula>"Fail"</formula>
    </cfRule>
    <cfRule type="cellIs" dxfId="5296" priority="7774" stopIfTrue="1" operator="equal">
      <formula>"Pass"</formula>
    </cfRule>
  </conditionalFormatting>
  <conditionalFormatting sqref="I555">
    <cfRule type="cellIs" dxfId="5295" priority="7765" stopIfTrue="1" operator="equal">
      <formula>"Fail"</formula>
    </cfRule>
    <cfRule type="cellIs" dxfId="5294" priority="7766" stopIfTrue="1" operator="equal">
      <formula>"Pass"</formula>
    </cfRule>
  </conditionalFormatting>
  <conditionalFormatting sqref="I555">
    <cfRule type="cellIs" dxfId="5293" priority="7769" stopIfTrue="1" operator="equal">
      <formula>"Fail"</formula>
    </cfRule>
    <cfRule type="cellIs" dxfId="5292" priority="7770" stopIfTrue="1" operator="equal">
      <formula>"Pass"</formula>
    </cfRule>
  </conditionalFormatting>
  <conditionalFormatting sqref="I555">
    <cfRule type="cellIs" dxfId="5291" priority="7767" stopIfTrue="1" operator="equal">
      <formula>"Fail"</formula>
    </cfRule>
    <cfRule type="cellIs" dxfId="5290" priority="7768" stopIfTrue="1" operator="equal">
      <formula>"Pass"</formula>
    </cfRule>
  </conditionalFormatting>
  <conditionalFormatting sqref="A556 C556:I556">
    <cfRule type="cellIs" dxfId="5289" priority="7763" stopIfTrue="1" operator="equal">
      <formula>"Fail"</formula>
    </cfRule>
    <cfRule type="cellIs" dxfId="5288" priority="7764" stopIfTrue="1" operator="equal">
      <formula>"Pass"</formula>
    </cfRule>
  </conditionalFormatting>
  <conditionalFormatting sqref="B556">
    <cfRule type="cellIs" dxfId="5287" priority="7761" stopIfTrue="1" operator="equal">
      <formula>"Fail"</formula>
    </cfRule>
    <cfRule type="cellIs" dxfId="5286" priority="7762" stopIfTrue="1" operator="equal">
      <formula>"Pass"</formula>
    </cfRule>
  </conditionalFormatting>
  <conditionalFormatting sqref="I559">
    <cfRule type="cellIs" dxfId="5285" priority="7723" stopIfTrue="1" operator="equal">
      <formula>"Fail"</formula>
    </cfRule>
    <cfRule type="cellIs" dxfId="5284" priority="7724" stopIfTrue="1" operator="equal">
      <formula>"Pass"</formula>
    </cfRule>
  </conditionalFormatting>
  <conditionalFormatting sqref="C559">
    <cfRule type="cellIs" dxfId="5283" priority="7721" stopIfTrue="1" operator="equal">
      <formula>"Fail"</formula>
    </cfRule>
    <cfRule type="cellIs" dxfId="5282" priority="7722" stopIfTrue="1" operator="equal">
      <formula>"Pass"</formula>
    </cfRule>
  </conditionalFormatting>
  <conditionalFormatting sqref="C559:D559 A559 F559:I559">
    <cfRule type="cellIs" dxfId="5281" priority="7727" stopIfTrue="1" operator="equal">
      <formula>"Fail"</formula>
    </cfRule>
    <cfRule type="cellIs" dxfId="5280" priority="7728" stopIfTrue="1" operator="equal">
      <formula>"Pass"</formula>
    </cfRule>
  </conditionalFormatting>
  <conditionalFormatting sqref="D559 A559 F559:I559">
    <cfRule type="cellIs" dxfId="5279" priority="7725" stopIfTrue="1" operator="equal">
      <formula>"Fail"</formula>
    </cfRule>
    <cfRule type="cellIs" dxfId="5278" priority="7726" stopIfTrue="1" operator="equal">
      <formula>"Pass"</formula>
    </cfRule>
  </conditionalFormatting>
  <conditionalFormatting sqref="A558 D558:I558">
    <cfRule type="cellIs" dxfId="5277" priority="7715" stopIfTrue="1" operator="equal">
      <formula>"Fail"</formula>
    </cfRule>
    <cfRule type="cellIs" dxfId="5276" priority="7716" stopIfTrue="1" operator="equal">
      <formula>"Pass"</formula>
    </cfRule>
  </conditionalFormatting>
  <conditionalFormatting sqref="E559">
    <cfRule type="cellIs" dxfId="5275" priority="7719" stopIfTrue="1" operator="equal">
      <formula>"Fail"</formula>
    </cfRule>
    <cfRule type="cellIs" dxfId="5274" priority="7720" stopIfTrue="1" operator="equal">
      <formula>"Pass"</formula>
    </cfRule>
  </conditionalFormatting>
  <conditionalFormatting sqref="A558 C558:I558">
    <cfRule type="cellIs" dxfId="5273" priority="7717" stopIfTrue="1" operator="equal">
      <formula>"Fail"</formula>
    </cfRule>
    <cfRule type="cellIs" dxfId="5272" priority="7718" stopIfTrue="1" operator="equal">
      <formula>"Pass"</formula>
    </cfRule>
  </conditionalFormatting>
  <conditionalFormatting sqref="I558">
    <cfRule type="cellIs" dxfId="5271" priority="7713" stopIfTrue="1" operator="equal">
      <formula>"Fail"</formula>
    </cfRule>
    <cfRule type="cellIs" dxfId="5270" priority="7714" stopIfTrue="1" operator="equal">
      <formula>"Pass"</formula>
    </cfRule>
  </conditionalFormatting>
  <conditionalFormatting sqref="C558">
    <cfRule type="cellIs" dxfId="5269" priority="7711" stopIfTrue="1" operator="equal">
      <formula>"Fail"</formula>
    </cfRule>
    <cfRule type="cellIs" dxfId="5268" priority="7712" stopIfTrue="1" operator="equal">
      <formula>"Pass"</formula>
    </cfRule>
  </conditionalFormatting>
  <conditionalFormatting sqref="A560">
    <cfRule type="cellIs" dxfId="5267" priority="7709" stopIfTrue="1" operator="equal">
      <formula>"Fail"</formula>
    </cfRule>
    <cfRule type="cellIs" dxfId="5266" priority="7710" stopIfTrue="1" operator="equal">
      <formula>"Pass"</formula>
    </cfRule>
  </conditionalFormatting>
  <conditionalFormatting sqref="C560">
    <cfRule type="cellIs" dxfId="5265" priority="7705" stopIfTrue="1" operator="equal">
      <formula>"Fail"</formula>
    </cfRule>
    <cfRule type="cellIs" dxfId="5264" priority="7706" stopIfTrue="1" operator="equal">
      <formula>"Pass"</formula>
    </cfRule>
  </conditionalFormatting>
  <conditionalFormatting sqref="C560">
    <cfRule type="cellIs" dxfId="5263" priority="7699" stopIfTrue="1" operator="equal">
      <formula>"Fail"</formula>
    </cfRule>
    <cfRule type="cellIs" dxfId="5262" priority="7700" stopIfTrue="1" operator="equal">
      <formula>"Pass"</formula>
    </cfRule>
  </conditionalFormatting>
  <conditionalFormatting sqref="A560 C560:D560 F560:H560">
    <cfRule type="cellIs" dxfId="5261" priority="7703" stopIfTrue="1" operator="equal">
      <formula>"Fail"</formula>
    </cfRule>
    <cfRule type="cellIs" dxfId="5260" priority="7704" stopIfTrue="1" operator="equal">
      <formula>"Pass"</formula>
    </cfRule>
  </conditionalFormatting>
  <conditionalFormatting sqref="A560 D560 F560:H560">
    <cfRule type="cellIs" dxfId="5259" priority="7701" stopIfTrue="1" operator="equal">
      <formula>"Fail"</formula>
    </cfRule>
    <cfRule type="cellIs" dxfId="5258" priority="7702" stopIfTrue="1" operator="equal">
      <formula>"Pass"</formula>
    </cfRule>
  </conditionalFormatting>
  <conditionalFormatting sqref="I560">
    <cfRule type="cellIs" dxfId="5257" priority="7693" stopIfTrue="1" operator="equal">
      <formula>"Fail"</formula>
    </cfRule>
    <cfRule type="cellIs" dxfId="5256" priority="7694" stopIfTrue="1" operator="equal">
      <formula>"Pass"</formula>
    </cfRule>
  </conditionalFormatting>
  <conditionalFormatting sqref="I560">
    <cfRule type="cellIs" dxfId="5255" priority="7697" stopIfTrue="1" operator="equal">
      <formula>"Fail"</formula>
    </cfRule>
    <cfRule type="cellIs" dxfId="5254" priority="7698" stopIfTrue="1" operator="equal">
      <formula>"Pass"</formula>
    </cfRule>
  </conditionalFormatting>
  <conditionalFormatting sqref="I560">
    <cfRule type="cellIs" dxfId="5253" priority="7695" stopIfTrue="1" operator="equal">
      <formula>"Fail"</formula>
    </cfRule>
    <cfRule type="cellIs" dxfId="5252" priority="7696" stopIfTrue="1" operator="equal">
      <formula>"Pass"</formula>
    </cfRule>
  </conditionalFormatting>
  <conditionalFormatting sqref="A562 C562:I562">
    <cfRule type="cellIs" dxfId="5251" priority="7691" stopIfTrue="1" operator="equal">
      <formula>"Fail"</formula>
    </cfRule>
    <cfRule type="cellIs" dxfId="5250" priority="7692" stopIfTrue="1" operator="equal">
      <formula>"Pass"</formula>
    </cfRule>
  </conditionalFormatting>
  <conditionalFormatting sqref="B562">
    <cfRule type="cellIs" dxfId="5249" priority="7689" stopIfTrue="1" operator="equal">
      <formula>"Fail"</formula>
    </cfRule>
    <cfRule type="cellIs" dxfId="5248" priority="7690" stopIfTrue="1" operator="equal">
      <formula>"Pass"</formula>
    </cfRule>
  </conditionalFormatting>
  <conditionalFormatting sqref="B561">
    <cfRule type="cellIs" dxfId="5247" priority="7687" stopIfTrue="1" operator="equal">
      <formula>"Fail"</formula>
    </cfRule>
    <cfRule type="cellIs" dxfId="5246" priority="7688" stopIfTrue="1" operator="equal">
      <formula>"Pass"</formula>
    </cfRule>
  </conditionalFormatting>
  <conditionalFormatting sqref="A561">
    <cfRule type="cellIs" dxfId="5245" priority="7685" stopIfTrue="1" operator="equal">
      <formula>"Fail"</formula>
    </cfRule>
    <cfRule type="cellIs" dxfId="5244" priority="7686" stopIfTrue="1" operator="equal">
      <formula>"Pass"</formula>
    </cfRule>
  </conditionalFormatting>
  <conditionalFormatting sqref="C561">
    <cfRule type="cellIs" dxfId="5243" priority="7683" stopIfTrue="1" operator="equal">
      <formula>"Fail"</formula>
    </cfRule>
    <cfRule type="cellIs" dxfId="5242" priority="7684" stopIfTrue="1" operator="equal">
      <formula>"Pass"</formula>
    </cfRule>
  </conditionalFormatting>
  <conditionalFormatting sqref="I561">
    <cfRule type="cellIs" dxfId="5241" priority="7677" stopIfTrue="1" operator="equal">
      <formula>"Fail"</formula>
    </cfRule>
    <cfRule type="cellIs" dxfId="5240" priority="7678" stopIfTrue="1" operator="equal">
      <formula>"Pass"</formula>
    </cfRule>
  </conditionalFormatting>
  <conditionalFormatting sqref="I561">
    <cfRule type="cellIs" dxfId="5239" priority="7681" stopIfTrue="1" operator="equal">
      <formula>"Fail"</formula>
    </cfRule>
    <cfRule type="cellIs" dxfId="5238" priority="7682" stopIfTrue="1" operator="equal">
      <formula>"Pass"</formula>
    </cfRule>
  </conditionalFormatting>
  <conditionalFormatting sqref="I561">
    <cfRule type="cellIs" dxfId="5237" priority="7679" stopIfTrue="1" operator="equal">
      <formula>"Fail"</formula>
    </cfRule>
    <cfRule type="cellIs" dxfId="5236" priority="7680" stopIfTrue="1" operator="equal">
      <formula>"Pass"</formula>
    </cfRule>
  </conditionalFormatting>
  <conditionalFormatting sqref="I550">
    <cfRule type="cellIs" dxfId="5235" priority="7671" stopIfTrue="1" operator="equal">
      <formula>"Fail"</formula>
    </cfRule>
    <cfRule type="cellIs" dxfId="5234" priority="7672" stopIfTrue="1" operator="equal">
      <formula>"Pass"</formula>
    </cfRule>
  </conditionalFormatting>
  <conditionalFormatting sqref="C550">
    <cfRule type="cellIs" dxfId="5233" priority="7669" stopIfTrue="1" operator="equal">
      <formula>"Fail"</formula>
    </cfRule>
    <cfRule type="cellIs" dxfId="5232" priority="7670" stopIfTrue="1" operator="equal">
      <formula>"Pass"</formula>
    </cfRule>
  </conditionalFormatting>
  <conditionalFormatting sqref="C550:I550 A550">
    <cfRule type="cellIs" dxfId="5231" priority="7675" stopIfTrue="1" operator="equal">
      <formula>"Fail"</formula>
    </cfRule>
    <cfRule type="cellIs" dxfId="5230" priority="7676" stopIfTrue="1" operator="equal">
      <formula>"Pass"</formula>
    </cfRule>
  </conditionalFormatting>
  <conditionalFormatting sqref="D550:I550 A550">
    <cfRule type="cellIs" dxfId="5229" priority="7673" stopIfTrue="1" operator="equal">
      <formula>"Fail"</formula>
    </cfRule>
    <cfRule type="cellIs" dxfId="5228" priority="7674" stopIfTrue="1" operator="equal">
      <formula>"Pass"</formula>
    </cfRule>
  </conditionalFormatting>
  <conditionalFormatting sqref="C391">
    <cfRule type="cellIs" dxfId="5227" priority="7645" stopIfTrue="1" operator="equal">
      <formula>"Fail"</formula>
    </cfRule>
    <cfRule type="cellIs" dxfId="5226" priority="7646" stopIfTrue="1" operator="equal">
      <formula>"Pass"</formula>
    </cfRule>
  </conditionalFormatting>
  <conditionalFormatting sqref="C391">
    <cfRule type="cellIs" dxfId="5225" priority="7647" stopIfTrue="1" operator="equal">
      <formula>"Fail"</formula>
    </cfRule>
    <cfRule type="cellIs" dxfId="5224" priority="7648" stopIfTrue="1" operator="equal">
      <formula>"Pass"</formula>
    </cfRule>
  </conditionalFormatting>
  <conditionalFormatting sqref="C383">
    <cfRule type="cellIs" dxfId="5223" priority="7643" stopIfTrue="1" operator="equal">
      <formula>"Fail"</formula>
    </cfRule>
    <cfRule type="cellIs" dxfId="5222" priority="7644" stopIfTrue="1" operator="equal">
      <formula>"Pass"</formula>
    </cfRule>
  </conditionalFormatting>
  <conditionalFormatting sqref="C383">
    <cfRule type="cellIs" dxfId="5221" priority="7641" stopIfTrue="1" operator="equal">
      <formula>"Fail"</formula>
    </cfRule>
    <cfRule type="cellIs" dxfId="5220" priority="7642" stopIfTrue="1" operator="equal">
      <formula>"Pass"</formula>
    </cfRule>
  </conditionalFormatting>
  <conditionalFormatting sqref="C396">
    <cfRule type="cellIs" dxfId="5219" priority="7637" stopIfTrue="1" operator="equal">
      <formula>"Fail"</formula>
    </cfRule>
    <cfRule type="cellIs" dxfId="5218" priority="7638" stopIfTrue="1" operator="equal">
      <formula>"Pass"</formula>
    </cfRule>
  </conditionalFormatting>
  <conditionalFormatting sqref="C396">
    <cfRule type="cellIs" dxfId="5217" priority="7639" stopIfTrue="1" operator="equal">
      <formula>"Fail"</formula>
    </cfRule>
    <cfRule type="cellIs" dxfId="5216" priority="7640" stopIfTrue="1" operator="equal">
      <formula>"Pass"</formula>
    </cfRule>
  </conditionalFormatting>
  <conditionalFormatting sqref="A440 C440:I440">
    <cfRule type="cellIs" dxfId="5215" priority="7601" stopIfTrue="1" operator="equal">
      <formula>"Fail"</formula>
    </cfRule>
    <cfRule type="cellIs" dxfId="5214" priority="7602" stopIfTrue="1" operator="equal">
      <formula>"Pass"</formula>
    </cfRule>
  </conditionalFormatting>
  <conditionalFormatting sqref="B440">
    <cfRule type="cellIs" dxfId="5213" priority="7599" stopIfTrue="1" operator="equal">
      <formula>"Fail"</formula>
    </cfRule>
    <cfRule type="cellIs" dxfId="5212" priority="7600" stopIfTrue="1" operator="equal">
      <formula>"Pass"</formula>
    </cfRule>
  </conditionalFormatting>
  <conditionalFormatting sqref="B292">
    <cfRule type="cellIs" dxfId="5211" priority="7567" stopIfTrue="1" operator="equal">
      <formula>"Fail"</formula>
    </cfRule>
    <cfRule type="cellIs" dxfId="5210" priority="7568" stopIfTrue="1" operator="equal">
      <formula>"Pass"</formula>
    </cfRule>
  </conditionalFormatting>
  <conditionalFormatting sqref="I483">
    <cfRule type="cellIs" dxfId="5209" priority="7585" stopIfTrue="1" operator="equal">
      <formula>"Fail"</formula>
    </cfRule>
    <cfRule type="cellIs" dxfId="5208" priority="7586" stopIfTrue="1" operator="equal">
      <formula>"Pass"</formula>
    </cfRule>
  </conditionalFormatting>
  <conditionalFormatting sqref="C483">
    <cfRule type="cellIs" dxfId="5207" priority="7583" stopIfTrue="1" operator="equal">
      <formula>"Fail"</formula>
    </cfRule>
    <cfRule type="cellIs" dxfId="5206" priority="7584" stopIfTrue="1" operator="equal">
      <formula>"Pass"</formula>
    </cfRule>
  </conditionalFormatting>
  <conditionalFormatting sqref="C483:I483 A483">
    <cfRule type="cellIs" dxfId="5205" priority="7589" stopIfTrue="1" operator="equal">
      <formula>"Fail"</formula>
    </cfRule>
    <cfRule type="cellIs" dxfId="5204" priority="7590" stopIfTrue="1" operator="equal">
      <formula>"Pass"</formula>
    </cfRule>
  </conditionalFormatting>
  <conditionalFormatting sqref="D483:I483 A483">
    <cfRule type="cellIs" dxfId="5203" priority="7587" stopIfTrue="1" operator="equal">
      <formula>"Fail"</formula>
    </cfRule>
    <cfRule type="cellIs" dxfId="5202" priority="7588" stopIfTrue="1" operator="equal">
      <formula>"Pass"</formula>
    </cfRule>
  </conditionalFormatting>
  <conditionalFormatting sqref="A449 C449:I449">
    <cfRule type="cellIs" dxfId="5201" priority="7541" stopIfTrue="1" operator="equal">
      <formula>"Fail"</formula>
    </cfRule>
    <cfRule type="cellIs" dxfId="5200" priority="7542" stopIfTrue="1" operator="equal">
      <formula>"Pass"</formula>
    </cfRule>
  </conditionalFormatting>
  <conditionalFormatting sqref="A449 D449:I449">
    <cfRule type="cellIs" dxfId="5199" priority="7539" stopIfTrue="1" operator="equal">
      <formula>"Fail"</formula>
    </cfRule>
    <cfRule type="cellIs" dxfId="5198" priority="7540" stopIfTrue="1" operator="equal">
      <formula>"Pass"</formula>
    </cfRule>
  </conditionalFormatting>
  <conditionalFormatting sqref="I449">
    <cfRule type="cellIs" dxfId="5197" priority="7537" stopIfTrue="1" operator="equal">
      <formula>"Fail"</formula>
    </cfRule>
    <cfRule type="cellIs" dxfId="5196" priority="7538" stopIfTrue="1" operator="equal">
      <formula>"Pass"</formula>
    </cfRule>
  </conditionalFormatting>
  <conditionalFormatting sqref="C449">
    <cfRule type="cellIs" dxfId="5195" priority="7535" stopIfTrue="1" operator="equal">
      <formula>"Fail"</formula>
    </cfRule>
    <cfRule type="cellIs" dxfId="5194" priority="7536" stopIfTrue="1" operator="equal">
      <formula>"Pass"</formula>
    </cfRule>
  </conditionalFormatting>
  <conditionalFormatting sqref="A450 D450:I450">
    <cfRule type="cellIs" dxfId="5193" priority="7495" stopIfTrue="1" operator="equal">
      <formula>"Fail"</formula>
    </cfRule>
    <cfRule type="cellIs" dxfId="5192" priority="7496" stopIfTrue="1" operator="equal">
      <formula>"Pass"</formula>
    </cfRule>
  </conditionalFormatting>
  <conditionalFormatting sqref="A450 C450:I450">
    <cfRule type="cellIs" dxfId="5191" priority="7497" stopIfTrue="1" operator="equal">
      <formula>"Fail"</formula>
    </cfRule>
    <cfRule type="cellIs" dxfId="5190" priority="7498" stopIfTrue="1" operator="equal">
      <formula>"Pass"</formula>
    </cfRule>
  </conditionalFormatting>
  <conditionalFormatting sqref="I450">
    <cfRule type="cellIs" dxfId="5189" priority="7493" stopIfTrue="1" operator="equal">
      <formula>"Fail"</formula>
    </cfRule>
    <cfRule type="cellIs" dxfId="5188" priority="7494" stopIfTrue="1" operator="equal">
      <formula>"Pass"</formula>
    </cfRule>
  </conditionalFormatting>
  <conditionalFormatting sqref="C450">
    <cfRule type="cellIs" dxfId="5187" priority="7491" stopIfTrue="1" operator="equal">
      <formula>"Fail"</formula>
    </cfRule>
    <cfRule type="cellIs" dxfId="5186" priority="7492" stopIfTrue="1" operator="equal">
      <formula>"Pass"</formula>
    </cfRule>
  </conditionalFormatting>
  <conditionalFormatting sqref="A453">
    <cfRule type="cellIs" dxfId="5185" priority="7489" stopIfTrue="1" operator="equal">
      <formula>"Fail"</formula>
    </cfRule>
    <cfRule type="cellIs" dxfId="5184" priority="7490" stopIfTrue="1" operator="equal">
      <formula>"Pass"</formula>
    </cfRule>
  </conditionalFormatting>
  <conditionalFormatting sqref="C453">
    <cfRule type="cellIs" dxfId="5183" priority="7479" stopIfTrue="1" operator="equal">
      <formula>"Fail"</formula>
    </cfRule>
    <cfRule type="cellIs" dxfId="5182" priority="7480" stopIfTrue="1" operator="equal">
      <formula>"Pass"</formula>
    </cfRule>
  </conditionalFormatting>
  <conditionalFormatting sqref="A454 C454:I454">
    <cfRule type="cellIs" dxfId="5181" priority="7475" stopIfTrue="1" operator="equal">
      <formula>"Fail"</formula>
    </cfRule>
    <cfRule type="cellIs" dxfId="5180" priority="7476" stopIfTrue="1" operator="equal">
      <formula>"Pass"</formula>
    </cfRule>
  </conditionalFormatting>
  <conditionalFormatting sqref="B454">
    <cfRule type="cellIs" dxfId="5179" priority="7473" stopIfTrue="1" operator="equal">
      <formula>"Fail"</formula>
    </cfRule>
    <cfRule type="cellIs" dxfId="5178" priority="7474" stopIfTrue="1" operator="equal">
      <formula>"Pass"</formula>
    </cfRule>
  </conditionalFormatting>
  <conditionalFormatting sqref="A456 D456:I456">
    <cfRule type="cellIs" dxfId="5177" priority="7431" stopIfTrue="1" operator="equal">
      <formula>"Fail"</formula>
    </cfRule>
    <cfRule type="cellIs" dxfId="5176" priority="7432" stopIfTrue="1" operator="equal">
      <formula>"Pass"</formula>
    </cfRule>
  </conditionalFormatting>
  <conditionalFormatting sqref="A456 C456:I456">
    <cfRule type="cellIs" dxfId="5175" priority="7433" stopIfTrue="1" operator="equal">
      <formula>"Fail"</formula>
    </cfRule>
    <cfRule type="cellIs" dxfId="5174" priority="7434" stopIfTrue="1" operator="equal">
      <formula>"Pass"</formula>
    </cfRule>
  </conditionalFormatting>
  <conditionalFormatting sqref="I456">
    <cfRule type="cellIs" dxfId="5173" priority="7429" stopIfTrue="1" operator="equal">
      <formula>"Fail"</formula>
    </cfRule>
    <cfRule type="cellIs" dxfId="5172" priority="7430" stopIfTrue="1" operator="equal">
      <formula>"Pass"</formula>
    </cfRule>
  </conditionalFormatting>
  <conditionalFormatting sqref="C456">
    <cfRule type="cellIs" dxfId="5171" priority="7427" stopIfTrue="1" operator="equal">
      <formula>"Fail"</formula>
    </cfRule>
    <cfRule type="cellIs" dxfId="5170" priority="7428" stopIfTrue="1" operator="equal">
      <formula>"Pass"</formula>
    </cfRule>
  </conditionalFormatting>
  <conditionalFormatting sqref="A459">
    <cfRule type="cellIs" dxfId="5169" priority="7425" stopIfTrue="1" operator="equal">
      <formula>"Fail"</formula>
    </cfRule>
    <cfRule type="cellIs" dxfId="5168" priority="7426" stopIfTrue="1" operator="equal">
      <formula>"Pass"</formula>
    </cfRule>
  </conditionalFormatting>
  <conditionalFormatting sqref="C459">
    <cfRule type="cellIs" dxfId="5167" priority="7415" stopIfTrue="1" operator="equal">
      <formula>"Fail"</formula>
    </cfRule>
    <cfRule type="cellIs" dxfId="5166" priority="7416" stopIfTrue="1" operator="equal">
      <formula>"Pass"</formula>
    </cfRule>
  </conditionalFormatting>
  <conditionalFormatting sqref="A460 C460:I460">
    <cfRule type="cellIs" dxfId="5165" priority="7411" stopIfTrue="1" operator="equal">
      <formula>"Fail"</formula>
    </cfRule>
    <cfRule type="cellIs" dxfId="5164" priority="7412" stopIfTrue="1" operator="equal">
      <formula>"Pass"</formula>
    </cfRule>
  </conditionalFormatting>
  <conditionalFormatting sqref="B460">
    <cfRule type="cellIs" dxfId="5163" priority="7409" stopIfTrue="1" operator="equal">
      <formula>"Fail"</formula>
    </cfRule>
    <cfRule type="cellIs" dxfId="5162" priority="7410" stopIfTrue="1" operator="equal">
      <formula>"Pass"</formula>
    </cfRule>
  </conditionalFormatting>
  <conditionalFormatting sqref="A455 C455:I455">
    <cfRule type="cellIs" dxfId="5161" priority="7279" stopIfTrue="1" operator="equal">
      <formula>"Fail"</formula>
    </cfRule>
    <cfRule type="cellIs" dxfId="5160" priority="7280" stopIfTrue="1" operator="equal">
      <formula>"Pass"</formula>
    </cfRule>
  </conditionalFormatting>
  <conditionalFormatting sqref="A455 D455:I455">
    <cfRule type="cellIs" dxfId="5159" priority="7277" stopIfTrue="1" operator="equal">
      <formula>"Fail"</formula>
    </cfRule>
    <cfRule type="cellIs" dxfId="5158" priority="7278" stopIfTrue="1" operator="equal">
      <formula>"Pass"</formula>
    </cfRule>
  </conditionalFormatting>
  <conditionalFormatting sqref="I455">
    <cfRule type="cellIs" dxfId="5157" priority="7275" stopIfTrue="1" operator="equal">
      <formula>"Fail"</formula>
    </cfRule>
    <cfRule type="cellIs" dxfId="5156" priority="7276" stopIfTrue="1" operator="equal">
      <formula>"Pass"</formula>
    </cfRule>
  </conditionalFormatting>
  <conditionalFormatting sqref="C455">
    <cfRule type="cellIs" dxfId="5155" priority="7273" stopIfTrue="1" operator="equal">
      <formula>"Fail"</formula>
    </cfRule>
    <cfRule type="cellIs" dxfId="5154" priority="7274" stopIfTrue="1" operator="equal">
      <formula>"Pass"</formula>
    </cfRule>
  </conditionalFormatting>
  <conditionalFormatting sqref="A730">
    <cfRule type="containsText" dxfId="5153" priority="7261" operator="containsText" text="CALIBRATION NUMBER(S) MISSING">
      <formula>NOT(ISERROR(SEARCH("CALIBRATION NUMBER(S) MISSING",A730)))</formula>
    </cfRule>
    <cfRule type="containsText" dxfId="5152" priority="7262" operator="containsText" text="ENTER TESTER ID">
      <formula>NOT(ISERROR(SEARCH("ENTER TESTER ID",A730)))</formula>
    </cfRule>
    <cfRule type="containsText" dxfId="5151" priority="7263" operator="containsText" text="NO SERIAL NUMBER">
      <formula>NOT(ISERROR(SEARCH("NO SERIAL NUMBER",A730)))</formula>
    </cfRule>
    <cfRule type="containsText" dxfId="5150" priority="7264" operator="containsText" text="NO UNIT TYPE">
      <formula>NOT(ISERROR(SEARCH("NO UNIT TYPE",A730)))</formula>
    </cfRule>
  </conditionalFormatting>
  <conditionalFormatting sqref="B730">
    <cfRule type="containsText" dxfId="5149" priority="7257" operator="containsText" text="CALIBRATION NUMBER(S) MISSING">
      <formula>NOT(ISERROR(SEARCH("CALIBRATION NUMBER(S) MISSING",B730)))</formula>
    </cfRule>
    <cfRule type="containsText" dxfId="5148" priority="7258" operator="containsText" text="ENTER TESTER ID">
      <formula>NOT(ISERROR(SEARCH("ENTER TESTER ID",B730)))</formula>
    </cfRule>
    <cfRule type="containsText" dxfId="5147" priority="7259" operator="containsText" text="NO SERIAL NUMBER">
      <formula>NOT(ISERROR(SEARCH("NO SERIAL NUMBER",B730)))</formula>
    </cfRule>
    <cfRule type="containsText" dxfId="5146" priority="7260" operator="containsText" text="NO UNIT TYPE">
      <formula>NOT(ISERROR(SEARCH("NO UNIT TYPE",B730)))</formula>
    </cfRule>
  </conditionalFormatting>
  <conditionalFormatting sqref="I617 I624 I648 I646 I673">
    <cfRule type="cellIs" dxfId="5145" priority="7251" stopIfTrue="1" operator="equal">
      <formula>"Fail"</formula>
    </cfRule>
    <cfRule type="cellIs" dxfId="5144" priority="7252" stopIfTrue="1" operator="equal">
      <formula>"Pass"</formula>
    </cfRule>
  </conditionalFormatting>
  <conditionalFormatting sqref="C617 C624 C648 C646 C673">
    <cfRule type="cellIs" dxfId="5143" priority="7249" stopIfTrue="1" operator="equal">
      <formula>"Fail"</formula>
    </cfRule>
    <cfRule type="cellIs" dxfId="5142" priority="7250" stopIfTrue="1" operator="equal">
      <formula>"Pass"</formula>
    </cfRule>
  </conditionalFormatting>
  <conditionalFormatting sqref="C617:I617 A617 A624 C624:I624 C648:I648 A648 C646:I646 A646 A673 C673:I673">
    <cfRule type="cellIs" dxfId="5141" priority="7255" stopIfTrue="1" operator="equal">
      <formula>"Fail"</formula>
    </cfRule>
    <cfRule type="cellIs" dxfId="5140" priority="7256" stopIfTrue="1" operator="equal">
      <formula>"Pass"</formula>
    </cfRule>
  </conditionalFormatting>
  <conditionalFormatting sqref="D617:I617 A617 A624 D624:I624 D648:I648 A648 D646:I646 A646 A673 D673:I673">
    <cfRule type="cellIs" dxfId="5139" priority="7253" stopIfTrue="1" operator="equal">
      <formula>"Fail"</formula>
    </cfRule>
    <cfRule type="cellIs" dxfId="5138" priority="7254" stopIfTrue="1" operator="equal">
      <formula>"Pass"</formula>
    </cfRule>
  </conditionalFormatting>
  <conditionalFormatting sqref="H731">
    <cfRule type="cellIs" dxfId="5137" priority="7243" stopIfTrue="1" operator="equal">
      <formula>"Fail"</formula>
    </cfRule>
    <cfRule type="cellIs" dxfId="5136" priority="7244" stopIfTrue="1" operator="equal">
      <formula>"Pass"</formula>
    </cfRule>
  </conditionalFormatting>
  <conditionalFormatting sqref="H731">
    <cfRule type="cellIs" dxfId="5135" priority="7247" stopIfTrue="1" operator="equal">
      <formula>"Fail"</formula>
    </cfRule>
    <cfRule type="cellIs" dxfId="5134" priority="7248" stopIfTrue="1" operator="equal">
      <formula>"Pass"</formula>
    </cfRule>
  </conditionalFormatting>
  <conditionalFormatting sqref="H731">
    <cfRule type="cellIs" dxfId="5133" priority="7245" stopIfTrue="1" operator="equal">
      <formula>"Fail"</formula>
    </cfRule>
    <cfRule type="cellIs" dxfId="5132" priority="7246" stopIfTrue="1" operator="equal">
      <formula>"Pass"</formula>
    </cfRule>
  </conditionalFormatting>
  <conditionalFormatting sqref="I675 I713 I711 I729">
    <cfRule type="cellIs" dxfId="5131" priority="7229" stopIfTrue="1" operator="equal">
      <formula>"Fail"</formula>
    </cfRule>
    <cfRule type="cellIs" dxfId="5130" priority="7230" stopIfTrue="1" operator="equal">
      <formula>"Pass"</formula>
    </cfRule>
  </conditionalFormatting>
  <conditionalFormatting sqref="C675 C713 C711 C729">
    <cfRule type="cellIs" dxfId="5129" priority="7227" stopIfTrue="1" operator="equal">
      <formula>"Fail"</formula>
    </cfRule>
    <cfRule type="cellIs" dxfId="5128" priority="7228" stopIfTrue="1" operator="equal">
      <formula>"Pass"</formula>
    </cfRule>
  </conditionalFormatting>
  <conditionalFormatting sqref="C675:I675 A675 A713 C713:I713 A711 C711:I711 C729:I729 A729">
    <cfRule type="cellIs" dxfId="5127" priority="7233" stopIfTrue="1" operator="equal">
      <formula>"Fail"</formula>
    </cfRule>
    <cfRule type="cellIs" dxfId="5126" priority="7234" stopIfTrue="1" operator="equal">
      <formula>"Pass"</formula>
    </cfRule>
  </conditionalFormatting>
  <conditionalFormatting sqref="D675:I675 A675 A713 D713:I713 A711 D711:I711 D729:I729 A729">
    <cfRule type="cellIs" dxfId="5125" priority="7231" stopIfTrue="1" operator="equal">
      <formula>"Fail"</formula>
    </cfRule>
    <cfRule type="cellIs" dxfId="5124" priority="7232" stopIfTrue="1" operator="equal">
      <formula>"Pass"</formula>
    </cfRule>
  </conditionalFormatting>
  <conditionalFormatting sqref="C618:I618">
    <cfRule type="cellIs" dxfId="5123" priority="7215" stopIfTrue="1" operator="equal">
      <formula>"Fail"</formula>
    </cfRule>
    <cfRule type="cellIs" dxfId="5122" priority="7216" stopIfTrue="1" operator="equal">
      <formula>"Pass"</formula>
    </cfRule>
  </conditionalFormatting>
  <conditionalFormatting sqref="A618">
    <cfRule type="cellIs" dxfId="5121" priority="7217" stopIfTrue="1" operator="equal">
      <formula>"Fail"</formula>
    </cfRule>
    <cfRule type="cellIs" dxfId="5120" priority="7218" stopIfTrue="1" operator="equal">
      <formula>"Pass"</formula>
    </cfRule>
  </conditionalFormatting>
  <conditionalFormatting sqref="B618">
    <cfRule type="cellIs" dxfId="5119" priority="7213" stopIfTrue="1" operator="equal">
      <formula>"Fail"</formula>
    </cfRule>
    <cfRule type="cellIs" dxfId="5118" priority="7214" stopIfTrue="1" operator="equal">
      <formula>"Pass"</formula>
    </cfRule>
  </conditionalFormatting>
  <conditionalFormatting sqref="C619:I619">
    <cfRule type="cellIs" dxfId="5117" priority="7209" stopIfTrue="1" operator="equal">
      <formula>"Fail"</formula>
    </cfRule>
    <cfRule type="cellIs" dxfId="5116" priority="7210" stopIfTrue="1" operator="equal">
      <formula>"Pass"</formula>
    </cfRule>
  </conditionalFormatting>
  <conditionalFormatting sqref="A619">
    <cfRule type="cellIs" dxfId="5115" priority="7211" stopIfTrue="1" operator="equal">
      <formula>"Fail"</formula>
    </cfRule>
    <cfRule type="cellIs" dxfId="5114" priority="7212" stopIfTrue="1" operator="equal">
      <formula>"Pass"</formula>
    </cfRule>
  </conditionalFormatting>
  <conditionalFormatting sqref="B619">
    <cfRule type="cellIs" dxfId="5113" priority="7207" stopIfTrue="1" operator="equal">
      <formula>"Fail"</formula>
    </cfRule>
    <cfRule type="cellIs" dxfId="5112" priority="7208" stopIfTrue="1" operator="equal">
      <formula>"Pass"</formula>
    </cfRule>
  </conditionalFormatting>
  <conditionalFormatting sqref="A625">
    <cfRule type="cellIs" dxfId="5111" priority="7205" stopIfTrue="1" operator="equal">
      <formula>"Fail"</formula>
    </cfRule>
    <cfRule type="cellIs" dxfId="5110" priority="7206" stopIfTrue="1" operator="equal">
      <formula>"Pass"</formula>
    </cfRule>
  </conditionalFormatting>
  <conditionalFormatting sqref="C625:I625">
    <cfRule type="cellIs" dxfId="5109" priority="7203" stopIfTrue="1" operator="equal">
      <formula>"Fail"</formula>
    </cfRule>
    <cfRule type="cellIs" dxfId="5108" priority="7204" stopIfTrue="1" operator="equal">
      <formula>"Pass"</formula>
    </cfRule>
  </conditionalFormatting>
  <conditionalFormatting sqref="B625">
    <cfRule type="cellIs" dxfId="5107" priority="7201" stopIfTrue="1" operator="equal">
      <formula>"Fail"</formula>
    </cfRule>
    <cfRule type="cellIs" dxfId="5106" priority="7202" stopIfTrue="1" operator="equal">
      <formula>"Pass"</formula>
    </cfRule>
  </conditionalFormatting>
  <conditionalFormatting sqref="I626">
    <cfRule type="cellIs" dxfId="5105" priority="7195" stopIfTrue="1" operator="equal">
      <formula>"Fail"</formula>
    </cfRule>
    <cfRule type="cellIs" dxfId="5104" priority="7196" stopIfTrue="1" operator="equal">
      <formula>"Pass"</formula>
    </cfRule>
  </conditionalFormatting>
  <conditionalFormatting sqref="C626">
    <cfRule type="cellIs" dxfId="5103" priority="7193" stopIfTrue="1" operator="equal">
      <formula>"Fail"</formula>
    </cfRule>
    <cfRule type="cellIs" dxfId="5102" priority="7194" stopIfTrue="1" operator="equal">
      <formula>"Pass"</formula>
    </cfRule>
  </conditionalFormatting>
  <conditionalFormatting sqref="C626:I626 A626">
    <cfRule type="cellIs" dxfId="5101" priority="7199" stopIfTrue="1" operator="equal">
      <formula>"Fail"</formula>
    </cfRule>
    <cfRule type="cellIs" dxfId="5100" priority="7200" stopIfTrue="1" operator="equal">
      <formula>"Pass"</formula>
    </cfRule>
  </conditionalFormatting>
  <conditionalFormatting sqref="D626:I626 A626">
    <cfRule type="cellIs" dxfId="5099" priority="7197" stopIfTrue="1" operator="equal">
      <formula>"Fail"</formula>
    </cfRule>
    <cfRule type="cellIs" dxfId="5098" priority="7198" stopIfTrue="1" operator="equal">
      <formula>"Pass"</formula>
    </cfRule>
  </conditionalFormatting>
  <conditionalFormatting sqref="I627">
    <cfRule type="cellIs" dxfId="5097" priority="7187" stopIfTrue="1" operator="equal">
      <formula>"Fail"</formula>
    </cfRule>
    <cfRule type="cellIs" dxfId="5096" priority="7188" stopIfTrue="1" operator="equal">
      <formula>"Pass"</formula>
    </cfRule>
  </conditionalFormatting>
  <conditionalFormatting sqref="C627">
    <cfRule type="cellIs" dxfId="5095" priority="7185" stopIfTrue="1" operator="equal">
      <formula>"Fail"</formula>
    </cfRule>
    <cfRule type="cellIs" dxfId="5094" priority="7186" stopIfTrue="1" operator="equal">
      <formula>"Pass"</formula>
    </cfRule>
  </conditionalFormatting>
  <conditionalFormatting sqref="C627:I627 A627">
    <cfRule type="cellIs" dxfId="5093" priority="7191" stopIfTrue="1" operator="equal">
      <formula>"Fail"</formula>
    </cfRule>
    <cfRule type="cellIs" dxfId="5092" priority="7192" stopIfTrue="1" operator="equal">
      <formula>"Pass"</formula>
    </cfRule>
  </conditionalFormatting>
  <conditionalFormatting sqref="D627:I627 A627">
    <cfRule type="cellIs" dxfId="5091" priority="7189" stopIfTrue="1" operator="equal">
      <formula>"Fail"</formula>
    </cfRule>
    <cfRule type="cellIs" dxfId="5090" priority="7190" stopIfTrue="1" operator="equal">
      <formula>"Pass"</formula>
    </cfRule>
  </conditionalFormatting>
  <conditionalFormatting sqref="I628">
    <cfRule type="cellIs" dxfId="5089" priority="7179" stopIfTrue="1" operator="equal">
      <formula>"Fail"</formula>
    </cfRule>
    <cfRule type="cellIs" dxfId="5088" priority="7180" stopIfTrue="1" operator="equal">
      <formula>"Pass"</formula>
    </cfRule>
  </conditionalFormatting>
  <conditionalFormatting sqref="C628">
    <cfRule type="cellIs" dxfId="5087" priority="7177" stopIfTrue="1" operator="equal">
      <formula>"Fail"</formula>
    </cfRule>
    <cfRule type="cellIs" dxfId="5086" priority="7178" stopIfTrue="1" operator="equal">
      <formula>"Pass"</formula>
    </cfRule>
  </conditionalFormatting>
  <conditionalFormatting sqref="C628:I628 A628">
    <cfRule type="cellIs" dxfId="5085" priority="7183" stopIfTrue="1" operator="equal">
      <formula>"Fail"</formula>
    </cfRule>
    <cfRule type="cellIs" dxfId="5084" priority="7184" stopIfTrue="1" operator="equal">
      <formula>"Pass"</formula>
    </cfRule>
  </conditionalFormatting>
  <conditionalFormatting sqref="D628:I628 A628">
    <cfRule type="cellIs" dxfId="5083" priority="7181" stopIfTrue="1" operator="equal">
      <formula>"Fail"</formula>
    </cfRule>
    <cfRule type="cellIs" dxfId="5082" priority="7182" stopIfTrue="1" operator="equal">
      <formula>"Pass"</formula>
    </cfRule>
  </conditionalFormatting>
  <conditionalFormatting sqref="C629:I629 A629">
    <cfRule type="cellIs" dxfId="5081" priority="7175" stopIfTrue="1" operator="equal">
      <formula>"Fail"</formula>
    </cfRule>
    <cfRule type="cellIs" dxfId="5080" priority="7176" stopIfTrue="1" operator="equal">
      <formula>"Pass"</formula>
    </cfRule>
  </conditionalFormatting>
  <conditionalFormatting sqref="D629:I629 A629">
    <cfRule type="cellIs" dxfId="5079" priority="7173" stopIfTrue="1" operator="equal">
      <formula>"Fail"</formula>
    </cfRule>
    <cfRule type="cellIs" dxfId="5078" priority="7174" stopIfTrue="1" operator="equal">
      <formula>"Pass"</formula>
    </cfRule>
  </conditionalFormatting>
  <conditionalFormatting sqref="I629">
    <cfRule type="cellIs" dxfId="5077" priority="7171" stopIfTrue="1" operator="equal">
      <formula>"Fail"</formula>
    </cfRule>
    <cfRule type="cellIs" dxfId="5076" priority="7172" stopIfTrue="1" operator="equal">
      <formula>"Pass"</formula>
    </cfRule>
  </conditionalFormatting>
  <conditionalFormatting sqref="C629">
    <cfRule type="cellIs" dxfId="5075" priority="7169" stopIfTrue="1" operator="equal">
      <formula>"Fail"</formula>
    </cfRule>
    <cfRule type="cellIs" dxfId="5074" priority="7170" stopIfTrue="1" operator="equal">
      <formula>"Pass"</formula>
    </cfRule>
  </conditionalFormatting>
  <conditionalFormatting sqref="C650:I650 A650">
    <cfRule type="cellIs" dxfId="5073" priority="7045" stopIfTrue="1" operator="equal">
      <formula>"Fail"</formula>
    </cfRule>
    <cfRule type="cellIs" dxfId="5072" priority="7046" stopIfTrue="1" operator="equal">
      <formula>"Pass"</formula>
    </cfRule>
  </conditionalFormatting>
  <conditionalFormatting sqref="D650:I650 A650">
    <cfRule type="cellIs" dxfId="5071" priority="7043" stopIfTrue="1" operator="equal">
      <formula>"Fail"</formula>
    </cfRule>
    <cfRule type="cellIs" dxfId="5070" priority="7044" stopIfTrue="1" operator="equal">
      <formula>"Pass"</formula>
    </cfRule>
  </conditionalFormatting>
  <conditionalFormatting sqref="I650">
    <cfRule type="cellIs" dxfId="5069" priority="7041" stopIfTrue="1" operator="equal">
      <formula>"Fail"</formula>
    </cfRule>
    <cfRule type="cellIs" dxfId="5068" priority="7042" stopIfTrue="1" operator="equal">
      <formula>"Pass"</formula>
    </cfRule>
  </conditionalFormatting>
  <conditionalFormatting sqref="C650">
    <cfRule type="cellIs" dxfId="5067" priority="7039" stopIfTrue="1" operator="equal">
      <formula>"Fail"</formula>
    </cfRule>
    <cfRule type="cellIs" dxfId="5066" priority="7040" stopIfTrue="1" operator="equal">
      <formula>"Pass"</formula>
    </cfRule>
  </conditionalFormatting>
  <conditionalFormatting sqref="C651:I651 A651">
    <cfRule type="cellIs" dxfId="5065" priority="7037" stopIfTrue="1" operator="equal">
      <formula>"Fail"</formula>
    </cfRule>
    <cfRule type="cellIs" dxfId="5064" priority="7038" stopIfTrue="1" operator="equal">
      <formula>"Pass"</formula>
    </cfRule>
  </conditionalFormatting>
  <conditionalFormatting sqref="D651:I651 A651">
    <cfRule type="cellIs" dxfId="5063" priority="7035" stopIfTrue="1" operator="equal">
      <formula>"Fail"</formula>
    </cfRule>
    <cfRule type="cellIs" dxfId="5062" priority="7036" stopIfTrue="1" operator="equal">
      <formula>"Pass"</formula>
    </cfRule>
  </conditionalFormatting>
  <conditionalFormatting sqref="I651">
    <cfRule type="cellIs" dxfId="5061" priority="7033" stopIfTrue="1" operator="equal">
      <formula>"Fail"</formula>
    </cfRule>
    <cfRule type="cellIs" dxfId="5060" priority="7034" stopIfTrue="1" operator="equal">
      <formula>"Pass"</formula>
    </cfRule>
  </conditionalFormatting>
  <conditionalFormatting sqref="C651">
    <cfRule type="cellIs" dxfId="5059" priority="7031" stopIfTrue="1" operator="equal">
      <formula>"Fail"</formula>
    </cfRule>
    <cfRule type="cellIs" dxfId="5058" priority="7032" stopIfTrue="1" operator="equal">
      <formula>"Pass"</formula>
    </cfRule>
  </conditionalFormatting>
  <conditionalFormatting sqref="A659">
    <cfRule type="cellIs" dxfId="5057" priority="7021" stopIfTrue="1" operator="equal">
      <formula>"Fail"</formula>
    </cfRule>
    <cfRule type="cellIs" dxfId="5056" priority="7022" stopIfTrue="1" operator="equal">
      <formula>"Pass"</formula>
    </cfRule>
  </conditionalFormatting>
  <conditionalFormatting sqref="C659">
    <cfRule type="cellIs" dxfId="5055" priority="7017" stopIfTrue="1" operator="equal">
      <formula>"Fail"</formula>
    </cfRule>
    <cfRule type="cellIs" dxfId="5054" priority="7018" stopIfTrue="1" operator="equal">
      <formula>"Pass"</formula>
    </cfRule>
  </conditionalFormatting>
  <conditionalFormatting sqref="C659">
    <cfRule type="cellIs" dxfId="5053" priority="7011" stopIfTrue="1" operator="equal">
      <formula>"Fail"</formula>
    </cfRule>
    <cfRule type="cellIs" dxfId="5052" priority="7012" stopIfTrue="1" operator="equal">
      <formula>"Pass"</formula>
    </cfRule>
  </conditionalFormatting>
  <conditionalFormatting sqref="A659 C659:D659 F659:H659">
    <cfRule type="cellIs" dxfId="5051" priority="7015" stopIfTrue="1" operator="equal">
      <formula>"Fail"</formula>
    </cfRule>
    <cfRule type="cellIs" dxfId="5050" priority="7016" stopIfTrue="1" operator="equal">
      <formula>"Pass"</formula>
    </cfRule>
  </conditionalFormatting>
  <conditionalFormatting sqref="A659 D659 F659:H659">
    <cfRule type="cellIs" dxfId="5049" priority="7013" stopIfTrue="1" operator="equal">
      <formula>"Fail"</formula>
    </cfRule>
    <cfRule type="cellIs" dxfId="5048" priority="7014" stopIfTrue="1" operator="equal">
      <formula>"Pass"</formula>
    </cfRule>
  </conditionalFormatting>
  <conditionalFormatting sqref="I659">
    <cfRule type="cellIs" dxfId="5047" priority="7005" stopIfTrue="1" operator="equal">
      <formula>"Fail"</formula>
    </cfRule>
    <cfRule type="cellIs" dxfId="5046" priority="7006" stopIfTrue="1" operator="equal">
      <formula>"Pass"</formula>
    </cfRule>
  </conditionalFormatting>
  <conditionalFormatting sqref="I659">
    <cfRule type="cellIs" dxfId="5045" priority="7009" stopIfTrue="1" operator="equal">
      <formula>"Fail"</formula>
    </cfRule>
    <cfRule type="cellIs" dxfId="5044" priority="7010" stopIfTrue="1" operator="equal">
      <formula>"Pass"</formula>
    </cfRule>
  </conditionalFormatting>
  <conditionalFormatting sqref="I659">
    <cfRule type="cellIs" dxfId="5043" priority="7007" stopIfTrue="1" operator="equal">
      <formula>"Fail"</formula>
    </cfRule>
    <cfRule type="cellIs" dxfId="5042" priority="7008" stopIfTrue="1" operator="equal">
      <formula>"Pass"</formula>
    </cfRule>
  </conditionalFormatting>
  <conditionalFormatting sqref="I658">
    <cfRule type="cellIs" dxfId="5041" priority="6999" stopIfTrue="1" operator="equal">
      <formula>"Fail"</formula>
    </cfRule>
    <cfRule type="cellIs" dxfId="5040" priority="7000" stopIfTrue="1" operator="equal">
      <formula>"Pass"</formula>
    </cfRule>
  </conditionalFormatting>
  <conditionalFormatting sqref="C658">
    <cfRule type="cellIs" dxfId="5039" priority="6997" stopIfTrue="1" operator="equal">
      <formula>"Fail"</formula>
    </cfRule>
    <cfRule type="cellIs" dxfId="5038" priority="6998" stopIfTrue="1" operator="equal">
      <formula>"Pass"</formula>
    </cfRule>
  </conditionalFormatting>
  <conditionalFormatting sqref="C658:D658 A658 F658:I658">
    <cfRule type="cellIs" dxfId="5037" priority="7003" stopIfTrue="1" operator="equal">
      <formula>"Fail"</formula>
    </cfRule>
    <cfRule type="cellIs" dxfId="5036" priority="7004" stopIfTrue="1" operator="equal">
      <formula>"Pass"</formula>
    </cfRule>
  </conditionalFormatting>
  <conditionalFormatting sqref="D658 A658 F658:I658">
    <cfRule type="cellIs" dxfId="5035" priority="7001" stopIfTrue="1" operator="equal">
      <formula>"Fail"</formula>
    </cfRule>
    <cfRule type="cellIs" dxfId="5034" priority="7002" stopIfTrue="1" operator="equal">
      <formula>"Pass"</formula>
    </cfRule>
  </conditionalFormatting>
  <conditionalFormatting sqref="E658">
    <cfRule type="cellIs" dxfId="5033" priority="6995" stopIfTrue="1" operator="equal">
      <formula>"Fail"</formula>
    </cfRule>
    <cfRule type="cellIs" dxfId="5032" priority="6996" stopIfTrue="1" operator="equal">
      <formula>"Pass"</formula>
    </cfRule>
  </conditionalFormatting>
  <conditionalFormatting sqref="I653">
    <cfRule type="cellIs" dxfId="5031" priority="6989" stopIfTrue="1" operator="equal">
      <formula>"Fail"</formula>
    </cfRule>
    <cfRule type="cellIs" dxfId="5030" priority="6990" stopIfTrue="1" operator="equal">
      <formula>"Pass"</formula>
    </cfRule>
  </conditionalFormatting>
  <conditionalFormatting sqref="C653">
    <cfRule type="cellIs" dxfId="5029" priority="6987" stopIfTrue="1" operator="equal">
      <formula>"Fail"</formula>
    </cfRule>
    <cfRule type="cellIs" dxfId="5028" priority="6988" stopIfTrue="1" operator="equal">
      <formula>"Pass"</formula>
    </cfRule>
  </conditionalFormatting>
  <conditionalFormatting sqref="A653 C653:D653 F653:I653">
    <cfRule type="cellIs" dxfId="5027" priority="6993" stopIfTrue="1" operator="equal">
      <formula>"Fail"</formula>
    </cfRule>
    <cfRule type="cellIs" dxfId="5026" priority="6994" stopIfTrue="1" operator="equal">
      <formula>"Pass"</formula>
    </cfRule>
  </conditionalFormatting>
  <conditionalFormatting sqref="A653 D653 F653:I653">
    <cfRule type="cellIs" dxfId="5025" priority="6991" stopIfTrue="1" operator="equal">
      <formula>"Fail"</formula>
    </cfRule>
    <cfRule type="cellIs" dxfId="5024" priority="6992" stopIfTrue="1" operator="equal">
      <formula>"Pass"</formula>
    </cfRule>
  </conditionalFormatting>
  <conditionalFormatting sqref="A660 C660:I660">
    <cfRule type="cellIs" dxfId="5023" priority="6985" stopIfTrue="1" operator="equal">
      <formula>"Fail"</formula>
    </cfRule>
    <cfRule type="cellIs" dxfId="5022" priority="6986" stopIfTrue="1" operator="equal">
      <formula>"Pass"</formula>
    </cfRule>
  </conditionalFormatting>
  <conditionalFormatting sqref="B660">
    <cfRule type="cellIs" dxfId="5021" priority="6983" stopIfTrue="1" operator="equal">
      <formula>"Fail"</formula>
    </cfRule>
    <cfRule type="cellIs" dxfId="5020" priority="6984" stopIfTrue="1" operator="equal">
      <formula>"Pass"</formula>
    </cfRule>
  </conditionalFormatting>
  <conditionalFormatting sqref="A654">
    <cfRule type="cellIs" dxfId="5019" priority="6981" stopIfTrue="1" operator="equal">
      <formula>"Fail"</formula>
    </cfRule>
    <cfRule type="cellIs" dxfId="5018" priority="6982" stopIfTrue="1" operator="equal">
      <formula>"Pass"</formula>
    </cfRule>
  </conditionalFormatting>
  <conditionalFormatting sqref="C654">
    <cfRule type="cellIs" dxfId="5017" priority="6977" stopIfTrue="1" operator="equal">
      <formula>"Fail"</formula>
    </cfRule>
    <cfRule type="cellIs" dxfId="5016" priority="6978" stopIfTrue="1" operator="equal">
      <formula>"Pass"</formula>
    </cfRule>
  </conditionalFormatting>
  <conditionalFormatting sqref="C654">
    <cfRule type="cellIs" dxfId="5015" priority="6971" stopIfTrue="1" operator="equal">
      <formula>"Fail"</formula>
    </cfRule>
    <cfRule type="cellIs" dxfId="5014" priority="6972" stopIfTrue="1" operator="equal">
      <formula>"Pass"</formula>
    </cfRule>
  </conditionalFormatting>
  <conditionalFormatting sqref="A654 C654:D654 F654:H654">
    <cfRule type="cellIs" dxfId="5013" priority="6975" stopIfTrue="1" operator="equal">
      <formula>"Fail"</formula>
    </cfRule>
    <cfRule type="cellIs" dxfId="5012" priority="6976" stopIfTrue="1" operator="equal">
      <formula>"Pass"</formula>
    </cfRule>
  </conditionalFormatting>
  <conditionalFormatting sqref="A654 D654 F654:H654">
    <cfRule type="cellIs" dxfId="5011" priority="6973" stopIfTrue="1" operator="equal">
      <formula>"Fail"</formula>
    </cfRule>
    <cfRule type="cellIs" dxfId="5010" priority="6974" stopIfTrue="1" operator="equal">
      <formula>"Pass"</formula>
    </cfRule>
  </conditionalFormatting>
  <conditionalFormatting sqref="I654">
    <cfRule type="cellIs" dxfId="5009" priority="6965" stopIfTrue="1" operator="equal">
      <formula>"Fail"</formula>
    </cfRule>
    <cfRule type="cellIs" dxfId="5008" priority="6966" stopIfTrue="1" operator="equal">
      <formula>"Pass"</formula>
    </cfRule>
  </conditionalFormatting>
  <conditionalFormatting sqref="I654">
    <cfRule type="cellIs" dxfId="5007" priority="6969" stopIfTrue="1" operator="equal">
      <formula>"Fail"</formula>
    </cfRule>
    <cfRule type="cellIs" dxfId="5006" priority="6970" stopIfTrue="1" operator="equal">
      <formula>"Pass"</formula>
    </cfRule>
  </conditionalFormatting>
  <conditionalFormatting sqref="I654">
    <cfRule type="cellIs" dxfId="5005" priority="6967" stopIfTrue="1" operator="equal">
      <formula>"Fail"</formula>
    </cfRule>
    <cfRule type="cellIs" dxfId="5004" priority="6968" stopIfTrue="1" operator="equal">
      <formula>"Pass"</formula>
    </cfRule>
  </conditionalFormatting>
  <conditionalFormatting sqref="A655 C655:I655">
    <cfRule type="cellIs" dxfId="5003" priority="6963" stopIfTrue="1" operator="equal">
      <formula>"Fail"</formula>
    </cfRule>
    <cfRule type="cellIs" dxfId="5002" priority="6964" stopIfTrue="1" operator="equal">
      <formula>"Pass"</formula>
    </cfRule>
  </conditionalFormatting>
  <conditionalFormatting sqref="B655">
    <cfRule type="cellIs" dxfId="5001" priority="6961" stopIfTrue="1" operator="equal">
      <formula>"Fail"</formula>
    </cfRule>
    <cfRule type="cellIs" dxfId="5000" priority="6962" stopIfTrue="1" operator="equal">
      <formula>"Pass"</formula>
    </cfRule>
  </conditionalFormatting>
  <conditionalFormatting sqref="A652:A655 D652:I655">
    <cfRule type="cellIs" dxfId="4999" priority="6957" stopIfTrue="1" operator="equal">
      <formula>"Fail"</formula>
    </cfRule>
    <cfRule type="cellIs" dxfId="4998" priority="6958" stopIfTrue="1" operator="equal">
      <formula>"Pass"</formula>
    </cfRule>
  </conditionalFormatting>
  <conditionalFormatting sqref="A652:A655 C652:I655">
    <cfRule type="cellIs" dxfId="4997" priority="6959" stopIfTrue="1" operator="equal">
      <formula>"Fail"</formula>
    </cfRule>
    <cfRule type="cellIs" dxfId="4996" priority="6960" stopIfTrue="1" operator="equal">
      <formula>"Pass"</formula>
    </cfRule>
  </conditionalFormatting>
  <conditionalFormatting sqref="I652:I655">
    <cfRule type="cellIs" dxfId="4995" priority="6955" stopIfTrue="1" operator="equal">
      <formula>"Fail"</formula>
    </cfRule>
    <cfRule type="cellIs" dxfId="4994" priority="6956" stopIfTrue="1" operator="equal">
      <formula>"Pass"</formula>
    </cfRule>
  </conditionalFormatting>
  <conditionalFormatting sqref="C652:C655">
    <cfRule type="cellIs" dxfId="4993" priority="6953" stopIfTrue="1" operator="equal">
      <formula>"Fail"</formula>
    </cfRule>
    <cfRule type="cellIs" dxfId="4992" priority="6954" stopIfTrue="1" operator="equal">
      <formula>"Pass"</formula>
    </cfRule>
  </conditionalFormatting>
  <conditionalFormatting sqref="I656">
    <cfRule type="cellIs" dxfId="4991" priority="6947" stopIfTrue="1" operator="equal">
      <formula>"Fail"</formula>
    </cfRule>
    <cfRule type="cellIs" dxfId="4990" priority="6948" stopIfTrue="1" operator="equal">
      <formula>"Pass"</formula>
    </cfRule>
  </conditionalFormatting>
  <conditionalFormatting sqref="C656">
    <cfRule type="cellIs" dxfId="4989" priority="6945" stopIfTrue="1" operator="equal">
      <formula>"Fail"</formula>
    </cfRule>
    <cfRule type="cellIs" dxfId="4988" priority="6946" stopIfTrue="1" operator="equal">
      <formula>"Pass"</formula>
    </cfRule>
  </conditionalFormatting>
  <conditionalFormatting sqref="C656:I656 A656">
    <cfRule type="cellIs" dxfId="4987" priority="6951" stopIfTrue="1" operator="equal">
      <formula>"Fail"</formula>
    </cfRule>
    <cfRule type="cellIs" dxfId="4986" priority="6952" stopIfTrue="1" operator="equal">
      <formula>"Pass"</formula>
    </cfRule>
  </conditionalFormatting>
  <conditionalFormatting sqref="D656:I656 A656">
    <cfRule type="cellIs" dxfId="4985" priority="6949" stopIfTrue="1" operator="equal">
      <formula>"Fail"</formula>
    </cfRule>
    <cfRule type="cellIs" dxfId="4984" priority="6950" stopIfTrue="1" operator="equal">
      <formula>"Pass"</formula>
    </cfRule>
  </conditionalFormatting>
  <conditionalFormatting sqref="A657 D657:I657">
    <cfRule type="cellIs" dxfId="4983" priority="6941" stopIfTrue="1" operator="equal">
      <formula>"Fail"</formula>
    </cfRule>
    <cfRule type="cellIs" dxfId="4982" priority="6942" stopIfTrue="1" operator="equal">
      <formula>"Pass"</formula>
    </cfRule>
  </conditionalFormatting>
  <conditionalFormatting sqref="A657 C657:I657">
    <cfRule type="cellIs" dxfId="4981" priority="6943" stopIfTrue="1" operator="equal">
      <formula>"Fail"</formula>
    </cfRule>
    <cfRule type="cellIs" dxfId="4980" priority="6944" stopIfTrue="1" operator="equal">
      <formula>"Pass"</formula>
    </cfRule>
  </conditionalFormatting>
  <conditionalFormatting sqref="I657">
    <cfRule type="cellIs" dxfId="4979" priority="6939" stopIfTrue="1" operator="equal">
      <formula>"Fail"</formula>
    </cfRule>
    <cfRule type="cellIs" dxfId="4978" priority="6940" stopIfTrue="1" operator="equal">
      <formula>"Pass"</formula>
    </cfRule>
  </conditionalFormatting>
  <conditionalFormatting sqref="C657">
    <cfRule type="cellIs" dxfId="4977" priority="6937" stopIfTrue="1" operator="equal">
      <formula>"Fail"</formula>
    </cfRule>
    <cfRule type="cellIs" dxfId="4976" priority="6938" stopIfTrue="1" operator="equal">
      <formula>"Pass"</formula>
    </cfRule>
  </conditionalFormatting>
  <conditionalFormatting sqref="I661">
    <cfRule type="cellIs" dxfId="4975" priority="6931" stopIfTrue="1" operator="equal">
      <formula>"Fail"</formula>
    </cfRule>
    <cfRule type="cellIs" dxfId="4974" priority="6932" stopIfTrue="1" operator="equal">
      <formula>"Pass"</formula>
    </cfRule>
  </conditionalFormatting>
  <conditionalFormatting sqref="C661">
    <cfRule type="cellIs" dxfId="4973" priority="6929" stopIfTrue="1" operator="equal">
      <formula>"Fail"</formula>
    </cfRule>
    <cfRule type="cellIs" dxfId="4972" priority="6930" stopIfTrue="1" operator="equal">
      <formula>"Pass"</formula>
    </cfRule>
  </conditionalFormatting>
  <conditionalFormatting sqref="C661:I661 A661">
    <cfRule type="cellIs" dxfId="4971" priority="6935" stopIfTrue="1" operator="equal">
      <formula>"Fail"</formula>
    </cfRule>
    <cfRule type="cellIs" dxfId="4970" priority="6936" stopIfTrue="1" operator="equal">
      <formula>"Pass"</formula>
    </cfRule>
  </conditionalFormatting>
  <conditionalFormatting sqref="D661:I661 A661">
    <cfRule type="cellIs" dxfId="4969" priority="6933" stopIfTrue="1" operator="equal">
      <formula>"Fail"</formula>
    </cfRule>
    <cfRule type="cellIs" dxfId="4968" priority="6934" stopIfTrue="1" operator="equal">
      <formula>"Pass"</formula>
    </cfRule>
  </conditionalFormatting>
  <conditionalFormatting sqref="A662 D662:I662">
    <cfRule type="cellIs" dxfId="4967" priority="6925" stopIfTrue="1" operator="equal">
      <formula>"Fail"</formula>
    </cfRule>
    <cfRule type="cellIs" dxfId="4966" priority="6926" stopIfTrue="1" operator="equal">
      <formula>"Pass"</formula>
    </cfRule>
  </conditionalFormatting>
  <conditionalFormatting sqref="A662 C662:I662">
    <cfRule type="cellIs" dxfId="4965" priority="6927" stopIfTrue="1" operator="equal">
      <formula>"Fail"</formula>
    </cfRule>
    <cfRule type="cellIs" dxfId="4964" priority="6928" stopIfTrue="1" operator="equal">
      <formula>"Pass"</formula>
    </cfRule>
  </conditionalFormatting>
  <conditionalFormatting sqref="I662">
    <cfRule type="cellIs" dxfId="4963" priority="6923" stopIfTrue="1" operator="equal">
      <formula>"Fail"</formula>
    </cfRule>
    <cfRule type="cellIs" dxfId="4962" priority="6924" stopIfTrue="1" operator="equal">
      <formula>"Pass"</formula>
    </cfRule>
  </conditionalFormatting>
  <conditionalFormatting sqref="C662">
    <cfRule type="cellIs" dxfId="4961" priority="6921" stopIfTrue="1" operator="equal">
      <formula>"Fail"</formula>
    </cfRule>
    <cfRule type="cellIs" dxfId="4960" priority="6922" stopIfTrue="1" operator="equal">
      <formula>"Pass"</formula>
    </cfRule>
  </conditionalFormatting>
  <conditionalFormatting sqref="A664">
    <cfRule type="cellIs" dxfId="4959" priority="6907" stopIfTrue="1" operator="equal">
      <formula>"Fail"</formula>
    </cfRule>
    <cfRule type="cellIs" dxfId="4958" priority="6908" stopIfTrue="1" operator="equal">
      <formula>"Pass"</formula>
    </cfRule>
  </conditionalFormatting>
  <conditionalFormatting sqref="C664">
    <cfRule type="cellIs" dxfId="4957" priority="6903" stopIfTrue="1" operator="equal">
      <formula>"Fail"</formula>
    </cfRule>
    <cfRule type="cellIs" dxfId="4956" priority="6904" stopIfTrue="1" operator="equal">
      <formula>"Pass"</formula>
    </cfRule>
  </conditionalFormatting>
  <conditionalFormatting sqref="C664">
    <cfRule type="cellIs" dxfId="4955" priority="6897" stopIfTrue="1" operator="equal">
      <formula>"Fail"</formula>
    </cfRule>
    <cfRule type="cellIs" dxfId="4954" priority="6898" stopIfTrue="1" operator="equal">
      <formula>"Pass"</formula>
    </cfRule>
  </conditionalFormatting>
  <conditionalFormatting sqref="A664 C664:D664 F664:H664">
    <cfRule type="cellIs" dxfId="4953" priority="6901" stopIfTrue="1" operator="equal">
      <formula>"Fail"</formula>
    </cfRule>
    <cfRule type="cellIs" dxfId="4952" priority="6902" stopIfTrue="1" operator="equal">
      <formula>"Pass"</formula>
    </cfRule>
  </conditionalFormatting>
  <conditionalFormatting sqref="A664 D664 F664:H664">
    <cfRule type="cellIs" dxfId="4951" priority="6899" stopIfTrue="1" operator="equal">
      <formula>"Fail"</formula>
    </cfRule>
    <cfRule type="cellIs" dxfId="4950" priority="6900" stopIfTrue="1" operator="equal">
      <formula>"Pass"</formula>
    </cfRule>
  </conditionalFormatting>
  <conditionalFormatting sqref="I664">
    <cfRule type="cellIs" dxfId="4949" priority="6891" stopIfTrue="1" operator="equal">
      <formula>"Fail"</formula>
    </cfRule>
    <cfRule type="cellIs" dxfId="4948" priority="6892" stopIfTrue="1" operator="equal">
      <formula>"Pass"</formula>
    </cfRule>
  </conditionalFormatting>
  <conditionalFormatting sqref="I664">
    <cfRule type="cellIs" dxfId="4947" priority="6895" stopIfTrue="1" operator="equal">
      <formula>"Fail"</formula>
    </cfRule>
    <cfRule type="cellIs" dxfId="4946" priority="6896" stopIfTrue="1" operator="equal">
      <formula>"Pass"</formula>
    </cfRule>
  </conditionalFormatting>
  <conditionalFormatting sqref="I664">
    <cfRule type="cellIs" dxfId="4945" priority="6893" stopIfTrue="1" operator="equal">
      <formula>"Fail"</formula>
    </cfRule>
    <cfRule type="cellIs" dxfId="4944" priority="6894" stopIfTrue="1" operator="equal">
      <formula>"Pass"</formula>
    </cfRule>
  </conditionalFormatting>
  <conditionalFormatting sqref="I663">
    <cfRule type="cellIs" dxfId="4943" priority="6885" stopIfTrue="1" operator="equal">
      <formula>"Fail"</formula>
    </cfRule>
    <cfRule type="cellIs" dxfId="4942" priority="6886" stopIfTrue="1" operator="equal">
      <formula>"Pass"</formula>
    </cfRule>
  </conditionalFormatting>
  <conditionalFormatting sqref="C663">
    <cfRule type="cellIs" dxfId="4941" priority="6883" stopIfTrue="1" operator="equal">
      <formula>"Fail"</formula>
    </cfRule>
    <cfRule type="cellIs" dxfId="4940" priority="6884" stopIfTrue="1" operator="equal">
      <formula>"Pass"</formula>
    </cfRule>
  </conditionalFormatting>
  <conditionalFormatting sqref="C663:D663 A663 F663:I663">
    <cfRule type="cellIs" dxfId="4939" priority="6889" stopIfTrue="1" operator="equal">
      <formula>"Fail"</formula>
    </cfRule>
    <cfRule type="cellIs" dxfId="4938" priority="6890" stopIfTrue="1" operator="equal">
      <formula>"Pass"</formula>
    </cfRule>
  </conditionalFormatting>
  <conditionalFormatting sqref="D663 A663 F663:I663">
    <cfRule type="cellIs" dxfId="4937" priority="6887" stopIfTrue="1" operator="equal">
      <formula>"Fail"</formula>
    </cfRule>
    <cfRule type="cellIs" dxfId="4936" priority="6888" stopIfTrue="1" operator="equal">
      <formula>"Pass"</formula>
    </cfRule>
  </conditionalFormatting>
  <conditionalFormatting sqref="E663">
    <cfRule type="cellIs" dxfId="4935" priority="6881" stopIfTrue="1" operator="equal">
      <formula>"Fail"</formula>
    </cfRule>
    <cfRule type="cellIs" dxfId="4934" priority="6882" stopIfTrue="1" operator="equal">
      <formula>"Pass"</formula>
    </cfRule>
  </conditionalFormatting>
  <conditionalFormatting sqref="A665 C665:I665">
    <cfRule type="cellIs" dxfId="4933" priority="6879" stopIfTrue="1" operator="equal">
      <formula>"Fail"</formula>
    </cfRule>
    <cfRule type="cellIs" dxfId="4932" priority="6880" stopIfTrue="1" operator="equal">
      <formula>"Pass"</formula>
    </cfRule>
  </conditionalFormatting>
  <conditionalFormatting sqref="B665">
    <cfRule type="cellIs" dxfId="4931" priority="6877" stopIfTrue="1" operator="equal">
      <formula>"Fail"</formula>
    </cfRule>
    <cfRule type="cellIs" dxfId="4930" priority="6878" stopIfTrue="1" operator="equal">
      <formula>"Pass"</formula>
    </cfRule>
  </conditionalFormatting>
  <conditionalFormatting sqref="I666">
    <cfRule type="cellIs" dxfId="4929" priority="6863" stopIfTrue="1" operator="equal">
      <formula>"Fail"</formula>
    </cfRule>
    <cfRule type="cellIs" dxfId="4928" priority="6864" stopIfTrue="1" operator="equal">
      <formula>"Pass"</formula>
    </cfRule>
  </conditionalFormatting>
  <conditionalFormatting sqref="C666">
    <cfRule type="cellIs" dxfId="4927" priority="6861" stopIfTrue="1" operator="equal">
      <formula>"Fail"</formula>
    </cfRule>
    <cfRule type="cellIs" dxfId="4926" priority="6862" stopIfTrue="1" operator="equal">
      <formula>"Pass"</formula>
    </cfRule>
  </conditionalFormatting>
  <conditionalFormatting sqref="A666 C666:D666 F666:I666">
    <cfRule type="cellIs" dxfId="4925" priority="6867" stopIfTrue="1" operator="equal">
      <formula>"Fail"</formula>
    </cfRule>
    <cfRule type="cellIs" dxfId="4924" priority="6868" stopIfTrue="1" operator="equal">
      <formula>"Pass"</formula>
    </cfRule>
  </conditionalFormatting>
  <conditionalFormatting sqref="A666 D666 F666:I666">
    <cfRule type="cellIs" dxfId="4923" priority="6865" stopIfTrue="1" operator="equal">
      <formula>"Fail"</formula>
    </cfRule>
    <cfRule type="cellIs" dxfId="4922" priority="6866" stopIfTrue="1" operator="equal">
      <formula>"Pass"</formula>
    </cfRule>
  </conditionalFormatting>
  <conditionalFormatting sqref="A667">
    <cfRule type="cellIs" dxfId="4921" priority="6859" stopIfTrue="1" operator="equal">
      <formula>"Fail"</formula>
    </cfRule>
    <cfRule type="cellIs" dxfId="4920" priority="6860" stopIfTrue="1" operator="equal">
      <formula>"Pass"</formula>
    </cfRule>
  </conditionalFormatting>
  <conditionalFormatting sqref="C667">
    <cfRule type="cellIs" dxfId="4919" priority="6855" stopIfTrue="1" operator="equal">
      <formula>"Fail"</formula>
    </cfRule>
    <cfRule type="cellIs" dxfId="4918" priority="6856" stopIfTrue="1" operator="equal">
      <formula>"Pass"</formula>
    </cfRule>
  </conditionalFormatting>
  <conditionalFormatting sqref="C667">
    <cfRule type="cellIs" dxfId="4917" priority="6849" stopIfTrue="1" operator="equal">
      <formula>"Fail"</formula>
    </cfRule>
    <cfRule type="cellIs" dxfId="4916" priority="6850" stopIfTrue="1" operator="equal">
      <formula>"Pass"</formula>
    </cfRule>
  </conditionalFormatting>
  <conditionalFormatting sqref="A667 C667:D667 F667:H667">
    <cfRule type="cellIs" dxfId="4915" priority="6853" stopIfTrue="1" operator="equal">
      <formula>"Fail"</formula>
    </cfRule>
    <cfRule type="cellIs" dxfId="4914" priority="6854" stopIfTrue="1" operator="equal">
      <formula>"Pass"</formula>
    </cfRule>
  </conditionalFormatting>
  <conditionalFormatting sqref="A667 D667 F667:H667">
    <cfRule type="cellIs" dxfId="4913" priority="6851" stopIfTrue="1" operator="equal">
      <formula>"Fail"</formula>
    </cfRule>
    <cfRule type="cellIs" dxfId="4912" priority="6852" stopIfTrue="1" operator="equal">
      <formula>"Pass"</formula>
    </cfRule>
  </conditionalFormatting>
  <conditionalFormatting sqref="I667">
    <cfRule type="cellIs" dxfId="4911" priority="6843" stopIfTrue="1" operator="equal">
      <formula>"Fail"</formula>
    </cfRule>
    <cfRule type="cellIs" dxfId="4910" priority="6844" stopIfTrue="1" operator="equal">
      <formula>"Pass"</formula>
    </cfRule>
  </conditionalFormatting>
  <conditionalFormatting sqref="I667">
    <cfRule type="cellIs" dxfId="4909" priority="6847" stopIfTrue="1" operator="equal">
      <formula>"Fail"</formula>
    </cfRule>
    <cfRule type="cellIs" dxfId="4908" priority="6848" stopIfTrue="1" operator="equal">
      <formula>"Pass"</formula>
    </cfRule>
  </conditionalFormatting>
  <conditionalFormatting sqref="I667">
    <cfRule type="cellIs" dxfId="4907" priority="6845" stopIfTrue="1" operator="equal">
      <formula>"Fail"</formula>
    </cfRule>
    <cfRule type="cellIs" dxfId="4906" priority="6846" stopIfTrue="1" operator="equal">
      <formula>"Pass"</formula>
    </cfRule>
  </conditionalFormatting>
  <conditionalFormatting sqref="A668 C668:I668">
    <cfRule type="cellIs" dxfId="4905" priority="6841" stopIfTrue="1" operator="equal">
      <formula>"Fail"</formula>
    </cfRule>
    <cfRule type="cellIs" dxfId="4904" priority="6842" stopIfTrue="1" operator="equal">
      <formula>"Pass"</formula>
    </cfRule>
  </conditionalFormatting>
  <conditionalFormatting sqref="B668">
    <cfRule type="cellIs" dxfId="4903" priority="6839" stopIfTrue="1" operator="equal">
      <formula>"Fail"</formula>
    </cfRule>
    <cfRule type="cellIs" dxfId="4902" priority="6840" stopIfTrue="1" operator="equal">
      <formula>"Pass"</formula>
    </cfRule>
  </conditionalFormatting>
  <conditionalFormatting sqref="A666:A668 D666:I668">
    <cfRule type="cellIs" dxfId="4901" priority="6835" stopIfTrue="1" operator="equal">
      <formula>"Fail"</formula>
    </cfRule>
    <cfRule type="cellIs" dxfId="4900" priority="6836" stopIfTrue="1" operator="equal">
      <formula>"Pass"</formula>
    </cfRule>
  </conditionalFormatting>
  <conditionalFormatting sqref="A666:A668 C666:I668">
    <cfRule type="cellIs" dxfId="4899" priority="6837" stopIfTrue="1" operator="equal">
      <formula>"Fail"</formula>
    </cfRule>
    <cfRule type="cellIs" dxfId="4898" priority="6838" stopIfTrue="1" operator="equal">
      <formula>"Pass"</formula>
    </cfRule>
  </conditionalFormatting>
  <conditionalFormatting sqref="I666:I668">
    <cfRule type="cellIs" dxfId="4897" priority="6833" stopIfTrue="1" operator="equal">
      <formula>"Fail"</formula>
    </cfRule>
    <cfRule type="cellIs" dxfId="4896" priority="6834" stopIfTrue="1" operator="equal">
      <formula>"Pass"</formula>
    </cfRule>
  </conditionalFormatting>
  <conditionalFormatting sqref="C666:C668">
    <cfRule type="cellIs" dxfId="4895" priority="6831" stopIfTrue="1" operator="equal">
      <formula>"Fail"</formula>
    </cfRule>
    <cfRule type="cellIs" dxfId="4894" priority="6832" stopIfTrue="1" operator="equal">
      <formula>"Pass"</formula>
    </cfRule>
  </conditionalFormatting>
  <conditionalFormatting sqref="I676">
    <cfRule type="cellIs" dxfId="4893" priority="6825" stopIfTrue="1" operator="equal">
      <formula>"Fail"</formula>
    </cfRule>
    <cfRule type="cellIs" dxfId="4892" priority="6826" stopIfTrue="1" operator="equal">
      <formula>"Pass"</formula>
    </cfRule>
  </conditionalFormatting>
  <conditionalFormatting sqref="C676">
    <cfRule type="cellIs" dxfId="4891" priority="6823" stopIfTrue="1" operator="equal">
      <formula>"Fail"</formula>
    </cfRule>
    <cfRule type="cellIs" dxfId="4890" priority="6824" stopIfTrue="1" operator="equal">
      <formula>"Pass"</formula>
    </cfRule>
  </conditionalFormatting>
  <conditionalFormatting sqref="C676:I676 A676">
    <cfRule type="cellIs" dxfId="4889" priority="6829" stopIfTrue="1" operator="equal">
      <formula>"Fail"</formula>
    </cfRule>
    <cfRule type="cellIs" dxfId="4888" priority="6830" stopIfTrue="1" operator="equal">
      <formula>"Pass"</formula>
    </cfRule>
  </conditionalFormatting>
  <conditionalFormatting sqref="D676:I676 A676">
    <cfRule type="cellIs" dxfId="4887" priority="6827" stopIfTrue="1" operator="equal">
      <formula>"Fail"</formula>
    </cfRule>
    <cfRule type="cellIs" dxfId="4886" priority="6828" stopIfTrue="1" operator="equal">
      <formula>"Pass"</formula>
    </cfRule>
  </conditionalFormatting>
  <conditionalFormatting sqref="I677">
    <cfRule type="cellIs" dxfId="4885" priority="6817" stopIfTrue="1" operator="equal">
      <formula>"Fail"</formula>
    </cfRule>
    <cfRule type="cellIs" dxfId="4884" priority="6818" stopIfTrue="1" operator="equal">
      <formula>"Pass"</formula>
    </cfRule>
  </conditionalFormatting>
  <conditionalFormatting sqref="C677">
    <cfRule type="cellIs" dxfId="4883" priority="6815" stopIfTrue="1" operator="equal">
      <formula>"Fail"</formula>
    </cfRule>
    <cfRule type="cellIs" dxfId="4882" priority="6816" stopIfTrue="1" operator="equal">
      <formula>"Pass"</formula>
    </cfRule>
  </conditionalFormatting>
  <conditionalFormatting sqref="C677:I677 A677">
    <cfRule type="cellIs" dxfId="4881" priority="6821" stopIfTrue="1" operator="equal">
      <formula>"Fail"</formula>
    </cfRule>
    <cfRule type="cellIs" dxfId="4880" priority="6822" stopIfTrue="1" operator="equal">
      <formula>"Pass"</formula>
    </cfRule>
  </conditionalFormatting>
  <conditionalFormatting sqref="D677:I677 A677">
    <cfRule type="cellIs" dxfId="4879" priority="6819" stopIfTrue="1" operator="equal">
      <formula>"Fail"</formula>
    </cfRule>
    <cfRule type="cellIs" dxfId="4878" priority="6820" stopIfTrue="1" operator="equal">
      <formula>"Pass"</formula>
    </cfRule>
  </conditionalFormatting>
  <conditionalFormatting sqref="I678">
    <cfRule type="cellIs" dxfId="4877" priority="6809" stopIfTrue="1" operator="equal">
      <formula>"Fail"</formula>
    </cfRule>
    <cfRule type="cellIs" dxfId="4876" priority="6810" stopIfTrue="1" operator="equal">
      <formula>"Pass"</formula>
    </cfRule>
  </conditionalFormatting>
  <conditionalFormatting sqref="C678">
    <cfRule type="cellIs" dxfId="4875" priority="6807" stopIfTrue="1" operator="equal">
      <formula>"Fail"</formula>
    </cfRule>
    <cfRule type="cellIs" dxfId="4874" priority="6808" stopIfTrue="1" operator="equal">
      <formula>"Pass"</formula>
    </cfRule>
  </conditionalFormatting>
  <conditionalFormatting sqref="C678:I678 A678">
    <cfRule type="cellIs" dxfId="4873" priority="6813" stopIfTrue="1" operator="equal">
      <formula>"Fail"</formula>
    </cfRule>
    <cfRule type="cellIs" dxfId="4872" priority="6814" stopIfTrue="1" operator="equal">
      <formula>"Pass"</formula>
    </cfRule>
  </conditionalFormatting>
  <conditionalFormatting sqref="D678:I678 A678">
    <cfRule type="cellIs" dxfId="4871" priority="6811" stopIfTrue="1" operator="equal">
      <formula>"Fail"</formula>
    </cfRule>
    <cfRule type="cellIs" dxfId="4870" priority="6812" stopIfTrue="1" operator="equal">
      <formula>"Pass"</formula>
    </cfRule>
  </conditionalFormatting>
  <conditionalFormatting sqref="I687">
    <cfRule type="cellIs" dxfId="4869" priority="6801" stopIfTrue="1" operator="equal">
      <formula>"Fail"</formula>
    </cfRule>
    <cfRule type="cellIs" dxfId="4868" priority="6802" stopIfTrue="1" operator="equal">
      <formula>"Pass"</formula>
    </cfRule>
  </conditionalFormatting>
  <conditionalFormatting sqref="C687">
    <cfRule type="cellIs" dxfId="4867" priority="6799" stopIfTrue="1" operator="equal">
      <formula>"Fail"</formula>
    </cfRule>
    <cfRule type="cellIs" dxfId="4866" priority="6800" stopIfTrue="1" operator="equal">
      <formula>"Pass"</formula>
    </cfRule>
  </conditionalFormatting>
  <conditionalFormatting sqref="C687:I687 A687">
    <cfRule type="cellIs" dxfId="4865" priority="6805" stopIfTrue="1" operator="equal">
      <formula>"Fail"</formula>
    </cfRule>
    <cfRule type="cellIs" dxfId="4864" priority="6806" stopIfTrue="1" operator="equal">
      <formula>"Pass"</formula>
    </cfRule>
  </conditionalFormatting>
  <conditionalFormatting sqref="D687:I687 A687">
    <cfRule type="cellIs" dxfId="4863" priority="6803" stopIfTrue="1" operator="equal">
      <formula>"Fail"</formula>
    </cfRule>
    <cfRule type="cellIs" dxfId="4862" priority="6804" stopIfTrue="1" operator="equal">
      <formula>"Pass"</formula>
    </cfRule>
  </conditionalFormatting>
  <conditionalFormatting sqref="I689">
    <cfRule type="cellIs" dxfId="4861" priority="6785" stopIfTrue="1" operator="equal">
      <formula>"Fail"</formula>
    </cfRule>
    <cfRule type="cellIs" dxfId="4860" priority="6786" stopIfTrue="1" operator="equal">
      <formula>"Pass"</formula>
    </cfRule>
  </conditionalFormatting>
  <conditionalFormatting sqref="C689">
    <cfRule type="cellIs" dxfId="4859" priority="6783" stopIfTrue="1" operator="equal">
      <formula>"Fail"</formula>
    </cfRule>
    <cfRule type="cellIs" dxfId="4858" priority="6784" stopIfTrue="1" operator="equal">
      <formula>"Pass"</formula>
    </cfRule>
  </conditionalFormatting>
  <conditionalFormatting sqref="C689:D689 A689 F689:I689">
    <cfRule type="cellIs" dxfId="4857" priority="6789" stopIfTrue="1" operator="equal">
      <formula>"Fail"</formula>
    </cfRule>
    <cfRule type="cellIs" dxfId="4856" priority="6790" stopIfTrue="1" operator="equal">
      <formula>"Pass"</formula>
    </cfRule>
  </conditionalFormatting>
  <conditionalFormatting sqref="D689 A689 F689:I689">
    <cfRule type="cellIs" dxfId="4855" priority="6787" stopIfTrue="1" operator="equal">
      <formula>"Fail"</formula>
    </cfRule>
    <cfRule type="cellIs" dxfId="4854" priority="6788" stopIfTrue="1" operator="equal">
      <formula>"Pass"</formula>
    </cfRule>
  </conditionalFormatting>
  <conditionalFormatting sqref="E689">
    <cfRule type="cellIs" dxfId="4853" priority="6781" stopIfTrue="1" operator="equal">
      <formula>"Fail"</formula>
    </cfRule>
    <cfRule type="cellIs" dxfId="4852" priority="6782" stopIfTrue="1" operator="equal">
      <formula>"Pass"</formula>
    </cfRule>
  </conditionalFormatting>
  <conditionalFormatting sqref="A690">
    <cfRule type="cellIs" dxfId="4851" priority="6779" stopIfTrue="1" operator="equal">
      <formula>"Fail"</formula>
    </cfRule>
    <cfRule type="cellIs" dxfId="4850" priority="6780" stopIfTrue="1" operator="equal">
      <formula>"Pass"</formula>
    </cfRule>
  </conditionalFormatting>
  <conditionalFormatting sqref="C690">
    <cfRule type="cellIs" dxfId="4849" priority="6775" stopIfTrue="1" operator="equal">
      <formula>"Fail"</formula>
    </cfRule>
    <cfRule type="cellIs" dxfId="4848" priority="6776" stopIfTrue="1" operator="equal">
      <formula>"Pass"</formula>
    </cfRule>
  </conditionalFormatting>
  <conditionalFormatting sqref="C690">
    <cfRule type="cellIs" dxfId="4847" priority="6769" stopIfTrue="1" operator="equal">
      <formula>"Fail"</formula>
    </cfRule>
    <cfRule type="cellIs" dxfId="4846" priority="6770" stopIfTrue="1" operator="equal">
      <formula>"Pass"</formula>
    </cfRule>
  </conditionalFormatting>
  <conditionalFormatting sqref="A690 C690:D690 F690:H690">
    <cfRule type="cellIs" dxfId="4845" priority="6773" stopIfTrue="1" operator="equal">
      <formula>"Fail"</formula>
    </cfRule>
    <cfRule type="cellIs" dxfId="4844" priority="6774" stopIfTrue="1" operator="equal">
      <formula>"Pass"</formula>
    </cfRule>
  </conditionalFormatting>
  <conditionalFormatting sqref="A690 D690 F690:H690">
    <cfRule type="cellIs" dxfId="4843" priority="6771" stopIfTrue="1" operator="equal">
      <formula>"Fail"</formula>
    </cfRule>
    <cfRule type="cellIs" dxfId="4842" priority="6772" stopIfTrue="1" operator="equal">
      <formula>"Pass"</formula>
    </cfRule>
  </conditionalFormatting>
  <conditionalFormatting sqref="I690">
    <cfRule type="cellIs" dxfId="4841" priority="6763" stopIfTrue="1" operator="equal">
      <formula>"Fail"</formula>
    </cfRule>
    <cfRule type="cellIs" dxfId="4840" priority="6764" stopIfTrue="1" operator="equal">
      <formula>"Pass"</formula>
    </cfRule>
  </conditionalFormatting>
  <conditionalFormatting sqref="I690">
    <cfRule type="cellIs" dxfId="4839" priority="6767" stopIfTrue="1" operator="equal">
      <formula>"Fail"</formula>
    </cfRule>
    <cfRule type="cellIs" dxfId="4838" priority="6768" stopIfTrue="1" operator="equal">
      <formula>"Pass"</formula>
    </cfRule>
  </conditionalFormatting>
  <conditionalFormatting sqref="I690">
    <cfRule type="cellIs" dxfId="4837" priority="6765" stopIfTrue="1" operator="equal">
      <formula>"Fail"</formula>
    </cfRule>
    <cfRule type="cellIs" dxfId="4836" priority="6766" stopIfTrue="1" operator="equal">
      <formula>"Pass"</formula>
    </cfRule>
  </conditionalFormatting>
  <conditionalFormatting sqref="A691 C691:I691">
    <cfRule type="cellIs" dxfId="4835" priority="6761" stopIfTrue="1" operator="equal">
      <formula>"Fail"</formula>
    </cfRule>
    <cfRule type="cellIs" dxfId="4834" priority="6762" stopIfTrue="1" operator="equal">
      <formula>"Pass"</formula>
    </cfRule>
  </conditionalFormatting>
  <conditionalFormatting sqref="B691">
    <cfRule type="cellIs" dxfId="4833" priority="6759" stopIfTrue="1" operator="equal">
      <formula>"Fail"</formula>
    </cfRule>
    <cfRule type="cellIs" dxfId="4832" priority="6760" stopIfTrue="1" operator="equal">
      <formula>"Pass"</formula>
    </cfRule>
  </conditionalFormatting>
  <conditionalFormatting sqref="A691 D691:I691">
    <cfRule type="cellIs" dxfId="4831" priority="6755" stopIfTrue="1" operator="equal">
      <formula>"Fail"</formula>
    </cfRule>
    <cfRule type="cellIs" dxfId="4830" priority="6756" stopIfTrue="1" operator="equal">
      <formula>"Pass"</formula>
    </cfRule>
  </conditionalFormatting>
  <conditionalFormatting sqref="A691 C691:I691">
    <cfRule type="cellIs" dxfId="4829" priority="6757" stopIfTrue="1" operator="equal">
      <formula>"Fail"</formula>
    </cfRule>
    <cfRule type="cellIs" dxfId="4828" priority="6758" stopIfTrue="1" operator="equal">
      <formula>"Pass"</formula>
    </cfRule>
  </conditionalFormatting>
  <conditionalFormatting sqref="I691">
    <cfRule type="cellIs" dxfId="4827" priority="6753" stopIfTrue="1" operator="equal">
      <formula>"Fail"</formula>
    </cfRule>
    <cfRule type="cellIs" dxfId="4826" priority="6754" stopIfTrue="1" operator="equal">
      <formula>"Pass"</formula>
    </cfRule>
  </conditionalFormatting>
  <conditionalFormatting sqref="C691">
    <cfRule type="cellIs" dxfId="4825" priority="6751" stopIfTrue="1" operator="equal">
      <formula>"Fail"</formula>
    </cfRule>
    <cfRule type="cellIs" dxfId="4824" priority="6752" stopIfTrue="1" operator="equal">
      <formula>"Pass"</formula>
    </cfRule>
  </conditionalFormatting>
  <conditionalFormatting sqref="C692">
    <cfRule type="cellIs" dxfId="4823" priority="6747" stopIfTrue="1" operator="equal">
      <formula>"Fail"</formula>
    </cfRule>
    <cfRule type="cellIs" dxfId="4822" priority="6748" stopIfTrue="1" operator="equal">
      <formula>"Pass"</formula>
    </cfRule>
  </conditionalFormatting>
  <conditionalFormatting sqref="I693">
    <cfRule type="cellIs" dxfId="4821" priority="6739" stopIfTrue="1" operator="equal">
      <formula>"Fail"</formula>
    </cfRule>
    <cfRule type="cellIs" dxfId="4820" priority="6740" stopIfTrue="1" operator="equal">
      <formula>"Pass"</formula>
    </cfRule>
  </conditionalFormatting>
  <conditionalFormatting sqref="I693">
    <cfRule type="cellIs" dxfId="4819" priority="6743" stopIfTrue="1" operator="equal">
      <formula>"Fail"</formula>
    </cfRule>
    <cfRule type="cellIs" dxfId="4818" priority="6744" stopIfTrue="1" operator="equal">
      <formula>"Pass"</formula>
    </cfRule>
  </conditionalFormatting>
  <conditionalFormatting sqref="I693">
    <cfRule type="cellIs" dxfId="4817" priority="6741" stopIfTrue="1" operator="equal">
      <formula>"Fail"</formula>
    </cfRule>
    <cfRule type="cellIs" dxfId="4816" priority="6742" stopIfTrue="1" operator="equal">
      <formula>"Pass"</formula>
    </cfRule>
  </conditionalFormatting>
  <conditionalFormatting sqref="A693">
    <cfRule type="cellIs" dxfId="4815" priority="6745" stopIfTrue="1" operator="equal">
      <formula>"Fail"</formula>
    </cfRule>
    <cfRule type="cellIs" dxfId="4814" priority="6746" stopIfTrue="1" operator="equal">
      <formula>"Pass"</formula>
    </cfRule>
  </conditionalFormatting>
  <conditionalFormatting sqref="B693">
    <cfRule type="cellIs" dxfId="4813" priority="6737" stopIfTrue="1" operator="equal">
      <formula>"Fail"</formula>
    </cfRule>
    <cfRule type="cellIs" dxfId="4812" priority="6738" stopIfTrue="1" operator="equal">
      <formula>"Pass"</formula>
    </cfRule>
  </conditionalFormatting>
  <conditionalFormatting sqref="C693">
    <cfRule type="cellIs" dxfId="4811" priority="6735" stopIfTrue="1" operator="equal">
      <formula>"Fail"</formula>
    </cfRule>
    <cfRule type="cellIs" dxfId="4810" priority="6736" stopIfTrue="1" operator="equal">
      <formula>"Pass"</formula>
    </cfRule>
  </conditionalFormatting>
  <conditionalFormatting sqref="A694 C694:I694">
    <cfRule type="cellIs" dxfId="4809" priority="6733" stopIfTrue="1" operator="equal">
      <formula>"Fail"</formula>
    </cfRule>
    <cfRule type="cellIs" dxfId="4808" priority="6734" stopIfTrue="1" operator="equal">
      <formula>"Pass"</formula>
    </cfRule>
  </conditionalFormatting>
  <conditionalFormatting sqref="B694">
    <cfRule type="cellIs" dxfId="4807" priority="6731" stopIfTrue="1" operator="equal">
      <formula>"Fail"</formula>
    </cfRule>
    <cfRule type="cellIs" dxfId="4806" priority="6732" stopIfTrue="1" operator="equal">
      <formula>"Pass"</formula>
    </cfRule>
  </conditionalFormatting>
  <conditionalFormatting sqref="A694 D694:I694">
    <cfRule type="cellIs" dxfId="4805" priority="6727" stopIfTrue="1" operator="equal">
      <formula>"Fail"</formula>
    </cfRule>
    <cfRule type="cellIs" dxfId="4804" priority="6728" stopIfTrue="1" operator="equal">
      <formula>"Pass"</formula>
    </cfRule>
  </conditionalFormatting>
  <conditionalFormatting sqref="A694 C694:I694">
    <cfRule type="cellIs" dxfId="4803" priority="6729" stopIfTrue="1" operator="equal">
      <formula>"Fail"</formula>
    </cfRule>
    <cfRule type="cellIs" dxfId="4802" priority="6730" stopIfTrue="1" operator="equal">
      <formula>"Pass"</formula>
    </cfRule>
  </conditionalFormatting>
  <conditionalFormatting sqref="I694">
    <cfRule type="cellIs" dxfId="4801" priority="6725" stopIfTrue="1" operator="equal">
      <formula>"Fail"</formula>
    </cfRule>
    <cfRule type="cellIs" dxfId="4800" priority="6726" stopIfTrue="1" operator="equal">
      <formula>"Pass"</formula>
    </cfRule>
  </conditionalFormatting>
  <conditionalFormatting sqref="C694">
    <cfRule type="cellIs" dxfId="4799" priority="6723" stopIfTrue="1" operator="equal">
      <formula>"Fail"</formula>
    </cfRule>
    <cfRule type="cellIs" dxfId="4798" priority="6724" stopIfTrue="1" operator="equal">
      <formula>"Pass"</formula>
    </cfRule>
  </conditionalFormatting>
  <conditionalFormatting sqref="B682">
    <cfRule type="cellIs" dxfId="4797" priority="6675" stopIfTrue="1" operator="equal">
      <formula>"Fail"</formula>
    </cfRule>
    <cfRule type="cellIs" dxfId="4796" priority="6676" stopIfTrue="1" operator="equal">
      <formula>"Pass"</formula>
    </cfRule>
  </conditionalFormatting>
  <conditionalFormatting sqref="A682">
    <cfRule type="cellIs" dxfId="4795" priority="6673" stopIfTrue="1" operator="equal">
      <formula>"Fail"</formula>
    </cfRule>
    <cfRule type="cellIs" dxfId="4794" priority="6674" stopIfTrue="1" operator="equal">
      <formula>"Pass"</formula>
    </cfRule>
  </conditionalFormatting>
  <conditionalFormatting sqref="I681">
    <cfRule type="cellIs" dxfId="4793" priority="6667" stopIfTrue="1" operator="equal">
      <formula>"Fail"</formula>
    </cfRule>
    <cfRule type="cellIs" dxfId="4792" priority="6668" stopIfTrue="1" operator="equal">
      <formula>"Pass"</formula>
    </cfRule>
  </conditionalFormatting>
  <conditionalFormatting sqref="C681">
    <cfRule type="cellIs" dxfId="4791" priority="6665" stopIfTrue="1" operator="equal">
      <formula>"Fail"</formula>
    </cfRule>
    <cfRule type="cellIs" dxfId="4790" priority="6666" stopIfTrue="1" operator="equal">
      <formula>"Pass"</formula>
    </cfRule>
  </conditionalFormatting>
  <conditionalFormatting sqref="A681 C681:D681 F681:I681">
    <cfRule type="cellIs" dxfId="4789" priority="6671" stopIfTrue="1" operator="equal">
      <formula>"Fail"</formula>
    </cfRule>
    <cfRule type="cellIs" dxfId="4788" priority="6672" stopIfTrue="1" operator="equal">
      <formula>"Pass"</formula>
    </cfRule>
  </conditionalFormatting>
  <conditionalFormatting sqref="A681 D681 F681:I681">
    <cfRule type="cellIs" dxfId="4787" priority="6669" stopIfTrue="1" operator="equal">
      <formula>"Fail"</formula>
    </cfRule>
    <cfRule type="cellIs" dxfId="4786" priority="6670" stopIfTrue="1" operator="equal">
      <formula>"Pass"</formula>
    </cfRule>
  </conditionalFormatting>
  <conditionalFormatting sqref="C682">
    <cfRule type="cellIs" dxfId="4785" priority="6663" stopIfTrue="1" operator="equal">
      <formula>"Fail"</formula>
    </cfRule>
    <cfRule type="cellIs" dxfId="4784" priority="6664" stopIfTrue="1" operator="equal">
      <formula>"Pass"</formula>
    </cfRule>
  </conditionalFormatting>
  <conditionalFormatting sqref="I682">
    <cfRule type="cellIs" dxfId="4783" priority="6657" stopIfTrue="1" operator="equal">
      <formula>"Fail"</formula>
    </cfRule>
    <cfRule type="cellIs" dxfId="4782" priority="6658" stopIfTrue="1" operator="equal">
      <formula>"Pass"</formula>
    </cfRule>
  </conditionalFormatting>
  <conditionalFormatting sqref="I682">
    <cfRule type="cellIs" dxfId="4781" priority="6661" stopIfTrue="1" operator="equal">
      <formula>"Fail"</formula>
    </cfRule>
    <cfRule type="cellIs" dxfId="4780" priority="6662" stopIfTrue="1" operator="equal">
      <formula>"Pass"</formula>
    </cfRule>
  </conditionalFormatting>
  <conditionalFormatting sqref="I682">
    <cfRule type="cellIs" dxfId="4779" priority="6659" stopIfTrue="1" operator="equal">
      <formula>"Fail"</formula>
    </cfRule>
    <cfRule type="cellIs" dxfId="4778" priority="6660" stopIfTrue="1" operator="equal">
      <formula>"Pass"</formula>
    </cfRule>
  </conditionalFormatting>
  <conditionalFormatting sqref="I685">
    <cfRule type="cellIs" dxfId="4777" priority="6647" stopIfTrue="1" operator="equal">
      <formula>"Fail"</formula>
    </cfRule>
    <cfRule type="cellIs" dxfId="4776" priority="6648" stopIfTrue="1" operator="equal">
      <formula>"Pass"</formula>
    </cfRule>
  </conditionalFormatting>
  <conditionalFormatting sqref="C685">
    <cfRule type="cellIs" dxfId="4775" priority="6641" stopIfTrue="1" operator="equal">
      <formula>"Fail"</formula>
    </cfRule>
    <cfRule type="cellIs" dxfId="4774" priority="6642" stopIfTrue="1" operator="equal">
      <formula>"Pass"</formula>
    </cfRule>
  </conditionalFormatting>
  <conditionalFormatting sqref="I685">
    <cfRule type="cellIs" dxfId="4773" priority="6649" stopIfTrue="1" operator="equal">
      <formula>"Fail"</formula>
    </cfRule>
    <cfRule type="cellIs" dxfId="4772" priority="6650" stopIfTrue="1" operator="equal">
      <formula>"Pass"</formula>
    </cfRule>
  </conditionalFormatting>
  <conditionalFormatting sqref="A685">
    <cfRule type="cellIs" dxfId="4771" priority="6651" stopIfTrue="1" operator="equal">
      <formula>"Fail"</formula>
    </cfRule>
    <cfRule type="cellIs" dxfId="4770" priority="6652" stopIfTrue="1" operator="equal">
      <formula>"Pass"</formula>
    </cfRule>
  </conditionalFormatting>
  <conditionalFormatting sqref="I685">
    <cfRule type="cellIs" dxfId="4769" priority="6645" stopIfTrue="1" operator="equal">
      <formula>"Fail"</formula>
    </cfRule>
    <cfRule type="cellIs" dxfId="4768" priority="6646" stopIfTrue="1" operator="equal">
      <formula>"Pass"</formula>
    </cfRule>
  </conditionalFormatting>
  <conditionalFormatting sqref="B685">
    <cfRule type="cellIs" dxfId="4767" priority="6643" stopIfTrue="1" operator="equal">
      <formula>"Fail"</formula>
    </cfRule>
    <cfRule type="cellIs" dxfId="4766" priority="6644" stopIfTrue="1" operator="equal">
      <formula>"Pass"</formula>
    </cfRule>
  </conditionalFormatting>
  <conditionalFormatting sqref="B684">
    <cfRule type="cellIs" dxfId="4765" priority="6639" stopIfTrue="1" operator="equal">
      <formula>"Fail"</formula>
    </cfRule>
    <cfRule type="cellIs" dxfId="4764" priority="6640" stopIfTrue="1" operator="equal">
      <formula>"Pass"</formula>
    </cfRule>
  </conditionalFormatting>
  <conditionalFormatting sqref="C684">
    <cfRule type="cellIs" dxfId="4763" priority="6637" stopIfTrue="1" operator="equal">
      <formula>"Fail"</formula>
    </cfRule>
    <cfRule type="cellIs" dxfId="4762" priority="6638" stopIfTrue="1" operator="equal">
      <formula>"Pass"</formula>
    </cfRule>
  </conditionalFormatting>
  <conditionalFormatting sqref="A684">
    <cfRule type="cellIs" dxfId="4761" priority="6635" stopIfTrue="1" operator="equal">
      <formula>"Fail"</formula>
    </cfRule>
    <cfRule type="cellIs" dxfId="4760" priority="6636" stopIfTrue="1" operator="equal">
      <formula>"Pass"</formula>
    </cfRule>
  </conditionalFormatting>
  <conditionalFormatting sqref="A683 C683:I683">
    <cfRule type="cellIs" dxfId="4759" priority="6633" stopIfTrue="1" operator="equal">
      <formula>"Fail"</formula>
    </cfRule>
    <cfRule type="cellIs" dxfId="4758" priority="6634" stopIfTrue="1" operator="equal">
      <formula>"Pass"</formula>
    </cfRule>
  </conditionalFormatting>
  <conditionalFormatting sqref="B683">
    <cfRule type="cellIs" dxfId="4757" priority="6631" stopIfTrue="1" operator="equal">
      <formula>"Fail"</formula>
    </cfRule>
    <cfRule type="cellIs" dxfId="4756" priority="6632" stopIfTrue="1" operator="equal">
      <formula>"Pass"</formula>
    </cfRule>
  </conditionalFormatting>
  <conditionalFormatting sqref="A686:A688 C686:I688">
    <cfRule type="cellIs" dxfId="4755" priority="6629" stopIfTrue="1" operator="equal">
      <formula>"Fail"</formula>
    </cfRule>
    <cfRule type="cellIs" dxfId="4754" priority="6630" stopIfTrue="1" operator="equal">
      <formula>"Pass"</formula>
    </cfRule>
  </conditionalFormatting>
  <conditionalFormatting sqref="B686:B688">
    <cfRule type="cellIs" dxfId="4753" priority="6627" stopIfTrue="1" operator="equal">
      <formula>"Fail"</formula>
    </cfRule>
    <cfRule type="cellIs" dxfId="4752" priority="6628" stopIfTrue="1" operator="equal">
      <formula>"Pass"</formula>
    </cfRule>
  </conditionalFormatting>
  <conditionalFormatting sqref="I722">
    <cfRule type="cellIs" dxfId="4751" priority="6613" stopIfTrue="1" operator="equal">
      <formula>"Fail"</formula>
    </cfRule>
    <cfRule type="cellIs" dxfId="4750" priority="6614" stopIfTrue="1" operator="equal">
      <formula>"Pass"</formula>
    </cfRule>
  </conditionalFormatting>
  <conditionalFormatting sqref="D722:I722 A722">
    <cfRule type="cellIs" dxfId="4749" priority="6617" stopIfTrue="1" operator="equal">
      <formula>"Fail"</formula>
    </cfRule>
    <cfRule type="cellIs" dxfId="4748" priority="6618" stopIfTrue="1" operator="equal">
      <formula>"Pass"</formula>
    </cfRule>
  </conditionalFormatting>
  <conditionalFormatting sqref="D722:I722 A722">
    <cfRule type="cellIs" dxfId="4747" priority="6615" stopIfTrue="1" operator="equal">
      <formula>"Fail"</formula>
    </cfRule>
    <cfRule type="cellIs" dxfId="4746" priority="6616" stopIfTrue="1" operator="equal">
      <formula>"Pass"</formula>
    </cfRule>
  </conditionalFormatting>
  <conditionalFormatting sqref="I723">
    <cfRule type="cellIs" dxfId="4745" priority="6589" stopIfTrue="1" operator="equal">
      <formula>"Fail"</formula>
    </cfRule>
    <cfRule type="cellIs" dxfId="4744" priority="6590" stopIfTrue="1" operator="equal">
      <formula>"Pass"</formula>
    </cfRule>
  </conditionalFormatting>
  <conditionalFormatting sqref="D723 A723 F723:I723">
    <cfRule type="cellIs" dxfId="4743" priority="6593" stopIfTrue="1" operator="equal">
      <formula>"Fail"</formula>
    </cfRule>
    <cfRule type="cellIs" dxfId="4742" priority="6594" stopIfTrue="1" operator="equal">
      <formula>"Pass"</formula>
    </cfRule>
  </conditionalFormatting>
  <conditionalFormatting sqref="D723 A723 F723:I723">
    <cfRule type="cellIs" dxfId="4741" priority="6591" stopIfTrue="1" operator="equal">
      <formula>"Fail"</formula>
    </cfRule>
    <cfRule type="cellIs" dxfId="4740" priority="6592" stopIfTrue="1" operator="equal">
      <formula>"Pass"</formula>
    </cfRule>
  </conditionalFormatting>
  <conditionalFormatting sqref="E723">
    <cfRule type="cellIs" dxfId="4739" priority="6581" stopIfTrue="1" operator="equal">
      <formula>"Fail"</formula>
    </cfRule>
    <cfRule type="cellIs" dxfId="4738" priority="6582" stopIfTrue="1" operator="equal">
      <formula>"Pass"</formula>
    </cfRule>
  </conditionalFormatting>
  <conditionalFormatting sqref="E723">
    <cfRule type="cellIs" dxfId="4737" priority="6583" stopIfTrue="1" operator="equal">
      <formula>"Fail"</formula>
    </cfRule>
    <cfRule type="cellIs" dxfId="4736" priority="6584" stopIfTrue="1" operator="equal">
      <formula>"Pass"</formula>
    </cfRule>
  </conditionalFormatting>
  <conditionalFormatting sqref="A714:A715">
    <cfRule type="cellIs" dxfId="4735" priority="6575" stopIfTrue="1" operator="equal">
      <formula>"Fail"</formula>
    </cfRule>
    <cfRule type="cellIs" dxfId="4734" priority="6576" stopIfTrue="1" operator="equal">
      <formula>"Pass"</formula>
    </cfRule>
  </conditionalFormatting>
  <conditionalFormatting sqref="C714:I715">
    <cfRule type="cellIs" dxfId="4733" priority="6573" stopIfTrue="1" operator="equal">
      <formula>"Fail"</formula>
    </cfRule>
    <cfRule type="cellIs" dxfId="4732" priority="6574" stopIfTrue="1" operator="equal">
      <formula>"Pass"</formula>
    </cfRule>
  </conditionalFormatting>
  <conditionalFormatting sqref="B714:B715">
    <cfRule type="cellIs" dxfId="4731" priority="6571" stopIfTrue="1" operator="equal">
      <formula>"Fail"</formula>
    </cfRule>
    <cfRule type="cellIs" dxfId="4730" priority="6572" stopIfTrue="1" operator="equal">
      <formula>"Pass"</formula>
    </cfRule>
  </conditionalFormatting>
  <conditionalFormatting sqref="A725:A726">
    <cfRule type="cellIs" dxfId="4729" priority="6569" stopIfTrue="1" operator="equal">
      <formula>"Fail"</formula>
    </cfRule>
    <cfRule type="cellIs" dxfId="4728" priority="6570" stopIfTrue="1" operator="equal">
      <formula>"Pass"</formula>
    </cfRule>
  </conditionalFormatting>
  <conditionalFormatting sqref="A725:A726 D725:D726 F725:H726">
    <cfRule type="cellIs" dxfId="4727" priority="6563" stopIfTrue="1" operator="equal">
      <formula>"Fail"</formula>
    </cfRule>
    <cfRule type="cellIs" dxfId="4726" priority="6564" stopIfTrue="1" operator="equal">
      <formula>"Pass"</formula>
    </cfRule>
  </conditionalFormatting>
  <conditionalFormatting sqref="A725:A726 D725:D726 F725:H726">
    <cfRule type="cellIs" dxfId="4725" priority="6561" stopIfTrue="1" operator="equal">
      <formula>"Fail"</formula>
    </cfRule>
    <cfRule type="cellIs" dxfId="4724" priority="6562" stopIfTrue="1" operator="equal">
      <formula>"Pass"</formula>
    </cfRule>
  </conditionalFormatting>
  <conditionalFormatting sqref="I725:I726">
    <cfRule type="cellIs" dxfId="4723" priority="6553" stopIfTrue="1" operator="equal">
      <formula>"Fail"</formula>
    </cfRule>
    <cfRule type="cellIs" dxfId="4722" priority="6554" stopIfTrue="1" operator="equal">
      <formula>"Pass"</formula>
    </cfRule>
  </conditionalFormatting>
  <conditionalFormatting sqref="I725:I726">
    <cfRule type="cellIs" dxfId="4721" priority="6557" stopIfTrue="1" operator="equal">
      <formula>"Fail"</formula>
    </cfRule>
    <cfRule type="cellIs" dxfId="4720" priority="6558" stopIfTrue="1" operator="equal">
      <formula>"Pass"</formula>
    </cfRule>
  </conditionalFormatting>
  <conditionalFormatting sqref="I725:I726">
    <cfRule type="cellIs" dxfId="4719" priority="6555" stopIfTrue="1" operator="equal">
      <formula>"Fail"</formula>
    </cfRule>
    <cfRule type="cellIs" dxfId="4718" priority="6556" stopIfTrue="1" operator="equal">
      <formula>"Pass"</formula>
    </cfRule>
  </conditionalFormatting>
  <conditionalFormatting sqref="A727 C727:I727">
    <cfRule type="cellIs" dxfId="4717" priority="6551" stopIfTrue="1" operator="equal">
      <formula>"Fail"</formula>
    </cfRule>
    <cfRule type="cellIs" dxfId="4716" priority="6552" stopIfTrue="1" operator="equal">
      <formula>"Pass"</formula>
    </cfRule>
  </conditionalFormatting>
  <conditionalFormatting sqref="B727">
    <cfRule type="cellIs" dxfId="4715" priority="6549" stopIfTrue="1" operator="equal">
      <formula>"Fail"</formula>
    </cfRule>
    <cfRule type="cellIs" dxfId="4714" priority="6550" stopIfTrue="1" operator="equal">
      <formula>"Pass"</formula>
    </cfRule>
  </conditionalFormatting>
  <conditionalFormatting sqref="I715">
    <cfRule type="cellIs" dxfId="4713" priority="6527" stopIfTrue="1" operator="equal">
      <formula>"Fail"</formula>
    </cfRule>
    <cfRule type="cellIs" dxfId="4712" priority="6528" stopIfTrue="1" operator="equal">
      <formula>"Pass"</formula>
    </cfRule>
  </conditionalFormatting>
  <conditionalFormatting sqref="D715:I715 A715">
    <cfRule type="cellIs" dxfId="4711" priority="6531" stopIfTrue="1" operator="equal">
      <formula>"Fail"</formula>
    </cfRule>
    <cfRule type="cellIs" dxfId="4710" priority="6532" stopIfTrue="1" operator="equal">
      <formula>"Pass"</formula>
    </cfRule>
  </conditionalFormatting>
  <conditionalFormatting sqref="D715:I715 A715">
    <cfRule type="cellIs" dxfId="4709" priority="6529" stopIfTrue="1" operator="equal">
      <formula>"Fail"</formula>
    </cfRule>
    <cfRule type="cellIs" dxfId="4708" priority="6530" stopIfTrue="1" operator="equal">
      <formula>"Pass"</formula>
    </cfRule>
  </conditionalFormatting>
  <conditionalFormatting sqref="I718">
    <cfRule type="cellIs" dxfId="4707" priority="6519" stopIfTrue="1" operator="equal">
      <formula>"Fail"</formula>
    </cfRule>
    <cfRule type="cellIs" dxfId="4706" priority="6520" stopIfTrue="1" operator="equal">
      <formula>"Pass"</formula>
    </cfRule>
  </conditionalFormatting>
  <conditionalFormatting sqref="D718:I718 A718">
    <cfRule type="cellIs" dxfId="4705" priority="6523" stopIfTrue="1" operator="equal">
      <formula>"Fail"</formula>
    </cfRule>
    <cfRule type="cellIs" dxfId="4704" priority="6524" stopIfTrue="1" operator="equal">
      <formula>"Pass"</formula>
    </cfRule>
  </conditionalFormatting>
  <conditionalFormatting sqref="D718:I718 A718">
    <cfRule type="cellIs" dxfId="4703" priority="6521" stopIfTrue="1" operator="equal">
      <formula>"Fail"</formula>
    </cfRule>
    <cfRule type="cellIs" dxfId="4702" priority="6522" stopIfTrue="1" operator="equal">
      <formula>"Pass"</formula>
    </cfRule>
  </conditionalFormatting>
  <conditionalFormatting sqref="A719 D719:I719">
    <cfRule type="cellIs" dxfId="4701" priority="6503" stopIfTrue="1" operator="equal">
      <formula>"Fail"</formula>
    </cfRule>
    <cfRule type="cellIs" dxfId="4700" priority="6504" stopIfTrue="1" operator="equal">
      <formula>"Pass"</formula>
    </cfRule>
  </conditionalFormatting>
  <conditionalFormatting sqref="A719 C719:I719">
    <cfRule type="cellIs" dxfId="4699" priority="6505" stopIfTrue="1" operator="equal">
      <formula>"Fail"</formula>
    </cfRule>
    <cfRule type="cellIs" dxfId="4698" priority="6506" stopIfTrue="1" operator="equal">
      <formula>"Pass"</formula>
    </cfRule>
  </conditionalFormatting>
  <conditionalFormatting sqref="I719">
    <cfRule type="cellIs" dxfId="4697" priority="6501" stopIfTrue="1" operator="equal">
      <formula>"Fail"</formula>
    </cfRule>
    <cfRule type="cellIs" dxfId="4696" priority="6502" stopIfTrue="1" operator="equal">
      <formula>"Pass"</formula>
    </cfRule>
  </conditionalFormatting>
  <conditionalFormatting sqref="C719">
    <cfRule type="cellIs" dxfId="4695" priority="6499" stopIfTrue="1" operator="equal">
      <formula>"Fail"</formula>
    </cfRule>
    <cfRule type="cellIs" dxfId="4694" priority="6500" stopIfTrue="1" operator="equal">
      <formula>"Pass"</formula>
    </cfRule>
  </conditionalFormatting>
  <conditionalFormatting sqref="A721">
    <cfRule type="cellIs" dxfId="4693" priority="6497" stopIfTrue="1" operator="equal">
      <formula>"Fail"</formula>
    </cfRule>
    <cfRule type="cellIs" dxfId="4692" priority="6498" stopIfTrue="1" operator="equal">
      <formula>"Pass"</formula>
    </cfRule>
  </conditionalFormatting>
  <conditionalFormatting sqref="I721">
    <cfRule type="cellIs" dxfId="4691" priority="6481" stopIfTrue="1" operator="equal">
      <formula>"Fail"</formula>
    </cfRule>
    <cfRule type="cellIs" dxfId="4690" priority="6482" stopIfTrue="1" operator="equal">
      <formula>"Pass"</formula>
    </cfRule>
  </conditionalFormatting>
  <conditionalFormatting sqref="A721 D721 F721:H721">
    <cfRule type="cellIs" dxfId="4689" priority="6491" stopIfTrue="1" operator="equal">
      <formula>"Fail"</formula>
    </cfRule>
    <cfRule type="cellIs" dxfId="4688" priority="6492" stopIfTrue="1" operator="equal">
      <formula>"Pass"</formula>
    </cfRule>
  </conditionalFormatting>
  <conditionalFormatting sqref="A721 D721 F721:H721">
    <cfRule type="cellIs" dxfId="4687" priority="6489" stopIfTrue="1" operator="equal">
      <formula>"Fail"</formula>
    </cfRule>
    <cfRule type="cellIs" dxfId="4686" priority="6490" stopIfTrue="1" operator="equal">
      <formula>"Pass"</formula>
    </cfRule>
  </conditionalFormatting>
  <conditionalFormatting sqref="I721">
    <cfRule type="cellIs" dxfId="4685" priority="6485" stopIfTrue="1" operator="equal">
      <formula>"Fail"</formula>
    </cfRule>
    <cfRule type="cellIs" dxfId="4684" priority="6486" stopIfTrue="1" operator="equal">
      <formula>"Pass"</formula>
    </cfRule>
  </conditionalFormatting>
  <conditionalFormatting sqref="I721">
    <cfRule type="cellIs" dxfId="4683" priority="6483" stopIfTrue="1" operator="equal">
      <formula>"Fail"</formula>
    </cfRule>
    <cfRule type="cellIs" dxfId="4682" priority="6484" stopIfTrue="1" operator="equal">
      <formula>"Pass"</formula>
    </cfRule>
  </conditionalFormatting>
  <conditionalFormatting sqref="C726:I727 C725:D725 F725:I725">
    <cfRule type="cellIs" dxfId="4681" priority="6479" stopIfTrue="1" operator="equal">
      <formula>"Fail"</formula>
    </cfRule>
    <cfRule type="cellIs" dxfId="4680" priority="6480" stopIfTrue="1" operator="equal">
      <formula>"Pass"</formula>
    </cfRule>
  </conditionalFormatting>
  <conditionalFormatting sqref="B726">
    <cfRule type="cellIs" dxfId="4679" priority="6475" stopIfTrue="1" operator="equal">
      <formula>"Fail"</formula>
    </cfRule>
    <cfRule type="cellIs" dxfId="4678" priority="6476" stopIfTrue="1" operator="equal">
      <formula>"Pass"</formula>
    </cfRule>
  </conditionalFormatting>
  <conditionalFormatting sqref="A726">
    <cfRule type="cellIs" dxfId="4677" priority="6473" stopIfTrue="1" operator="equal">
      <formula>"Fail"</formula>
    </cfRule>
    <cfRule type="cellIs" dxfId="4676" priority="6474" stopIfTrue="1" operator="equal">
      <formula>"Pass"</formula>
    </cfRule>
  </conditionalFormatting>
  <conditionalFormatting sqref="C726">
    <cfRule type="cellIs" dxfId="4675" priority="6471" stopIfTrue="1" operator="equal">
      <formula>"Fail"</formula>
    </cfRule>
    <cfRule type="cellIs" dxfId="4674" priority="6472" stopIfTrue="1" operator="equal">
      <formula>"Pass"</formula>
    </cfRule>
  </conditionalFormatting>
  <conditionalFormatting sqref="I726">
    <cfRule type="cellIs" dxfId="4673" priority="6465" stopIfTrue="1" operator="equal">
      <formula>"Fail"</formula>
    </cfRule>
    <cfRule type="cellIs" dxfId="4672" priority="6466" stopIfTrue="1" operator="equal">
      <formula>"Pass"</formula>
    </cfRule>
  </conditionalFormatting>
  <conditionalFormatting sqref="I726">
    <cfRule type="cellIs" dxfId="4671" priority="6469" stopIfTrue="1" operator="equal">
      <formula>"Fail"</formula>
    </cfRule>
    <cfRule type="cellIs" dxfId="4670" priority="6470" stopIfTrue="1" operator="equal">
      <formula>"Pass"</formula>
    </cfRule>
  </conditionalFormatting>
  <conditionalFormatting sqref="I726">
    <cfRule type="cellIs" dxfId="4669" priority="6467" stopIfTrue="1" operator="equal">
      <formula>"Fail"</formula>
    </cfRule>
    <cfRule type="cellIs" dxfId="4668" priority="6468" stopIfTrue="1" operator="equal">
      <formula>"Pass"</formula>
    </cfRule>
  </conditionalFormatting>
  <conditionalFormatting sqref="I728">
    <cfRule type="cellIs" dxfId="4667" priority="6459" stopIfTrue="1" operator="equal">
      <formula>"Fail"</formula>
    </cfRule>
    <cfRule type="cellIs" dxfId="4666" priority="6460" stopIfTrue="1" operator="equal">
      <formula>"Pass"</formula>
    </cfRule>
  </conditionalFormatting>
  <conditionalFormatting sqref="C728">
    <cfRule type="cellIs" dxfId="4665" priority="6457" stopIfTrue="1" operator="equal">
      <formula>"Fail"</formula>
    </cfRule>
    <cfRule type="cellIs" dxfId="4664" priority="6458" stopIfTrue="1" operator="equal">
      <formula>"Pass"</formula>
    </cfRule>
  </conditionalFormatting>
  <conditionalFormatting sqref="C728:I728 A728">
    <cfRule type="cellIs" dxfId="4663" priority="6463" stopIfTrue="1" operator="equal">
      <formula>"Fail"</formula>
    </cfRule>
    <cfRule type="cellIs" dxfId="4662" priority="6464" stopIfTrue="1" operator="equal">
      <formula>"Pass"</formula>
    </cfRule>
  </conditionalFormatting>
  <conditionalFormatting sqref="D728:I728 A728">
    <cfRule type="cellIs" dxfId="4661" priority="6461" stopIfTrue="1" operator="equal">
      <formula>"Fail"</formula>
    </cfRule>
    <cfRule type="cellIs" dxfId="4660" priority="6462" stopIfTrue="1" operator="equal">
      <formula>"Pass"</formula>
    </cfRule>
  </conditionalFormatting>
  <conditionalFormatting sqref="C722">
    <cfRule type="cellIs" dxfId="4659" priority="6453" stopIfTrue="1" operator="equal">
      <formula>"Fail"</formula>
    </cfRule>
    <cfRule type="cellIs" dxfId="4658" priority="6454" stopIfTrue="1" operator="equal">
      <formula>"Pass"</formula>
    </cfRule>
  </conditionalFormatting>
  <conditionalFormatting sqref="C722">
    <cfRule type="cellIs" dxfId="4657" priority="6455" stopIfTrue="1" operator="equal">
      <formula>"Fail"</formula>
    </cfRule>
    <cfRule type="cellIs" dxfId="4656" priority="6456" stopIfTrue="1" operator="equal">
      <formula>"Pass"</formula>
    </cfRule>
  </conditionalFormatting>
  <conditionalFormatting sqref="C723">
    <cfRule type="cellIs" dxfId="4655" priority="6439" stopIfTrue="1" operator="equal">
      <formula>"Fail"</formula>
    </cfRule>
    <cfRule type="cellIs" dxfId="4654" priority="6440" stopIfTrue="1" operator="equal">
      <formula>"Pass"</formula>
    </cfRule>
  </conditionalFormatting>
  <conditionalFormatting sqref="C723">
    <cfRule type="cellIs" dxfId="4653" priority="6437" stopIfTrue="1" operator="equal">
      <formula>"Fail"</formula>
    </cfRule>
    <cfRule type="cellIs" dxfId="4652" priority="6438" stopIfTrue="1" operator="equal">
      <formula>"Pass"</formula>
    </cfRule>
  </conditionalFormatting>
  <conditionalFormatting sqref="C725:C726">
    <cfRule type="cellIs" dxfId="4651" priority="6433" stopIfTrue="1" operator="equal">
      <formula>"Fail"</formula>
    </cfRule>
    <cfRule type="cellIs" dxfId="4650" priority="6434" stopIfTrue="1" operator="equal">
      <formula>"Pass"</formula>
    </cfRule>
  </conditionalFormatting>
  <conditionalFormatting sqref="C725:C726">
    <cfRule type="cellIs" dxfId="4649" priority="6435" stopIfTrue="1" operator="equal">
      <formula>"Fail"</formula>
    </cfRule>
    <cfRule type="cellIs" dxfId="4648" priority="6436" stopIfTrue="1" operator="equal">
      <formula>"Pass"</formula>
    </cfRule>
  </conditionalFormatting>
  <conditionalFormatting sqref="B726">
    <cfRule type="cellIs" dxfId="4647" priority="6431" stopIfTrue="1" operator="equal">
      <formula>"Fail"</formula>
    </cfRule>
    <cfRule type="cellIs" dxfId="4646" priority="6432" stopIfTrue="1" operator="equal">
      <formula>"Pass"</formula>
    </cfRule>
  </conditionalFormatting>
  <conditionalFormatting sqref="I716">
    <cfRule type="cellIs" dxfId="4645" priority="6425" stopIfTrue="1" operator="equal">
      <formula>"Fail"</formula>
    </cfRule>
    <cfRule type="cellIs" dxfId="4644" priority="6426" stopIfTrue="1" operator="equal">
      <formula>"Pass"</formula>
    </cfRule>
  </conditionalFormatting>
  <conditionalFormatting sqref="D716:I716 A716">
    <cfRule type="cellIs" dxfId="4643" priority="6429" stopIfTrue="1" operator="equal">
      <formula>"Fail"</formula>
    </cfRule>
    <cfRule type="cellIs" dxfId="4642" priority="6430" stopIfTrue="1" operator="equal">
      <formula>"Pass"</formula>
    </cfRule>
  </conditionalFormatting>
  <conditionalFormatting sqref="D716:I716 A716">
    <cfRule type="cellIs" dxfId="4641" priority="6427" stopIfTrue="1" operator="equal">
      <formula>"Fail"</formula>
    </cfRule>
    <cfRule type="cellIs" dxfId="4640" priority="6428" stopIfTrue="1" operator="equal">
      <formula>"Pass"</formula>
    </cfRule>
  </conditionalFormatting>
  <conditionalFormatting sqref="C716">
    <cfRule type="cellIs" dxfId="4639" priority="6421" stopIfTrue="1" operator="equal">
      <formula>"Fail"</formula>
    </cfRule>
    <cfRule type="cellIs" dxfId="4638" priority="6422" stopIfTrue="1" operator="equal">
      <formula>"Pass"</formula>
    </cfRule>
  </conditionalFormatting>
  <conditionalFormatting sqref="C716">
    <cfRule type="cellIs" dxfId="4637" priority="6423" stopIfTrue="1" operator="equal">
      <formula>"Fail"</formula>
    </cfRule>
    <cfRule type="cellIs" dxfId="4636" priority="6424" stopIfTrue="1" operator="equal">
      <formula>"Pass"</formula>
    </cfRule>
  </conditionalFormatting>
  <conditionalFormatting sqref="C715">
    <cfRule type="cellIs" dxfId="4635" priority="6417" stopIfTrue="1" operator="equal">
      <formula>"Fail"</formula>
    </cfRule>
    <cfRule type="cellIs" dxfId="4634" priority="6418" stopIfTrue="1" operator="equal">
      <formula>"Pass"</formula>
    </cfRule>
  </conditionalFormatting>
  <conditionalFormatting sqref="C715">
    <cfRule type="cellIs" dxfId="4633" priority="6419" stopIfTrue="1" operator="equal">
      <formula>"Fail"</formula>
    </cfRule>
    <cfRule type="cellIs" dxfId="4632" priority="6420" stopIfTrue="1" operator="equal">
      <formula>"Pass"</formula>
    </cfRule>
  </conditionalFormatting>
  <conditionalFormatting sqref="C718">
    <cfRule type="cellIs" dxfId="4631" priority="6413" stopIfTrue="1" operator="equal">
      <formula>"Fail"</formula>
    </cfRule>
    <cfRule type="cellIs" dxfId="4630" priority="6414" stopIfTrue="1" operator="equal">
      <formula>"Pass"</formula>
    </cfRule>
  </conditionalFormatting>
  <conditionalFormatting sqref="C718">
    <cfRule type="cellIs" dxfId="4629" priority="6415" stopIfTrue="1" operator="equal">
      <formula>"Fail"</formula>
    </cfRule>
    <cfRule type="cellIs" dxfId="4628" priority="6416" stopIfTrue="1" operator="equal">
      <formula>"Pass"</formula>
    </cfRule>
  </conditionalFormatting>
  <conditionalFormatting sqref="I717">
    <cfRule type="cellIs" dxfId="4627" priority="6407" stopIfTrue="1" operator="equal">
      <formula>"Fail"</formula>
    </cfRule>
    <cfRule type="cellIs" dxfId="4626" priority="6408" stopIfTrue="1" operator="equal">
      <formula>"Pass"</formula>
    </cfRule>
  </conditionalFormatting>
  <conditionalFormatting sqref="C717">
    <cfRule type="cellIs" dxfId="4625" priority="6405" stopIfTrue="1" operator="equal">
      <formula>"Fail"</formula>
    </cfRule>
    <cfRule type="cellIs" dxfId="4624" priority="6406" stopIfTrue="1" operator="equal">
      <formula>"Pass"</formula>
    </cfRule>
  </conditionalFormatting>
  <conditionalFormatting sqref="C717:I717 A717">
    <cfRule type="cellIs" dxfId="4623" priority="6411" stopIfTrue="1" operator="equal">
      <formula>"Fail"</formula>
    </cfRule>
    <cfRule type="cellIs" dxfId="4622" priority="6412" stopIfTrue="1" operator="equal">
      <formula>"Pass"</formula>
    </cfRule>
  </conditionalFormatting>
  <conditionalFormatting sqref="D717:I717 A717">
    <cfRule type="cellIs" dxfId="4621" priority="6409" stopIfTrue="1" operator="equal">
      <formula>"Fail"</formula>
    </cfRule>
    <cfRule type="cellIs" dxfId="4620" priority="6410" stopIfTrue="1" operator="equal">
      <formula>"Pass"</formula>
    </cfRule>
  </conditionalFormatting>
  <conditionalFormatting sqref="I724">
    <cfRule type="cellIs" dxfId="4619" priority="6399" stopIfTrue="1" operator="equal">
      <formula>"Fail"</formula>
    </cfRule>
    <cfRule type="cellIs" dxfId="4618" priority="6400" stopIfTrue="1" operator="equal">
      <formula>"Pass"</formula>
    </cfRule>
  </conditionalFormatting>
  <conditionalFormatting sqref="C724">
    <cfRule type="cellIs" dxfId="4617" priority="6397" stopIfTrue="1" operator="equal">
      <formula>"Fail"</formula>
    </cfRule>
    <cfRule type="cellIs" dxfId="4616" priority="6398" stopIfTrue="1" operator="equal">
      <formula>"Pass"</formula>
    </cfRule>
  </conditionalFormatting>
  <conditionalFormatting sqref="C724:D724 A724 F724:I724">
    <cfRule type="cellIs" dxfId="4615" priority="6403" stopIfTrue="1" operator="equal">
      <formula>"Fail"</formula>
    </cfRule>
    <cfRule type="cellIs" dxfId="4614" priority="6404" stopIfTrue="1" operator="equal">
      <formula>"Pass"</formula>
    </cfRule>
  </conditionalFormatting>
  <conditionalFormatting sqref="D724 A724 F724:I724">
    <cfRule type="cellIs" dxfId="4613" priority="6401" stopIfTrue="1" operator="equal">
      <formula>"Fail"</formula>
    </cfRule>
    <cfRule type="cellIs" dxfId="4612" priority="6402" stopIfTrue="1" operator="equal">
      <formula>"Pass"</formula>
    </cfRule>
  </conditionalFormatting>
  <conditionalFormatting sqref="E724">
    <cfRule type="cellIs" dxfId="4611" priority="6395" stopIfTrue="1" operator="equal">
      <formula>"Fail"</formula>
    </cfRule>
    <cfRule type="cellIs" dxfId="4610" priority="6396" stopIfTrue="1" operator="equal">
      <formula>"Pass"</formula>
    </cfRule>
  </conditionalFormatting>
  <conditionalFormatting sqref="I720">
    <cfRule type="cellIs" dxfId="4609" priority="6389" stopIfTrue="1" operator="equal">
      <formula>"Fail"</formula>
    </cfRule>
    <cfRule type="cellIs" dxfId="4608" priority="6390" stopIfTrue="1" operator="equal">
      <formula>"Pass"</formula>
    </cfRule>
  </conditionalFormatting>
  <conditionalFormatting sqref="C720">
    <cfRule type="cellIs" dxfId="4607" priority="6387" stopIfTrue="1" operator="equal">
      <formula>"Fail"</formula>
    </cfRule>
    <cfRule type="cellIs" dxfId="4606" priority="6388" stopIfTrue="1" operator="equal">
      <formula>"Pass"</formula>
    </cfRule>
  </conditionalFormatting>
  <conditionalFormatting sqref="C720:D720 A720 F720:I720">
    <cfRule type="cellIs" dxfId="4605" priority="6393" stopIfTrue="1" operator="equal">
      <formula>"Fail"</formula>
    </cfRule>
    <cfRule type="cellIs" dxfId="4604" priority="6394" stopIfTrue="1" operator="equal">
      <formula>"Pass"</formula>
    </cfRule>
  </conditionalFormatting>
  <conditionalFormatting sqref="D720 A720 F720:I720">
    <cfRule type="cellIs" dxfId="4603" priority="6391" stopIfTrue="1" operator="equal">
      <formula>"Fail"</formula>
    </cfRule>
    <cfRule type="cellIs" dxfId="4602" priority="6392" stopIfTrue="1" operator="equal">
      <formula>"Pass"</formula>
    </cfRule>
  </conditionalFormatting>
  <conditionalFormatting sqref="E720">
    <cfRule type="cellIs" dxfId="4601" priority="6385" stopIfTrue="1" operator="equal">
      <formula>"Fail"</formula>
    </cfRule>
    <cfRule type="cellIs" dxfId="4600" priority="6386" stopIfTrue="1" operator="equal">
      <formula>"Pass"</formula>
    </cfRule>
  </conditionalFormatting>
  <conditionalFormatting sqref="C721">
    <cfRule type="cellIs" dxfId="4599" priority="6383" stopIfTrue="1" operator="equal">
      <formula>"Fail"</formula>
    </cfRule>
    <cfRule type="cellIs" dxfId="4598" priority="6384" stopIfTrue="1" operator="equal">
      <formula>"Pass"</formula>
    </cfRule>
  </conditionalFormatting>
  <conditionalFormatting sqref="C721">
    <cfRule type="cellIs" dxfId="4597" priority="6379" stopIfTrue="1" operator="equal">
      <formula>"Fail"</formula>
    </cfRule>
    <cfRule type="cellIs" dxfId="4596" priority="6380" stopIfTrue="1" operator="equal">
      <formula>"Pass"</formula>
    </cfRule>
  </conditionalFormatting>
  <conditionalFormatting sqref="C721">
    <cfRule type="cellIs" dxfId="4595" priority="6381" stopIfTrue="1" operator="equal">
      <formula>"Fail"</formula>
    </cfRule>
    <cfRule type="cellIs" dxfId="4594" priority="6382" stopIfTrue="1" operator="equal">
      <formula>"Pass"</formula>
    </cfRule>
  </conditionalFormatting>
  <conditionalFormatting sqref="A910 C910:I910">
    <cfRule type="cellIs" dxfId="4593" priority="6369" stopIfTrue="1" operator="equal">
      <formula>"Fail"</formula>
    </cfRule>
    <cfRule type="cellIs" dxfId="4592" priority="6370" stopIfTrue="1" operator="equal">
      <formula>"Pass"</formula>
    </cfRule>
  </conditionalFormatting>
  <conditionalFormatting sqref="I783">
    <cfRule type="cellIs" dxfId="4591" priority="6363" stopIfTrue="1" operator="equal">
      <formula>"Fail"</formula>
    </cfRule>
    <cfRule type="cellIs" dxfId="4590" priority="6364" stopIfTrue="1" operator="equal">
      <formula>"Pass"</formula>
    </cfRule>
  </conditionalFormatting>
  <conditionalFormatting sqref="C783">
    <cfRule type="cellIs" dxfId="4589" priority="6361" stopIfTrue="1" operator="equal">
      <formula>"Fail"</formula>
    </cfRule>
    <cfRule type="cellIs" dxfId="4588" priority="6362" stopIfTrue="1" operator="equal">
      <formula>"Pass"</formula>
    </cfRule>
  </conditionalFormatting>
  <conditionalFormatting sqref="C783:I783 A783">
    <cfRule type="cellIs" dxfId="4587" priority="6367" stopIfTrue="1" operator="equal">
      <formula>"Fail"</formula>
    </cfRule>
    <cfRule type="cellIs" dxfId="4586" priority="6368" stopIfTrue="1" operator="equal">
      <formula>"Pass"</formula>
    </cfRule>
  </conditionalFormatting>
  <conditionalFormatting sqref="D783:I783 A783">
    <cfRule type="cellIs" dxfId="4585" priority="6365" stopIfTrue="1" operator="equal">
      <formula>"Fail"</formula>
    </cfRule>
    <cfRule type="cellIs" dxfId="4584" priority="6366" stopIfTrue="1" operator="equal">
      <formula>"Pass"</formula>
    </cfRule>
  </conditionalFormatting>
  <conditionalFormatting sqref="C784:I784">
    <cfRule type="cellIs" dxfId="4583" priority="6357" stopIfTrue="1" operator="equal">
      <formula>"Fail"</formula>
    </cfRule>
    <cfRule type="cellIs" dxfId="4582" priority="6358" stopIfTrue="1" operator="equal">
      <formula>"Pass"</formula>
    </cfRule>
  </conditionalFormatting>
  <conditionalFormatting sqref="A784">
    <cfRule type="cellIs" dxfId="4581" priority="6359" stopIfTrue="1" operator="equal">
      <formula>"Fail"</formula>
    </cfRule>
    <cfRule type="cellIs" dxfId="4580" priority="6360" stopIfTrue="1" operator="equal">
      <formula>"Pass"</formula>
    </cfRule>
  </conditionalFormatting>
  <conditionalFormatting sqref="B784">
    <cfRule type="cellIs" dxfId="4579" priority="6355" stopIfTrue="1" operator="equal">
      <formula>"Fail"</formula>
    </cfRule>
    <cfRule type="cellIs" dxfId="4578" priority="6356" stopIfTrue="1" operator="equal">
      <formula>"Pass"</formula>
    </cfRule>
  </conditionalFormatting>
  <conditionalFormatting sqref="C785:I785">
    <cfRule type="cellIs" dxfId="4577" priority="6351" stopIfTrue="1" operator="equal">
      <formula>"Fail"</formula>
    </cfRule>
    <cfRule type="cellIs" dxfId="4576" priority="6352" stopIfTrue="1" operator="equal">
      <formula>"Pass"</formula>
    </cfRule>
  </conditionalFormatting>
  <conditionalFormatting sqref="A785">
    <cfRule type="cellIs" dxfId="4575" priority="6353" stopIfTrue="1" operator="equal">
      <formula>"Fail"</formula>
    </cfRule>
    <cfRule type="cellIs" dxfId="4574" priority="6354" stopIfTrue="1" operator="equal">
      <formula>"Pass"</formula>
    </cfRule>
  </conditionalFormatting>
  <conditionalFormatting sqref="B785">
    <cfRule type="cellIs" dxfId="4573" priority="6349" stopIfTrue="1" operator="equal">
      <formula>"Fail"</formula>
    </cfRule>
    <cfRule type="cellIs" dxfId="4572" priority="6350" stopIfTrue="1" operator="equal">
      <formula>"Pass"</formula>
    </cfRule>
  </conditionalFormatting>
  <conditionalFormatting sqref="A911">
    <cfRule type="containsText" dxfId="4571" priority="6345" operator="containsText" text="CALIBRATION NUMBER(S) MISSING">
      <formula>NOT(ISERROR(SEARCH("CALIBRATION NUMBER(S) MISSING",A911)))</formula>
    </cfRule>
    <cfRule type="containsText" dxfId="4570" priority="6346" operator="containsText" text="ENTER TESTER ID">
      <formula>NOT(ISERROR(SEARCH("ENTER TESTER ID",A911)))</formula>
    </cfRule>
    <cfRule type="containsText" dxfId="4569" priority="6347" operator="containsText" text="NO SERIAL NUMBER">
      <formula>NOT(ISERROR(SEARCH("NO SERIAL NUMBER",A911)))</formula>
    </cfRule>
    <cfRule type="containsText" dxfId="4568" priority="6348" operator="containsText" text="NO UNIT TYPE">
      <formula>NOT(ISERROR(SEARCH("NO UNIT TYPE",A911)))</formula>
    </cfRule>
  </conditionalFormatting>
  <conditionalFormatting sqref="B911">
    <cfRule type="containsText" dxfId="4567" priority="6341" operator="containsText" text="CALIBRATION NUMBER(S) MISSING">
      <formula>NOT(ISERROR(SEARCH("CALIBRATION NUMBER(S) MISSING",B911)))</formula>
    </cfRule>
    <cfRule type="containsText" dxfId="4566" priority="6342" operator="containsText" text="ENTER TESTER ID">
      <formula>NOT(ISERROR(SEARCH("ENTER TESTER ID",B911)))</formula>
    </cfRule>
    <cfRule type="containsText" dxfId="4565" priority="6343" operator="containsText" text="NO SERIAL NUMBER">
      <formula>NOT(ISERROR(SEARCH("NO SERIAL NUMBER",B911)))</formula>
    </cfRule>
    <cfRule type="containsText" dxfId="4564" priority="6344" operator="containsText" text="NO UNIT TYPE">
      <formula>NOT(ISERROR(SEARCH("NO UNIT TYPE",B911)))</formula>
    </cfRule>
  </conditionalFormatting>
  <conditionalFormatting sqref="H912">
    <cfRule type="cellIs" dxfId="4563" priority="6335" stopIfTrue="1" operator="equal">
      <formula>"Fail"</formula>
    </cfRule>
    <cfRule type="cellIs" dxfId="4562" priority="6336" stopIfTrue="1" operator="equal">
      <formula>"Pass"</formula>
    </cfRule>
  </conditionalFormatting>
  <conditionalFormatting sqref="H912">
    <cfRule type="cellIs" dxfId="4561" priority="6339" stopIfTrue="1" operator="equal">
      <formula>"Fail"</formula>
    </cfRule>
    <cfRule type="cellIs" dxfId="4560" priority="6340" stopIfTrue="1" operator="equal">
      <formula>"Pass"</formula>
    </cfRule>
  </conditionalFormatting>
  <conditionalFormatting sqref="H912">
    <cfRule type="cellIs" dxfId="4559" priority="6337" stopIfTrue="1" operator="equal">
      <formula>"Fail"</formula>
    </cfRule>
    <cfRule type="cellIs" dxfId="4558" priority="6338" stopIfTrue="1" operator="equal">
      <formula>"Pass"</formula>
    </cfRule>
  </conditionalFormatting>
  <conditionalFormatting sqref="I847">
    <cfRule type="cellIs" dxfId="4557" priority="6329" stopIfTrue="1" operator="equal">
      <formula>"Fail"</formula>
    </cfRule>
    <cfRule type="cellIs" dxfId="4556" priority="6330" stopIfTrue="1" operator="equal">
      <formula>"Pass"</formula>
    </cfRule>
  </conditionalFormatting>
  <conditionalFormatting sqref="C847">
    <cfRule type="cellIs" dxfId="4555" priority="6327" stopIfTrue="1" operator="equal">
      <formula>"Fail"</formula>
    </cfRule>
    <cfRule type="cellIs" dxfId="4554" priority="6328" stopIfTrue="1" operator="equal">
      <formula>"Pass"</formula>
    </cfRule>
  </conditionalFormatting>
  <conditionalFormatting sqref="C847:I847 A847">
    <cfRule type="cellIs" dxfId="4553" priority="6333" stopIfTrue="1" operator="equal">
      <formula>"Fail"</formula>
    </cfRule>
    <cfRule type="cellIs" dxfId="4552" priority="6334" stopIfTrue="1" operator="equal">
      <formula>"Pass"</formula>
    </cfRule>
  </conditionalFormatting>
  <conditionalFormatting sqref="D847:I847 A847">
    <cfRule type="cellIs" dxfId="4551" priority="6331" stopIfTrue="1" operator="equal">
      <formula>"Fail"</formula>
    </cfRule>
    <cfRule type="cellIs" dxfId="4550" priority="6332" stopIfTrue="1" operator="equal">
      <formula>"Pass"</formula>
    </cfRule>
  </conditionalFormatting>
  <conditionalFormatting sqref="A849 C849:I849">
    <cfRule type="cellIs" dxfId="4549" priority="6323" stopIfTrue="1" operator="equal">
      <formula>"Fail"</formula>
    </cfRule>
    <cfRule type="cellIs" dxfId="4548" priority="6324" stopIfTrue="1" operator="equal">
      <formula>"Pass"</formula>
    </cfRule>
  </conditionalFormatting>
  <conditionalFormatting sqref="A888 C888:I888 C890:I890 A890 A892 C892:I892">
    <cfRule type="cellIs" dxfId="4547" priority="6319" stopIfTrue="1" operator="equal">
      <formula>"Fail"</formula>
    </cfRule>
    <cfRule type="cellIs" dxfId="4546" priority="6320" stopIfTrue="1" operator="equal">
      <formula>"Pass"</formula>
    </cfRule>
  </conditionalFormatting>
  <conditionalFormatting sqref="A790 C790:I790">
    <cfRule type="cellIs" dxfId="4545" priority="6317" stopIfTrue="1" operator="equal">
      <formula>"Fail"</formula>
    </cfRule>
    <cfRule type="cellIs" dxfId="4544" priority="6318" stopIfTrue="1" operator="equal">
      <formula>"Pass"</formula>
    </cfRule>
  </conditionalFormatting>
  <conditionalFormatting sqref="A812 C812:I812">
    <cfRule type="cellIs" dxfId="4543" priority="6309" stopIfTrue="1" operator="equal">
      <formula>"Fail"</formula>
    </cfRule>
    <cfRule type="cellIs" dxfId="4542" priority="6310" stopIfTrue="1" operator="equal">
      <formula>"Pass"</formula>
    </cfRule>
  </conditionalFormatting>
  <conditionalFormatting sqref="A810 C810:I810">
    <cfRule type="cellIs" dxfId="4541" priority="6305" stopIfTrue="1" operator="equal">
      <formula>"Fail"</formula>
    </cfRule>
    <cfRule type="cellIs" dxfId="4540" priority="6306" stopIfTrue="1" operator="equal">
      <formula>"Pass"</formula>
    </cfRule>
  </conditionalFormatting>
  <conditionalFormatting sqref="C793:I793 A793">
    <cfRule type="cellIs" dxfId="4539" priority="6303" stopIfTrue="1" operator="equal">
      <formula>"Fail"</formula>
    </cfRule>
    <cfRule type="cellIs" dxfId="4538" priority="6304" stopIfTrue="1" operator="equal">
      <formula>"Pass"</formula>
    </cfRule>
  </conditionalFormatting>
  <conditionalFormatting sqref="D793:I793 A793">
    <cfRule type="cellIs" dxfId="4537" priority="6301" stopIfTrue="1" operator="equal">
      <formula>"Fail"</formula>
    </cfRule>
    <cfRule type="cellIs" dxfId="4536" priority="6302" stopIfTrue="1" operator="equal">
      <formula>"Pass"</formula>
    </cfRule>
  </conditionalFormatting>
  <conditionalFormatting sqref="I793">
    <cfRule type="cellIs" dxfId="4535" priority="6299" stopIfTrue="1" operator="equal">
      <formula>"Fail"</formula>
    </cfRule>
    <cfRule type="cellIs" dxfId="4534" priority="6300" stopIfTrue="1" operator="equal">
      <formula>"Pass"</formula>
    </cfRule>
  </conditionalFormatting>
  <conditionalFormatting sqref="C793">
    <cfRule type="cellIs" dxfId="4533" priority="6297" stopIfTrue="1" operator="equal">
      <formula>"Fail"</formula>
    </cfRule>
    <cfRule type="cellIs" dxfId="4532" priority="6298" stopIfTrue="1" operator="equal">
      <formula>"Pass"</formula>
    </cfRule>
  </conditionalFormatting>
  <conditionalFormatting sqref="C795:I795 A795">
    <cfRule type="cellIs" dxfId="4531" priority="6295" stopIfTrue="1" operator="equal">
      <formula>"Fail"</formula>
    </cfRule>
    <cfRule type="cellIs" dxfId="4530" priority="6296" stopIfTrue="1" operator="equal">
      <formula>"Pass"</formula>
    </cfRule>
  </conditionalFormatting>
  <conditionalFormatting sqref="D795:I795 A795">
    <cfRule type="cellIs" dxfId="4529" priority="6293" stopIfTrue="1" operator="equal">
      <formula>"Fail"</formula>
    </cfRule>
    <cfRule type="cellIs" dxfId="4528" priority="6294" stopIfTrue="1" operator="equal">
      <formula>"Pass"</formula>
    </cfRule>
  </conditionalFormatting>
  <conditionalFormatting sqref="I795">
    <cfRule type="cellIs" dxfId="4527" priority="6291" stopIfTrue="1" operator="equal">
      <formula>"Fail"</formula>
    </cfRule>
    <cfRule type="cellIs" dxfId="4526" priority="6292" stopIfTrue="1" operator="equal">
      <formula>"Pass"</formula>
    </cfRule>
  </conditionalFormatting>
  <conditionalFormatting sqref="C795">
    <cfRule type="cellIs" dxfId="4525" priority="6289" stopIfTrue="1" operator="equal">
      <formula>"Fail"</formula>
    </cfRule>
    <cfRule type="cellIs" dxfId="4524" priority="6290" stopIfTrue="1" operator="equal">
      <formula>"Pass"</formula>
    </cfRule>
  </conditionalFormatting>
  <conditionalFormatting sqref="A801">
    <cfRule type="cellIs" dxfId="4523" priority="6287" stopIfTrue="1" operator="equal">
      <formula>"Fail"</formula>
    </cfRule>
    <cfRule type="cellIs" dxfId="4522" priority="6288" stopIfTrue="1" operator="equal">
      <formula>"Pass"</formula>
    </cfRule>
  </conditionalFormatting>
  <conditionalFormatting sqref="C801">
    <cfRule type="cellIs" dxfId="4521" priority="6283" stopIfTrue="1" operator="equal">
      <formula>"Fail"</formula>
    </cfRule>
    <cfRule type="cellIs" dxfId="4520" priority="6284" stopIfTrue="1" operator="equal">
      <formula>"Pass"</formula>
    </cfRule>
  </conditionalFormatting>
  <conditionalFormatting sqref="C801">
    <cfRule type="cellIs" dxfId="4519" priority="6277" stopIfTrue="1" operator="equal">
      <formula>"Fail"</formula>
    </cfRule>
    <cfRule type="cellIs" dxfId="4518" priority="6278" stopIfTrue="1" operator="equal">
      <formula>"Pass"</formula>
    </cfRule>
  </conditionalFormatting>
  <conditionalFormatting sqref="A801 C801:D801 F801:H801">
    <cfRule type="cellIs" dxfId="4517" priority="6281" stopIfTrue="1" operator="equal">
      <formula>"Fail"</formula>
    </cfRule>
    <cfRule type="cellIs" dxfId="4516" priority="6282" stopIfTrue="1" operator="equal">
      <formula>"Pass"</formula>
    </cfRule>
  </conditionalFormatting>
  <conditionalFormatting sqref="A801 D801 F801:H801">
    <cfRule type="cellIs" dxfId="4515" priority="6279" stopIfTrue="1" operator="equal">
      <formula>"Fail"</formula>
    </cfRule>
    <cfRule type="cellIs" dxfId="4514" priority="6280" stopIfTrue="1" operator="equal">
      <formula>"Pass"</formula>
    </cfRule>
  </conditionalFormatting>
  <conditionalFormatting sqref="I801">
    <cfRule type="cellIs" dxfId="4513" priority="6271" stopIfTrue="1" operator="equal">
      <formula>"Fail"</formula>
    </cfRule>
    <cfRule type="cellIs" dxfId="4512" priority="6272" stopIfTrue="1" operator="equal">
      <formula>"Pass"</formula>
    </cfRule>
  </conditionalFormatting>
  <conditionalFormatting sqref="I801">
    <cfRule type="cellIs" dxfId="4511" priority="6275" stopIfTrue="1" operator="equal">
      <formula>"Fail"</formula>
    </cfRule>
    <cfRule type="cellIs" dxfId="4510" priority="6276" stopIfTrue="1" operator="equal">
      <formula>"Pass"</formula>
    </cfRule>
  </conditionalFormatting>
  <conditionalFormatting sqref="I801">
    <cfRule type="cellIs" dxfId="4509" priority="6273" stopIfTrue="1" operator="equal">
      <formula>"Fail"</formula>
    </cfRule>
    <cfRule type="cellIs" dxfId="4508" priority="6274" stopIfTrue="1" operator="equal">
      <formula>"Pass"</formula>
    </cfRule>
  </conditionalFormatting>
  <conditionalFormatting sqref="I800">
    <cfRule type="cellIs" dxfId="4507" priority="6265" stopIfTrue="1" operator="equal">
      <formula>"Fail"</formula>
    </cfRule>
    <cfRule type="cellIs" dxfId="4506" priority="6266" stopIfTrue="1" operator="equal">
      <formula>"Pass"</formula>
    </cfRule>
  </conditionalFormatting>
  <conditionalFormatting sqref="C800">
    <cfRule type="cellIs" dxfId="4505" priority="6263" stopIfTrue="1" operator="equal">
      <formula>"Fail"</formula>
    </cfRule>
    <cfRule type="cellIs" dxfId="4504" priority="6264" stopIfTrue="1" operator="equal">
      <formula>"Pass"</formula>
    </cfRule>
  </conditionalFormatting>
  <conditionalFormatting sqref="C800:D800 A800 F800:I800">
    <cfRule type="cellIs" dxfId="4503" priority="6269" stopIfTrue="1" operator="equal">
      <formula>"Fail"</formula>
    </cfRule>
    <cfRule type="cellIs" dxfId="4502" priority="6270" stopIfTrue="1" operator="equal">
      <formula>"Pass"</formula>
    </cfRule>
  </conditionalFormatting>
  <conditionalFormatting sqref="D800 A800 F800:I800">
    <cfRule type="cellIs" dxfId="4501" priority="6267" stopIfTrue="1" operator="equal">
      <formula>"Fail"</formula>
    </cfRule>
    <cfRule type="cellIs" dxfId="4500" priority="6268" stopIfTrue="1" operator="equal">
      <formula>"Pass"</formula>
    </cfRule>
  </conditionalFormatting>
  <conditionalFormatting sqref="E800">
    <cfRule type="cellIs" dxfId="4499" priority="6261" stopIfTrue="1" operator="equal">
      <formula>"Fail"</formula>
    </cfRule>
    <cfRule type="cellIs" dxfId="4498" priority="6262" stopIfTrue="1" operator="equal">
      <formula>"Pass"</formula>
    </cfRule>
  </conditionalFormatting>
  <conditionalFormatting sqref="I797">
    <cfRule type="cellIs" dxfId="4497" priority="6255" stopIfTrue="1" operator="equal">
      <formula>"Fail"</formula>
    </cfRule>
    <cfRule type="cellIs" dxfId="4496" priority="6256" stopIfTrue="1" operator="equal">
      <formula>"Pass"</formula>
    </cfRule>
  </conditionalFormatting>
  <conditionalFormatting sqref="C797">
    <cfRule type="cellIs" dxfId="4495" priority="6253" stopIfTrue="1" operator="equal">
      <formula>"Fail"</formula>
    </cfRule>
    <cfRule type="cellIs" dxfId="4494" priority="6254" stopIfTrue="1" operator="equal">
      <formula>"Pass"</formula>
    </cfRule>
  </conditionalFormatting>
  <conditionalFormatting sqref="A797 C797:D797 F797:I797">
    <cfRule type="cellIs" dxfId="4493" priority="6259" stopIfTrue="1" operator="equal">
      <formula>"Fail"</formula>
    </cfRule>
    <cfRule type="cellIs" dxfId="4492" priority="6260" stopIfTrue="1" operator="equal">
      <formula>"Pass"</formula>
    </cfRule>
  </conditionalFormatting>
  <conditionalFormatting sqref="A797 D797 F797:I797">
    <cfRule type="cellIs" dxfId="4491" priority="6257" stopIfTrue="1" operator="equal">
      <formula>"Fail"</formula>
    </cfRule>
    <cfRule type="cellIs" dxfId="4490" priority="6258" stopIfTrue="1" operator="equal">
      <formula>"Pass"</formula>
    </cfRule>
  </conditionalFormatting>
  <conditionalFormatting sqref="A802 C802:I802">
    <cfRule type="cellIs" dxfId="4489" priority="6251" stopIfTrue="1" operator="equal">
      <formula>"Fail"</formula>
    </cfRule>
    <cfRule type="cellIs" dxfId="4488" priority="6252" stopIfTrue="1" operator="equal">
      <formula>"Pass"</formula>
    </cfRule>
  </conditionalFormatting>
  <conditionalFormatting sqref="B802">
    <cfRule type="cellIs" dxfId="4487" priority="6249" stopIfTrue="1" operator="equal">
      <formula>"Fail"</formula>
    </cfRule>
    <cfRule type="cellIs" dxfId="4486" priority="6250" stopIfTrue="1" operator="equal">
      <formula>"Pass"</formula>
    </cfRule>
  </conditionalFormatting>
  <conditionalFormatting sqref="A798">
    <cfRule type="cellIs" dxfId="4485" priority="6247" stopIfTrue="1" operator="equal">
      <formula>"Fail"</formula>
    </cfRule>
    <cfRule type="cellIs" dxfId="4484" priority="6248" stopIfTrue="1" operator="equal">
      <formula>"Pass"</formula>
    </cfRule>
  </conditionalFormatting>
  <conditionalFormatting sqref="B798">
    <cfRule type="cellIs" dxfId="4483" priority="6245" stopIfTrue="1" operator="equal">
      <formula>"Fail"</formula>
    </cfRule>
    <cfRule type="cellIs" dxfId="4482" priority="6246" stopIfTrue="1" operator="equal">
      <formula>"Pass"</formula>
    </cfRule>
  </conditionalFormatting>
  <conditionalFormatting sqref="C798">
    <cfRule type="cellIs" dxfId="4481" priority="6243" stopIfTrue="1" operator="equal">
      <formula>"Fail"</formula>
    </cfRule>
    <cfRule type="cellIs" dxfId="4480" priority="6244" stopIfTrue="1" operator="equal">
      <formula>"Pass"</formula>
    </cfRule>
  </conditionalFormatting>
  <conditionalFormatting sqref="C798">
    <cfRule type="cellIs" dxfId="4479" priority="6237" stopIfTrue="1" operator="equal">
      <formula>"Fail"</formula>
    </cfRule>
    <cfRule type="cellIs" dxfId="4478" priority="6238" stopIfTrue="1" operator="equal">
      <formula>"Pass"</formula>
    </cfRule>
  </conditionalFormatting>
  <conditionalFormatting sqref="A798 C798:D798 F798:H798">
    <cfRule type="cellIs" dxfId="4477" priority="6241" stopIfTrue="1" operator="equal">
      <formula>"Fail"</formula>
    </cfRule>
    <cfRule type="cellIs" dxfId="4476" priority="6242" stopIfTrue="1" operator="equal">
      <formula>"Pass"</formula>
    </cfRule>
  </conditionalFormatting>
  <conditionalFormatting sqref="A798 D798 F798:H798">
    <cfRule type="cellIs" dxfId="4475" priority="6239" stopIfTrue="1" operator="equal">
      <formula>"Fail"</formula>
    </cfRule>
    <cfRule type="cellIs" dxfId="4474" priority="6240" stopIfTrue="1" operator="equal">
      <formula>"Pass"</formula>
    </cfRule>
  </conditionalFormatting>
  <conditionalFormatting sqref="I798">
    <cfRule type="cellIs" dxfId="4473" priority="6231" stopIfTrue="1" operator="equal">
      <formula>"Fail"</formula>
    </cfRule>
    <cfRule type="cellIs" dxfId="4472" priority="6232" stopIfTrue="1" operator="equal">
      <formula>"Pass"</formula>
    </cfRule>
  </conditionalFormatting>
  <conditionalFormatting sqref="I798">
    <cfRule type="cellIs" dxfId="4471" priority="6235" stopIfTrue="1" operator="equal">
      <formula>"Fail"</formula>
    </cfRule>
    <cfRule type="cellIs" dxfId="4470" priority="6236" stopIfTrue="1" operator="equal">
      <formula>"Pass"</formula>
    </cfRule>
  </conditionalFormatting>
  <conditionalFormatting sqref="I798">
    <cfRule type="cellIs" dxfId="4469" priority="6233" stopIfTrue="1" operator="equal">
      <formula>"Fail"</formula>
    </cfRule>
    <cfRule type="cellIs" dxfId="4468" priority="6234" stopIfTrue="1" operator="equal">
      <formula>"Pass"</formula>
    </cfRule>
  </conditionalFormatting>
  <conditionalFormatting sqref="A799 C799:I799">
    <cfRule type="cellIs" dxfId="4467" priority="6229" stopIfTrue="1" operator="equal">
      <formula>"Fail"</formula>
    </cfRule>
    <cfRule type="cellIs" dxfId="4466" priority="6230" stopIfTrue="1" operator="equal">
      <formula>"Pass"</formula>
    </cfRule>
  </conditionalFormatting>
  <conditionalFormatting sqref="B799">
    <cfRule type="cellIs" dxfId="4465" priority="6227" stopIfTrue="1" operator="equal">
      <formula>"Fail"</formula>
    </cfRule>
    <cfRule type="cellIs" dxfId="4464" priority="6228" stopIfTrue="1" operator="equal">
      <formula>"Pass"</formula>
    </cfRule>
  </conditionalFormatting>
  <conditionalFormatting sqref="A796:A799 D796:I799">
    <cfRule type="cellIs" dxfId="4463" priority="6223" stopIfTrue="1" operator="equal">
      <formula>"Fail"</formula>
    </cfRule>
    <cfRule type="cellIs" dxfId="4462" priority="6224" stopIfTrue="1" operator="equal">
      <formula>"Pass"</formula>
    </cfRule>
  </conditionalFormatting>
  <conditionalFormatting sqref="A796:A799 C796:I799">
    <cfRule type="cellIs" dxfId="4461" priority="6225" stopIfTrue="1" operator="equal">
      <formula>"Fail"</formula>
    </cfRule>
    <cfRule type="cellIs" dxfId="4460" priority="6226" stopIfTrue="1" operator="equal">
      <formula>"Pass"</formula>
    </cfRule>
  </conditionalFormatting>
  <conditionalFormatting sqref="I796:I799">
    <cfRule type="cellIs" dxfId="4459" priority="6221" stopIfTrue="1" operator="equal">
      <formula>"Fail"</formula>
    </cfRule>
    <cfRule type="cellIs" dxfId="4458" priority="6222" stopIfTrue="1" operator="equal">
      <formula>"Pass"</formula>
    </cfRule>
  </conditionalFormatting>
  <conditionalFormatting sqref="C796:C799">
    <cfRule type="cellIs" dxfId="4457" priority="6219" stopIfTrue="1" operator="equal">
      <formula>"Fail"</formula>
    </cfRule>
    <cfRule type="cellIs" dxfId="4456" priority="6220" stopIfTrue="1" operator="equal">
      <formula>"Pass"</formula>
    </cfRule>
  </conditionalFormatting>
  <conditionalFormatting sqref="I803">
    <cfRule type="cellIs" dxfId="4455" priority="6197" stopIfTrue="1" operator="equal">
      <formula>"Fail"</formula>
    </cfRule>
    <cfRule type="cellIs" dxfId="4454" priority="6198" stopIfTrue="1" operator="equal">
      <formula>"Pass"</formula>
    </cfRule>
  </conditionalFormatting>
  <conditionalFormatting sqref="C803">
    <cfRule type="cellIs" dxfId="4453" priority="6195" stopIfTrue="1" operator="equal">
      <formula>"Fail"</formula>
    </cfRule>
    <cfRule type="cellIs" dxfId="4452" priority="6196" stopIfTrue="1" operator="equal">
      <formula>"Pass"</formula>
    </cfRule>
  </conditionalFormatting>
  <conditionalFormatting sqref="C803:I803 A803">
    <cfRule type="cellIs" dxfId="4451" priority="6201" stopIfTrue="1" operator="equal">
      <formula>"Fail"</formula>
    </cfRule>
    <cfRule type="cellIs" dxfId="4450" priority="6202" stopIfTrue="1" operator="equal">
      <formula>"Pass"</formula>
    </cfRule>
  </conditionalFormatting>
  <conditionalFormatting sqref="D803:I803 A803">
    <cfRule type="cellIs" dxfId="4449" priority="6199" stopIfTrue="1" operator="equal">
      <formula>"Fail"</formula>
    </cfRule>
    <cfRule type="cellIs" dxfId="4448" priority="6200" stopIfTrue="1" operator="equal">
      <formula>"Pass"</formula>
    </cfRule>
  </conditionalFormatting>
  <conditionalFormatting sqref="A804 D804:I804">
    <cfRule type="cellIs" dxfId="4447" priority="6191" stopIfTrue="1" operator="equal">
      <formula>"Fail"</formula>
    </cfRule>
    <cfRule type="cellIs" dxfId="4446" priority="6192" stopIfTrue="1" operator="equal">
      <formula>"Pass"</formula>
    </cfRule>
  </conditionalFormatting>
  <conditionalFormatting sqref="A804 C804:I804">
    <cfRule type="cellIs" dxfId="4445" priority="6193" stopIfTrue="1" operator="equal">
      <formula>"Fail"</formula>
    </cfRule>
    <cfRule type="cellIs" dxfId="4444" priority="6194" stopIfTrue="1" operator="equal">
      <formula>"Pass"</formula>
    </cfRule>
  </conditionalFormatting>
  <conditionalFormatting sqref="I804">
    <cfRule type="cellIs" dxfId="4443" priority="6189" stopIfTrue="1" operator="equal">
      <formula>"Fail"</formula>
    </cfRule>
    <cfRule type="cellIs" dxfId="4442" priority="6190" stopIfTrue="1" operator="equal">
      <formula>"Pass"</formula>
    </cfRule>
  </conditionalFormatting>
  <conditionalFormatting sqref="C804">
    <cfRule type="cellIs" dxfId="4441" priority="6187" stopIfTrue="1" operator="equal">
      <formula>"Fail"</formula>
    </cfRule>
    <cfRule type="cellIs" dxfId="4440" priority="6188" stopIfTrue="1" operator="equal">
      <formula>"Pass"</formula>
    </cfRule>
  </conditionalFormatting>
  <conditionalFormatting sqref="A806">
    <cfRule type="cellIs" dxfId="4439" priority="6185" stopIfTrue="1" operator="equal">
      <formula>"Fail"</formula>
    </cfRule>
    <cfRule type="cellIs" dxfId="4438" priority="6186" stopIfTrue="1" operator="equal">
      <formula>"Pass"</formula>
    </cfRule>
  </conditionalFormatting>
  <conditionalFormatting sqref="C806">
    <cfRule type="cellIs" dxfId="4437" priority="6181" stopIfTrue="1" operator="equal">
      <formula>"Fail"</formula>
    </cfRule>
    <cfRule type="cellIs" dxfId="4436" priority="6182" stopIfTrue="1" operator="equal">
      <formula>"Pass"</formula>
    </cfRule>
  </conditionalFormatting>
  <conditionalFormatting sqref="C806">
    <cfRule type="cellIs" dxfId="4435" priority="6175" stopIfTrue="1" operator="equal">
      <formula>"Fail"</formula>
    </cfRule>
    <cfRule type="cellIs" dxfId="4434" priority="6176" stopIfTrue="1" operator="equal">
      <formula>"Pass"</formula>
    </cfRule>
  </conditionalFormatting>
  <conditionalFormatting sqref="A806 C806:D806 F806:H806">
    <cfRule type="cellIs" dxfId="4433" priority="6179" stopIfTrue="1" operator="equal">
      <formula>"Fail"</formula>
    </cfRule>
    <cfRule type="cellIs" dxfId="4432" priority="6180" stopIfTrue="1" operator="equal">
      <formula>"Pass"</formula>
    </cfRule>
  </conditionalFormatting>
  <conditionalFormatting sqref="A806 D806 F806:H806">
    <cfRule type="cellIs" dxfId="4431" priority="6177" stopIfTrue="1" operator="equal">
      <formula>"Fail"</formula>
    </cfRule>
    <cfRule type="cellIs" dxfId="4430" priority="6178" stopIfTrue="1" operator="equal">
      <formula>"Pass"</formula>
    </cfRule>
  </conditionalFormatting>
  <conditionalFormatting sqref="I806">
    <cfRule type="cellIs" dxfId="4429" priority="6169" stopIfTrue="1" operator="equal">
      <formula>"Fail"</formula>
    </cfRule>
    <cfRule type="cellIs" dxfId="4428" priority="6170" stopIfTrue="1" operator="equal">
      <formula>"Pass"</formula>
    </cfRule>
  </conditionalFormatting>
  <conditionalFormatting sqref="I806">
    <cfRule type="cellIs" dxfId="4427" priority="6173" stopIfTrue="1" operator="equal">
      <formula>"Fail"</formula>
    </cfRule>
    <cfRule type="cellIs" dxfId="4426" priority="6174" stopIfTrue="1" operator="equal">
      <formula>"Pass"</formula>
    </cfRule>
  </conditionalFormatting>
  <conditionalFormatting sqref="I806">
    <cfRule type="cellIs" dxfId="4425" priority="6171" stopIfTrue="1" operator="equal">
      <formula>"Fail"</formula>
    </cfRule>
    <cfRule type="cellIs" dxfId="4424" priority="6172" stopIfTrue="1" operator="equal">
      <formula>"Pass"</formula>
    </cfRule>
  </conditionalFormatting>
  <conditionalFormatting sqref="I805">
    <cfRule type="cellIs" dxfId="4423" priority="6163" stopIfTrue="1" operator="equal">
      <formula>"Fail"</formula>
    </cfRule>
    <cfRule type="cellIs" dxfId="4422" priority="6164" stopIfTrue="1" operator="equal">
      <formula>"Pass"</formula>
    </cfRule>
  </conditionalFormatting>
  <conditionalFormatting sqref="C805">
    <cfRule type="cellIs" dxfId="4421" priority="6161" stopIfTrue="1" operator="equal">
      <formula>"Fail"</formula>
    </cfRule>
    <cfRule type="cellIs" dxfId="4420" priority="6162" stopIfTrue="1" operator="equal">
      <formula>"Pass"</formula>
    </cfRule>
  </conditionalFormatting>
  <conditionalFormatting sqref="C805:D805 A805 F805:I805">
    <cfRule type="cellIs" dxfId="4419" priority="6167" stopIfTrue="1" operator="equal">
      <formula>"Fail"</formula>
    </cfRule>
    <cfRule type="cellIs" dxfId="4418" priority="6168" stopIfTrue="1" operator="equal">
      <formula>"Pass"</formula>
    </cfRule>
  </conditionalFormatting>
  <conditionalFormatting sqref="D805 A805 F805:I805">
    <cfRule type="cellIs" dxfId="4417" priority="6165" stopIfTrue="1" operator="equal">
      <formula>"Fail"</formula>
    </cfRule>
    <cfRule type="cellIs" dxfId="4416" priority="6166" stopIfTrue="1" operator="equal">
      <formula>"Pass"</formula>
    </cfRule>
  </conditionalFormatting>
  <conditionalFormatting sqref="E805">
    <cfRule type="cellIs" dxfId="4415" priority="6159" stopIfTrue="1" operator="equal">
      <formula>"Fail"</formula>
    </cfRule>
    <cfRule type="cellIs" dxfId="4414" priority="6160" stopIfTrue="1" operator="equal">
      <formula>"Pass"</formula>
    </cfRule>
  </conditionalFormatting>
  <conditionalFormatting sqref="A807 C807:I807">
    <cfRule type="cellIs" dxfId="4413" priority="6157" stopIfTrue="1" operator="equal">
      <formula>"Fail"</formula>
    </cfRule>
    <cfRule type="cellIs" dxfId="4412" priority="6158" stopIfTrue="1" operator="equal">
      <formula>"Pass"</formula>
    </cfRule>
  </conditionalFormatting>
  <conditionalFormatting sqref="B807">
    <cfRule type="cellIs" dxfId="4411" priority="6155" stopIfTrue="1" operator="equal">
      <formula>"Fail"</formula>
    </cfRule>
    <cfRule type="cellIs" dxfId="4410" priority="6156" stopIfTrue="1" operator="equal">
      <formula>"Pass"</formula>
    </cfRule>
  </conditionalFormatting>
  <conditionalFormatting sqref="C791:I791">
    <cfRule type="cellIs" dxfId="4409" priority="6113" stopIfTrue="1" operator="equal">
      <formula>"Fail"</formula>
    </cfRule>
    <cfRule type="cellIs" dxfId="4408" priority="6114" stopIfTrue="1" operator="equal">
      <formula>"Pass"</formula>
    </cfRule>
  </conditionalFormatting>
  <conditionalFormatting sqref="A791">
    <cfRule type="cellIs" dxfId="4407" priority="6115" stopIfTrue="1" operator="equal">
      <formula>"Fail"</formula>
    </cfRule>
    <cfRule type="cellIs" dxfId="4406" priority="6116" stopIfTrue="1" operator="equal">
      <formula>"Pass"</formula>
    </cfRule>
  </conditionalFormatting>
  <conditionalFormatting sqref="B791">
    <cfRule type="cellIs" dxfId="4405" priority="6111" stopIfTrue="1" operator="equal">
      <formula>"Fail"</formula>
    </cfRule>
    <cfRule type="cellIs" dxfId="4404" priority="6112" stopIfTrue="1" operator="equal">
      <formula>"Pass"</formula>
    </cfRule>
  </conditionalFormatting>
  <conditionalFormatting sqref="C813:I813">
    <cfRule type="cellIs" dxfId="4403" priority="5963" stopIfTrue="1" operator="equal">
      <formula>"Fail"</formula>
    </cfRule>
    <cfRule type="cellIs" dxfId="4402" priority="5964" stopIfTrue="1" operator="equal">
      <formula>"Pass"</formula>
    </cfRule>
  </conditionalFormatting>
  <conditionalFormatting sqref="A813">
    <cfRule type="cellIs" dxfId="4401" priority="5965" stopIfTrue="1" operator="equal">
      <formula>"Fail"</formula>
    </cfRule>
    <cfRule type="cellIs" dxfId="4400" priority="5966" stopIfTrue="1" operator="equal">
      <formula>"Pass"</formula>
    </cfRule>
  </conditionalFormatting>
  <conditionalFormatting sqref="B813">
    <cfRule type="cellIs" dxfId="4399" priority="5961" stopIfTrue="1" operator="equal">
      <formula>"Fail"</formula>
    </cfRule>
    <cfRule type="cellIs" dxfId="4398" priority="5962" stopIfTrue="1" operator="equal">
      <formula>"Pass"</formula>
    </cfRule>
  </conditionalFormatting>
  <conditionalFormatting sqref="I816">
    <cfRule type="cellIs" dxfId="4397" priority="5947" stopIfTrue="1" operator="equal">
      <formula>"Fail"</formula>
    </cfRule>
    <cfRule type="cellIs" dxfId="4396" priority="5948" stopIfTrue="1" operator="equal">
      <formula>"Pass"</formula>
    </cfRule>
  </conditionalFormatting>
  <conditionalFormatting sqref="C816">
    <cfRule type="cellIs" dxfId="4395" priority="5945" stopIfTrue="1" operator="equal">
      <formula>"Fail"</formula>
    </cfRule>
    <cfRule type="cellIs" dxfId="4394" priority="5946" stopIfTrue="1" operator="equal">
      <formula>"Pass"</formula>
    </cfRule>
  </conditionalFormatting>
  <conditionalFormatting sqref="C816:I816 A816">
    <cfRule type="cellIs" dxfId="4393" priority="5951" stopIfTrue="1" operator="equal">
      <formula>"Fail"</formula>
    </cfRule>
    <cfRule type="cellIs" dxfId="4392" priority="5952" stopIfTrue="1" operator="equal">
      <formula>"Pass"</formula>
    </cfRule>
  </conditionalFormatting>
  <conditionalFormatting sqref="D816:I816 A816">
    <cfRule type="cellIs" dxfId="4391" priority="5949" stopIfTrue="1" operator="equal">
      <formula>"Fail"</formula>
    </cfRule>
    <cfRule type="cellIs" dxfId="4390" priority="5950" stopIfTrue="1" operator="equal">
      <formula>"Pass"</formula>
    </cfRule>
  </conditionalFormatting>
  <conditionalFormatting sqref="C817:I817 A817">
    <cfRule type="cellIs" dxfId="4389" priority="5943" stopIfTrue="1" operator="equal">
      <formula>"Fail"</formula>
    </cfRule>
    <cfRule type="cellIs" dxfId="4388" priority="5944" stopIfTrue="1" operator="equal">
      <formula>"Pass"</formula>
    </cfRule>
  </conditionalFormatting>
  <conditionalFormatting sqref="D817:I817 A817">
    <cfRule type="cellIs" dxfId="4387" priority="5941" stopIfTrue="1" operator="equal">
      <formula>"Fail"</formula>
    </cfRule>
    <cfRule type="cellIs" dxfId="4386" priority="5942" stopIfTrue="1" operator="equal">
      <formula>"Pass"</formula>
    </cfRule>
  </conditionalFormatting>
  <conditionalFormatting sqref="I817">
    <cfRule type="cellIs" dxfId="4385" priority="5939" stopIfTrue="1" operator="equal">
      <formula>"Fail"</formula>
    </cfRule>
    <cfRule type="cellIs" dxfId="4384" priority="5940" stopIfTrue="1" operator="equal">
      <formula>"Pass"</formula>
    </cfRule>
  </conditionalFormatting>
  <conditionalFormatting sqref="C817">
    <cfRule type="cellIs" dxfId="4383" priority="5937" stopIfTrue="1" operator="equal">
      <formula>"Fail"</formula>
    </cfRule>
    <cfRule type="cellIs" dxfId="4382" priority="5938" stopIfTrue="1" operator="equal">
      <formula>"Pass"</formula>
    </cfRule>
  </conditionalFormatting>
  <conditionalFormatting sqref="I818">
    <cfRule type="cellIs" dxfId="4381" priority="5931" stopIfTrue="1" operator="equal">
      <formula>"Fail"</formula>
    </cfRule>
    <cfRule type="cellIs" dxfId="4380" priority="5932" stopIfTrue="1" operator="equal">
      <formula>"Pass"</formula>
    </cfRule>
  </conditionalFormatting>
  <conditionalFormatting sqref="C818">
    <cfRule type="cellIs" dxfId="4379" priority="5929" stopIfTrue="1" operator="equal">
      <formula>"Fail"</formula>
    </cfRule>
    <cfRule type="cellIs" dxfId="4378" priority="5930" stopIfTrue="1" operator="equal">
      <formula>"Pass"</formula>
    </cfRule>
  </conditionalFormatting>
  <conditionalFormatting sqref="C818:I818 A818">
    <cfRule type="cellIs" dxfId="4377" priority="5935" stopIfTrue="1" operator="equal">
      <formula>"Fail"</formula>
    </cfRule>
    <cfRule type="cellIs" dxfId="4376" priority="5936" stopIfTrue="1" operator="equal">
      <formula>"Pass"</formula>
    </cfRule>
  </conditionalFormatting>
  <conditionalFormatting sqref="D818:I818 A818">
    <cfRule type="cellIs" dxfId="4375" priority="5933" stopIfTrue="1" operator="equal">
      <formula>"Fail"</formula>
    </cfRule>
    <cfRule type="cellIs" dxfId="4374" priority="5934" stopIfTrue="1" operator="equal">
      <formula>"Pass"</formula>
    </cfRule>
  </conditionalFormatting>
  <conditionalFormatting sqref="A819 D819:I819">
    <cfRule type="cellIs" dxfId="4373" priority="5925" stopIfTrue="1" operator="equal">
      <formula>"Fail"</formula>
    </cfRule>
    <cfRule type="cellIs" dxfId="4372" priority="5926" stopIfTrue="1" operator="equal">
      <formula>"Pass"</formula>
    </cfRule>
  </conditionalFormatting>
  <conditionalFormatting sqref="A819 C819:I819">
    <cfRule type="cellIs" dxfId="4371" priority="5927" stopIfTrue="1" operator="equal">
      <formula>"Fail"</formula>
    </cfRule>
    <cfRule type="cellIs" dxfId="4370" priority="5928" stopIfTrue="1" operator="equal">
      <formula>"Pass"</formula>
    </cfRule>
  </conditionalFormatting>
  <conditionalFormatting sqref="I819">
    <cfRule type="cellIs" dxfId="4369" priority="5923" stopIfTrue="1" operator="equal">
      <formula>"Fail"</formula>
    </cfRule>
    <cfRule type="cellIs" dxfId="4368" priority="5924" stopIfTrue="1" operator="equal">
      <formula>"Pass"</formula>
    </cfRule>
  </conditionalFormatting>
  <conditionalFormatting sqref="C819">
    <cfRule type="cellIs" dxfId="4367" priority="5921" stopIfTrue="1" operator="equal">
      <formula>"Fail"</formula>
    </cfRule>
    <cfRule type="cellIs" dxfId="4366" priority="5922" stopIfTrue="1" operator="equal">
      <formula>"Pass"</formula>
    </cfRule>
  </conditionalFormatting>
  <conditionalFormatting sqref="C815:I815 A815">
    <cfRule type="cellIs" dxfId="4365" priority="5919" stopIfTrue="1" operator="equal">
      <formula>"Fail"</formula>
    </cfRule>
    <cfRule type="cellIs" dxfId="4364" priority="5920" stopIfTrue="1" operator="equal">
      <formula>"Pass"</formula>
    </cfRule>
  </conditionalFormatting>
  <conditionalFormatting sqref="D815:I815 A815">
    <cfRule type="cellIs" dxfId="4363" priority="5917" stopIfTrue="1" operator="equal">
      <formula>"Fail"</formula>
    </cfRule>
    <cfRule type="cellIs" dxfId="4362" priority="5918" stopIfTrue="1" operator="equal">
      <formula>"Pass"</formula>
    </cfRule>
  </conditionalFormatting>
  <conditionalFormatting sqref="I815">
    <cfRule type="cellIs" dxfId="4361" priority="5915" stopIfTrue="1" operator="equal">
      <formula>"Fail"</formula>
    </cfRule>
    <cfRule type="cellIs" dxfId="4360" priority="5916" stopIfTrue="1" operator="equal">
      <formula>"Pass"</formula>
    </cfRule>
  </conditionalFormatting>
  <conditionalFormatting sqref="C815">
    <cfRule type="cellIs" dxfId="4359" priority="5913" stopIfTrue="1" operator="equal">
      <formula>"Fail"</formula>
    </cfRule>
    <cfRule type="cellIs" dxfId="4358" priority="5914" stopIfTrue="1" operator="equal">
      <formula>"Pass"</formula>
    </cfRule>
  </conditionalFormatting>
  <conditionalFormatting sqref="A821">
    <cfRule type="cellIs" dxfId="4357" priority="5911" stopIfTrue="1" operator="equal">
      <formula>"Fail"</formula>
    </cfRule>
    <cfRule type="cellIs" dxfId="4356" priority="5912" stopIfTrue="1" operator="equal">
      <formula>"Pass"</formula>
    </cfRule>
  </conditionalFormatting>
  <conditionalFormatting sqref="C821">
    <cfRule type="cellIs" dxfId="4355" priority="5907" stopIfTrue="1" operator="equal">
      <formula>"Fail"</formula>
    </cfRule>
    <cfRule type="cellIs" dxfId="4354" priority="5908" stopIfTrue="1" operator="equal">
      <formula>"Pass"</formula>
    </cfRule>
  </conditionalFormatting>
  <conditionalFormatting sqref="C821">
    <cfRule type="cellIs" dxfId="4353" priority="5901" stopIfTrue="1" operator="equal">
      <formula>"Fail"</formula>
    </cfRule>
    <cfRule type="cellIs" dxfId="4352" priority="5902" stopIfTrue="1" operator="equal">
      <formula>"Pass"</formula>
    </cfRule>
  </conditionalFormatting>
  <conditionalFormatting sqref="A821 C821:D821 F821:H821">
    <cfRule type="cellIs" dxfId="4351" priority="5905" stopIfTrue="1" operator="equal">
      <formula>"Fail"</formula>
    </cfRule>
    <cfRule type="cellIs" dxfId="4350" priority="5906" stopIfTrue="1" operator="equal">
      <formula>"Pass"</formula>
    </cfRule>
  </conditionalFormatting>
  <conditionalFormatting sqref="A821 D821 F821:H821">
    <cfRule type="cellIs" dxfId="4349" priority="5903" stopIfTrue="1" operator="equal">
      <formula>"Fail"</formula>
    </cfRule>
    <cfRule type="cellIs" dxfId="4348" priority="5904" stopIfTrue="1" operator="equal">
      <formula>"Pass"</formula>
    </cfRule>
  </conditionalFormatting>
  <conditionalFormatting sqref="I821">
    <cfRule type="cellIs" dxfId="4347" priority="5895" stopIfTrue="1" operator="equal">
      <formula>"Fail"</formula>
    </cfRule>
    <cfRule type="cellIs" dxfId="4346" priority="5896" stopIfTrue="1" operator="equal">
      <formula>"Pass"</formula>
    </cfRule>
  </conditionalFormatting>
  <conditionalFormatting sqref="I821">
    <cfRule type="cellIs" dxfId="4345" priority="5899" stopIfTrue="1" operator="equal">
      <formula>"Fail"</formula>
    </cfRule>
    <cfRule type="cellIs" dxfId="4344" priority="5900" stopIfTrue="1" operator="equal">
      <formula>"Pass"</formula>
    </cfRule>
  </conditionalFormatting>
  <conditionalFormatting sqref="I821">
    <cfRule type="cellIs" dxfId="4343" priority="5897" stopIfTrue="1" operator="equal">
      <formula>"Fail"</formula>
    </cfRule>
    <cfRule type="cellIs" dxfId="4342" priority="5898" stopIfTrue="1" operator="equal">
      <formula>"Pass"</formula>
    </cfRule>
  </conditionalFormatting>
  <conditionalFormatting sqref="I820">
    <cfRule type="cellIs" dxfId="4341" priority="5889" stopIfTrue="1" operator="equal">
      <formula>"Fail"</formula>
    </cfRule>
    <cfRule type="cellIs" dxfId="4340" priority="5890" stopIfTrue="1" operator="equal">
      <formula>"Pass"</formula>
    </cfRule>
  </conditionalFormatting>
  <conditionalFormatting sqref="C820">
    <cfRule type="cellIs" dxfId="4339" priority="5887" stopIfTrue="1" operator="equal">
      <formula>"Fail"</formula>
    </cfRule>
    <cfRule type="cellIs" dxfId="4338" priority="5888" stopIfTrue="1" operator="equal">
      <formula>"Pass"</formula>
    </cfRule>
  </conditionalFormatting>
  <conditionalFormatting sqref="C820:D820 A820 F820:I820">
    <cfRule type="cellIs" dxfId="4337" priority="5893" stopIfTrue="1" operator="equal">
      <formula>"Fail"</formula>
    </cfRule>
    <cfRule type="cellIs" dxfId="4336" priority="5894" stopIfTrue="1" operator="equal">
      <formula>"Pass"</formula>
    </cfRule>
  </conditionalFormatting>
  <conditionalFormatting sqref="D820 A820 F820:I820">
    <cfRule type="cellIs" dxfId="4335" priority="5891" stopIfTrue="1" operator="equal">
      <formula>"Fail"</formula>
    </cfRule>
    <cfRule type="cellIs" dxfId="4334" priority="5892" stopIfTrue="1" operator="equal">
      <formula>"Pass"</formula>
    </cfRule>
  </conditionalFormatting>
  <conditionalFormatting sqref="E820">
    <cfRule type="cellIs" dxfId="4333" priority="5885" stopIfTrue="1" operator="equal">
      <formula>"Fail"</formula>
    </cfRule>
    <cfRule type="cellIs" dxfId="4332" priority="5886" stopIfTrue="1" operator="equal">
      <formula>"Pass"</formula>
    </cfRule>
  </conditionalFormatting>
  <conditionalFormatting sqref="C823">
    <cfRule type="cellIs" dxfId="4331" priority="5881" stopIfTrue="1" operator="equal">
      <formula>"Fail"</formula>
    </cfRule>
    <cfRule type="cellIs" dxfId="4330" priority="5882" stopIfTrue="1" operator="equal">
      <formula>"Pass"</formula>
    </cfRule>
  </conditionalFormatting>
  <conditionalFormatting sqref="I824">
    <cfRule type="cellIs" dxfId="4329" priority="5873" stopIfTrue="1" operator="equal">
      <formula>"Fail"</formula>
    </cfRule>
    <cfRule type="cellIs" dxfId="4328" priority="5874" stopIfTrue="1" operator="equal">
      <formula>"Pass"</formula>
    </cfRule>
  </conditionalFormatting>
  <conditionalFormatting sqref="I824">
    <cfRule type="cellIs" dxfId="4327" priority="5877" stopIfTrue="1" operator="equal">
      <formula>"Fail"</formula>
    </cfRule>
    <cfRule type="cellIs" dxfId="4326" priority="5878" stopIfTrue="1" operator="equal">
      <formula>"Pass"</formula>
    </cfRule>
  </conditionalFormatting>
  <conditionalFormatting sqref="I824">
    <cfRule type="cellIs" dxfId="4325" priority="5875" stopIfTrue="1" operator="equal">
      <formula>"Fail"</formula>
    </cfRule>
    <cfRule type="cellIs" dxfId="4324" priority="5876" stopIfTrue="1" operator="equal">
      <formula>"Pass"</formula>
    </cfRule>
  </conditionalFormatting>
  <conditionalFormatting sqref="A824">
    <cfRule type="cellIs" dxfId="4323" priority="5879" stopIfTrue="1" operator="equal">
      <formula>"Fail"</formula>
    </cfRule>
    <cfRule type="cellIs" dxfId="4322" priority="5880" stopIfTrue="1" operator="equal">
      <formula>"Pass"</formula>
    </cfRule>
  </conditionalFormatting>
  <conditionalFormatting sqref="B824">
    <cfRule type="cellIs" dxfId="4321" priority="5871" stopIfTrue="1" operator="equal">
      <formula>"Fail"</formula>
    </cfRule>
    <cfRule type="cellIs" dxfId="4320" priority="5872" stopIfTrue="1" operator="equal">
      <formula>"Pass"</formula>
    </cfRule>
  </conditionalFormatting>
  <conditionalFormatting sqref="C824">
    <cfRule type="cellIs" dxfId="4319" priority="5869" stopIfTrue="1" operator="equal">
      <formula>"Fail"</formula>
    </cfRule>
    <cfRule type="cellIs" dxfId="4318" priority="5870" stopIfTrue="1" operator="equal">
      <formula>"Pass"</formula>
    </cfRule>
  </conditionalFormatting>
  <conditionalFormatting sqref="A822 C822:I822">
    <cfRule type="cellIs" dxfId="4317" priority="5867" stopIfTrue="1" operator="equal">
      <formula>"Fail"</formula>
    </cfRule>
    <cfRule type="cellIs" dxfId="4316" priority="5868" stopIfTrue="1" operator="equal">
      <formula>"Pass"</formula>
    </cfRule>
  </conditionalFormatting>
  <conditionalFormatting sqref="B822">
    <cfRule type="cellIs" dxfId="4315" priority="5865" stopIfTrue="1" operator="equal">
      <formula>"Fail"</formula>
    </cfRule>
    <cfRule type="cellIs" dxfId="4314" priority="5866" stopIfTrue="1" operator="equal">
      <formula>"Pass"</formula>
    </cfRule>
  </conditionalFormatting>
  <conditionalFormatting sqref="C814:I814">
    <cfRule type="cellIs" dxfId="4313" priority="5861" stopIfTrue="1" operator="equal">
      <formula>"Fail"</formula>
    </cfRule>
    <cfRule type="cellIs" dxfId="4312" priority="5862" stopIfTrue="1" operator="equal">
      <formula>"Pass"</formula>
    </cfRule>
  </conditionalFormatting>
  <conditionalFormatting sqref="A814">
    <cfRule type="cellIs" dxfId="4311" priority="5863" stopIfTrue="1" operator="equal">
      <formula>"Fail"</formula>
    </cfRule>
    <cfRule type="cellIs" dxfId="4310" priority="5864" stopIfTrue="1" operator="equal">
      <formula>"Pass"</formula>
    </cfRule>
  </conditionalFormatting>
  <conditionalFormatting sqref="B814">
    <cfRule type="cellIs" dxfId="4309" priority="5859" stopIfTrue="1" operator="equal">
      <formula>"Fail"</formula>
    </cfRule>
    <cfRule type="cellIs" dxfId="4308" priority="5860" stopIfTrue="1" operator="equal">
      <formula>"Pass"</formula>
    </cfRule>
  </conditionalFormatting>
  <conditionalFormatting sqref="I826">
    <cfRule type="cellIs" dxfId="4307" priority="5853" stopIfTrue="1" operator="equal">
      <formula>"Fail"</formula>
    </cfRule>
    <cfRule type="cellIs" dxfId="4306" priority="5854" stopIfTrue="1" operator="equal">
      <formula>"Pass"</formula>
    </cfRule>
  </conditionalFormatting>
  <conditionalFormatting sqref="C826">
    <cfRule type="cellIs" dxfId="4305" priority="5851" stopIfTrue="1" operator="equal">
      <formula>"Fail"</formula>
    </cfRule>
    <cfRule type="cellIs" dxfId="4304" priority="5852" stopIfTrue="1" operator="equal">
      <formula>"Pass"</formula>
    </cfRule>
  </conditionalFormatting>
  <conditionalFormatting sqref="C826:I826 A826">
    <cfRule type="cellIs" dxfId="4303" priority="5857" stopIfTrue="1" operator="equal">
      <formula>"Fail"</formula>
    </cfRule>
    <cfRule type="cellIs" dxfId="4302" priority="5858" stopIfTrue="1" operator="equal">
      <formula>"Pass"</formula>
    </cfRule>
  </conditionalFormatting>
  <conditionalFormatting sqref="D826:I826 A826">
    <cfRule type="cellIs" dxfId="4301" priority="5855" stopIfTrue="1" operator="equal">
      <formula>"Fail"</formula>
    </cfRule>
    <cfRule type="cellIs" dxfId="4300" priority="5856" stopIfTrue="1" operator="equal">
      <formula>"Pass"</formula>
    </cfRule>
  </conditionalFormatting>
  <conditionalFormatting sqref="A827 D827:I827">
    <cfRule type="cellIs" dxfId="4299" priority="5847" stopIfTrue="1" operator="equal">
      <formula>"Fail"</formula>
    </cfRule>
    <cfRule type="cellIs" dxfId="4298" priority="5848" stopIfTrue="1" operator="equal">
      <formula>"Pass"</formula>
    </cfRule>
  </conditionalFormatting>
  <conditionalFormatting sqref="A827 C827:I827">
    <cfRule type="cellIs" dxfId="4297" priority="5849" stopIfTrue="1" operator="equal">
      <formula>"Fail"</formula>
    </cfRule>
    <cfRule type="cellIs" dxfId="4296" priority="5850" stopIfTrue="1" operator="equal">
      <formula>"Pass"</formula>
    </cfRule>
  </conditionalFormatting>
  <conditionalFormatting sqref="I827">
    <cfRule type="cellIs" dxfId="4295" priority="5845" stopIfTrue="1" operator="equal">
      <formula>"Fail"</formula>
    </cfRule>
    <cfRule type="cellIs" dxfId="4294" priority="5846" stopIfTrue="1" operator="equal">
      <formula>"Pass"</formula>
    </cfRule>
  </conditionalFormatting>
  <conditionalFormatting sqref="C827">
    <cfRule type="cellIs" dxfId="4293" priority="5843" stopIfTrue="1" operator="equal">
      <formula>"Fail"</formula>
    </cfRule>
    <cfRule type="cellIs" dxfId="4292" priority="5844" stopIfTrue="1" operator="equal">
      <formula>"Pass"</formula>
    </cfRule>
  </conditionalFormatting>
  <conditionalFormatting sqref="I828:I829">
    <cfRule type="cellIs" dxfId="4291" priority="5837" stopIfTrue="1" operator="equal">
      <formula>"Fail"</formula>
    </cfRule>
    <cfRule type="cellIs" dxfId="4290" priority="5838" stopIfTrue="1" operator="equal">
      <formula>"Pass"</formula>
    </cfRule>
  </conditionalFormatting>
  <conditionalFormatting sqref="C828">
    <cfRule type="cellIs" dxfId="4289" priority="5835" stopIfTrue="1" operator="equal">
      <formula>"Fail"</formula>
    </cfRule>
    <cfRule type="cellIs" dxfId="4288" priority="5836" stopIfTrue="1" operator="equal">
      <formula>"Pass"</formula>
    </cfRule>
  </conditionalFormatting>
  <conditionalFormatting sqref="A828 C828:D828 F828:I829">
    <cfRule type="cellIs" dxfId="4287" priority="5841" stopIfTrue="1" operator="equal">
      <formula>"Fail"</formula>
    </cfRule>
    <cfRule type="cellIs" dxfId="4286" priority="5842" stopIfTrue="1" operator="equal">
      <formula>"Pass"</formula>
    </cfRule>
  </conditionalFormatting>
  <conditionalFormatting sqref="A828 D828 F828:I829">
    <cfRule type="cellIs" dxfId="4285" priority="5839" stopIfTrue="1" operator="equal">
      <formula>"Fail"</formula>
    </cfRule>
    <cfRule type="cellIs" dxfId="4284" priority="5840" stopIfTrue="1" operator="equal">
      <formula>"Pass"</formula>
    </cfRule>
  </conditionalFormatting>
  <conditionalFormatting sqref="A829">
    <cfRule type="cellIs" dxfId="4283" priority="5833" stopIfTrue="1" operator="equal">
      <formula>"Fail"</formula>
    </cfRule>
    <cfRule type="cellIs" dxfId="4282" priority="5834" stopIfTrue="1" operator="equal">
      <formula>"Pass"</formula>
    </cfRule>
  </conditionalFormatting>
  <conditionalFormatting sqref="C829">
    <cfRule type="cellIs" dxfId="4281" priority="5829" stopIfTrue="1" operator="equal">
      <formula>"Fail"</formula>
    </cfRule>
    <cfRule type="cellIs" dxfId="4280" priority="5830" stopIfTrue="1" operator="equal">
      <formula>"Pass"</formula>
    </cfRule>
  </conditionalFormatting>
  <conditionalFormatting sqref="C829">
    <cfRule type="cellIs" dxfId="4279" priority="5823" stopIfTrue="1" operator="equal">
      <formula>"Fail"</formula>
    </cfRule>
    <cfRule type="cellIs" dxfId="4278" priority="5824" stopIfTrue="1" operator="equal">
      <formula>"Pass"</formula>
    </cfRule>
  </conditionalFormatting>
  <conditionalFormatting sqref="C829:D829 F829:H829 A829">
    <cfRule type="cellIs" dxfId="4277" priority="5827" stopIfTrue="1" operator="equal">
      <formula>"Fail"</formula>
    </cfRule>
    <cfRule type="cellIs" dxfId="4276" priority="5828" stopIfTrue="1" operator="equal">
      <formula>"Pass"</formula>
    </cfRule>
  </conditionalFormatting>
  <conditionalFormatting sqref="D829 F829:H829 A829">
    <cfRule type="cellIs" dxfId="4275" priority="5825" stopIfTrue="1" operator="equal">
      <formula>"Fail"</formula>
    </cfRule>
    <cfRule type="cellIs" dxfId="4274" priority="5826" stopIfTrue="1" operator="equal">
      <formula>"Pass"</formula>
    </cfRule>
  </conditionalFormatting>
  <conditionalFormatting sqref="I829">
    <cfRule type="cellIs" dxfId="4273" priority="5817" stopIfTrue="1" operator="equal">
      <formula>"Fail"</formula>
    </cfRule>
    <cfRule type="cellIs" dxfId="4272" priority="5818" stopIfTrue="1" operator="equal">
      <formula>"Pass"</formula>
    </cfRule>
  </conditionalFormatting>
  <conditionalFormatting sqref="I829">
    <cfRule type="cellIs" dxfId="4271" priority="5821" stopIfTrue="1" operator="equal">
      <formula>"Fail"</formula>
    </cfRule>
    <cfRule type="cellIs" dxfId="4270" priority="5822" stopIfTrue="1" operator="equal">
      <formula>"Pass"</formula>
    </cfRule>
  </conditionalFormatting>
  <conditionalFormatting sqref="I829">
    <cfRule type="cellIs" dxfId="4269" priority="5819" stopIfTrue="1" operator="equal">
      <formula>"Fail"</formula>
    </cfRule>
    <cfRule type="cellIs" dxfId="4268" priority="5820" stopIfTrue="1" operator="equal">
      <formula>"Pass"</formula>
    </cfRule>
  </conditionalFormatting>
  <conditionalFormatting sqref="D828:I829 A828:A829">
    <cfRule type="cellIs" dxfId="4267" priority="5813" stopIfTrue="1" operator="equal">
      <formula>"Fail"</formula>
    </cfRule>
    <cfRule type="cellIs" dxfId="4266" priority="5814" stopIfTrue="1" operator="equal">
      <formula>"Pass"</formula>
    </cfRule>
  </conditionalFormatting>
  <conditionalFormatting sqref="C828:I829 A828:A829">
    <cfRule type="cellIs" dxfId="4265" priority="5815" stopIfTrue="1" operator="equal">
      <formula>"Fail"</formula>
    </cfRule>
    <cfRule type="cellIs" dxfId="4264" priority="5816" stopIfTrue="1" operator="equal">
      <formula>"Pass"</formula>
    </cfRule>
  </conditionalFormatting>
  <conditionalFormatting sqref="I828:I829">
    <cfRule type="cellIs" dxfId="4263" priority="5811" stopIfTrue="1" operator="equal">
      <formula>"Fail"</formula>
    </cfRule>
    <cfRule type="cellIs" dxfId="4262" priority="5812" stopIfTrue="1" operator="equal">
      <formula>"Pass"</formula>
    </cfRule>
  </conditionalFormatting>
  <conditionalFormatting sqref="C828:C829">
    <cfRule type="cellIs" dxfId="4261" priority="5809" stopIfTrue="1" operator="equal">
      <formula>"Fail"</formula>
    </cfRule>
    <cfRule type="cellIs" dxfId="4260" priority="5810" stopIfTrue="1" operator="equal">
      <formula>"Pass"</formula>
    </cfRule>
  </conditionalFormatting>
  <conditionalFormatting sqref="I830">
    <cfRule type="cellIs" dxfId="4259" priority="5803" stopIfTrue="1" operator="equal">
      <formula>"Fail"</formula>
    </cfRule>
    <cfRule type="cellIs" dxfId="4258" priority="5804" stopIfTrue="1" operator="equal">
      <formula>"Pass"</formula>
    </cfRule>
  </conditionalFormatting>
  <conditionalFormatting sqref="F830:I830">
    <cfRule type="cellIs" dxfId="4257" priority="5807" stopIfTrue="1" operator="equal">
      <formula>"Fail"</formula>
    </cfRule>
    <cfRule type="cellIs" dxfId="4256" priority="5808" stopIfTrue="1" operator="equal">
      <formula>"Pass"</formula>
    </cfRule>
  </conditionalFormatting>
  <conditionalFormatting sqref="F830:I830">
    <cfRule type="cellIs" dxfId="4255" priority="5805" stopIfTrue="1" operator="equal">
      <formula>"Fail"</formula>
    </cfRule>
    <cfRule type="cellIs" dxfId="4254" priority="5806" stopIfTrue="1" operator="equal">
      <formula>"Pass"</formula>
    </cfRule>
  </conditionalFormatting>
  <conditionalFormatting sqref="A830">
    <cfRule type="cellIs" dxfId="4253" priority="5801" stopIfTrue="1" operator="equal">
      <formula>"Fail"</formula>
    </cfRule>
    <cfRule type="cellIs" dxfId="4252" priority="5802" stopIfTrue="1" operator="equal">
      <formula>"Pass"</formula>
    </cfRule>
  </conditionalFormatting>
  <conditionalFormatting sqref="C830">
    <cfRule type="cellIs" dxfId="4251" priority="5797" stopIfTrue="1" operator="equal">
      <formula>"Fail"</formula>
    </cfRule>
    <cfRule type="cellIs" dxfId="4250" priority="5798" stopIfTrue="1" operator="equal">
      <formula>"Pass"</formula>
    </cfRule>
  </conditionalFormatting>
  <conditionalFormatting sqref="C830">
    <cfRule type="cellIs" dxfId="4249" priority="5791" stopIfTrue="1" operator="equal">
      <formula>"Fail"</formula>
    </cfRule>
    <cfRule type="cellIs" dxfId="4248" priority="5792" stopIfTrue="1" operator="equal">
      <formula>"Pass"</formula>
    </cfRule>
  </conditionalFormatting>
  <conditionalFormatting sqref="C830:D830 F830:H830 A830">
    <cfRule type="cellIs" dxfId="4247" priority="5795" stopIfTrue="1" operator="equal">
      <formula>"Fail"</formula>
    </cfRule>
    <cfRule type="cellIs" dxfId="4246" priority="5796" stopIfTrue="1" operator="equal">
      <formula>"Pass"</formula>
    </cfRule>
  </conditionalFormatting>
  <conditionalFormatting sqref="D830 F830:H830 A830">
    <cfRule type="cellIs" dxfId="4245" priority="5793" stopIfTrue="1" operator="equal">
      <formula>"Fail"</formula>
    </cfRule>
    <cfRule type="cellIs" dxfId="4244" priority="5794" stopIfTrue="1" operator="equal">
      <formula>"Pass"</formula>
    </cfRule>
  </conditionalFormatting>
  <conditionalFormatting sqref="I830">
    <cfRule type="cellIs" dxfId="4243" priority="5785" stopIfTrue="1" operator="equal">
      <formula>"Fail"</formula>
    </cfRule>
    <cfRule type="cellIs" dxfId="4242" priority="5786" stopIfTrue="1" operator="equal">
      <formula>"Pass"</formula>
    </cfRule>
  </conditionalFormatting>
  <conditionalFormatting sqref="I830">
    <cfRule type="cellIs" dxfId="4241" priority="5789" stopIfTrue="1" operator="equal">
      <formula>"Fail"</formula>
    </cfRule>
    <cfRule type="cellIs" dxfId="4240" priority="5790" stopIfTrue="1" operator="equal">
      <formula>"Pass"</formula>
    </cfRule>
  </conditionalFormatting>
  <conditionalFormatting sqref="I830">
    <cfRule type="cellIs" dxfId="4239" priority="5787" stopIfTrue="1" operator="equal">
      <formula>"Fail"</formula>
    </cfRule>
    <cfRule type="cellIs" dxfId="4238" priority="5788" stopIfTrue="1" operator="equal">
      <formula>"Pass"</formula>
    </cfRule>
  </conditionalFormatting>
  <conditionalFormatting sqref="D830 A830 F830:I830">
    <cfRule type="cellIs" dxfId="4237" priority="5781" stopIfTrue="1" operator="equal">
      <formula>"Fail"</formula>
    </cfRule>
    <cfRule type="cellIs" dxfId="4236" priority="5782" stopIfTrue="1" operator="equal">
      <formula>"Pass"</formula>
    </cfRule>
  </conditionalFormatting>
  <conditionalFormatting sqref="C830:D830 A830 F830:I830">
    <cfRule type="cellIs" dxfId="4235" priority="5783" stopIfTrue="1" operator="equal">
      <formula>"Fail"</formula>
    </cfRule>
    <cfRule type="cellIs" dxfId="4234" priority="5784" stopIfTrue="1" operator="equal">
      <formula>"Pass"</formula>
    </cfRule>
  </conditionalFormatting>
  <conditionalFormatting sqref="I830">
    <cfRule type="cellIs" dxfId="4233" priority="5779" stopIfTrue="1" operator="equal">
      <formula>"Fail"</formula>
    </cfRule>
    <cfRule type="cellIs" dxfId="4232" priority="5780" stopIfTrue="1" operator="equal">
      <formula>"Pass"</formula>
    </cfRule>
  </conditionalFormatting>
  <conditionalFormatting sqref="C830">
    <cfRule type="cellIs" dxfId="4231" priority="5777" stopIfTrue="1" operator="equal">
      <formula>"Fail"</formula>
    </cfRule>
    <cfRule type="cellIs" dxfId="4230" priority="5778" stopIfTrue="1" operator="equal">
      <formula>"Pass"</formula>
    </cfRule>
  </conditionalFormatting>
  <conditionalFormatting sqref="C850:I850">
    <cfRule type="cellIs" dxfId="4229" priority="5721" stopIfTrue="1" operator="equal">
      <formula>"Fail"</formula>
    </cfRule>
    <cfRule type="cellIs" dxfId="4228" priority="5722" stopIfTrue="1" operator="equal">
      <formula>"Pass"</formula>
    </cfRule>
  </conditionalFormatting>
  <conditionalFormatting sqref="A850">
    <cfRule type="cellIs" dxfId="4227" priority="5723" stopIfTrue="1" operator="equal">
      <formula>"Fail"</formula>
    </cfRule>
    <cfRule type="cellIs" dxfId="4226" priority="5724" stopIfTrue="1" operator="equal">
      <formula>"Pass"</formula>
    </cfRule>
  </conditionalFormatting>
  <conditionalFormatting sqref="B850">
    <cfRule type="cellIs" dxfId="4225" priority="5719" stopIfTrue="1" operator="equal">
      <formula>"Fail"</formula>
    </cfRule>
    <cfRule type="cellIs" dxfId="4224" priority="5720" stopIfTrue="1" operator="equal">
      <formula>"Pass"</formula>
    </cfRule>
  </conditionalFormatting>
  <conditionalFormatting sqref="I853">
    <cfRule type="cellIs" dxfId="4223" priority="5707" stopIfTrue="1" operator="equal">
      <formula>"Fail"</formula>
    </cfRule>
    <cfRule type="cellIs" dxfId="4222" priority="5708" stopIfTrue="1" operator="equal">
      <formula>"Pass"</formula>
    </cfRule>
  </conditionalFormatting>
  <conditionalFormatting sqref="C853">
    <cfRule type="cellIs" dxfId="4221" priority="5705" stopIfTrue="1" operator="equal">
      <formula>"Fail"</formula>
    </cfRule>
    <cfRule type="cellIs" dxfId="4220" priority="5706" stopIfTrue="1" operator="equal">
      <formula>"Pass"</formula>
    </cfRule>
  </conditionalFormatting>
  <conditionalFormatting sqref="C853:I853 A853">
    <cfRule type="cellIs" dxfId="4219" priority="5711" stopIfTrue="1" operator="equal">
      <formula>"Fail"</formula>
    </cfRule>
    <cfRule type="cellIs" dxfId="4218" priority="5712" stopIfTrue="1" operator="equal">
      <formula>"Pass"</formula>
    </cfRule>
  </conditionalFormatting>
  <conditionalFormatting sqref="D853:I853 A853">
    <cfRule type="cellIs" dxfId="4217" priority="5709" stopIfTrue="1" operator="equal">
      <formula>"Fail"</formula>
    </cfRule>
    <cfRule type="cellIs" dxfId="4216" priority="5710" stopIfTrue="1" operator="equal">
      <formula>"Pass"</formula>
    </cfRule>
  </conditionalFormatting>
  <conditionalFormatting sqref="C854:I854 A854">
    <cfRule type="cellIs" dxfId="4215" priority="5703" stopIfTrue="1" operator="equal">
      <formula>"Fail"</formula>
    </cfRule>
    <cfRule type="cellIs" dxfId="4214" priority="5704" stopIfTrue="1" operator="equal">
      <formula>"Pass"</formula>
    </cfRule>
  </conditionalFormatting>
  <conditionalFormatting sqref="D854:I854 A854">
    <cfRule type="cellIs" dxfId="4213" priority="5701" stopIfTrue="1" operator="equal">
      <formula>"Fail"</formula>
    </cfRule>
    <cfRule type="cellIs" dxfId="4212" priority="5702" stopIfTrue="1" operator="equal">
      <formula>"Pass"</formula>
    </cfRule>
  </conditionalFormatting>
  <conditionalFormatting sqref="I854">
    <cfRule type="cellIs" dxfId="4211" priority="5699" stopIfTrue="1" operator="equal">
      <formula>"Fail"</formula>
    </cfRule>
    <cfRule type="cellIs" dxfId="4210" priority="5700" stopIfTrue="1" operator="equal">
      <formula>"Pass"</formula>
    </cfRule>
  </conditionalFormatting>
  <conditionalFormatting sqref="C854">
    <cfRule type="cellIs" dxfId="4209" priority="5697" stopIfTrue="1" operator="equal">
      <formula>"Fail"</formula>
    </cfRule>
    <cfRule type="cellIs" dxfId="4208" priority="5698" stopIfTrue="1" operator="equal">
      <formula>"Pass"</formula>
    </cfRule>
  </conditionalFormatting>
  <conditionalFormatting sqref="I855">
    <cfRule type="cellIs" dxfId="4207" priority="5691" stopIfTrue="1" operator="equal">
      <formula>"Fail"</formula>
    </cfRule>
    <cfRule type="cellIs" dxfId="4206" priority="5692" stopIfTrue="1" operator="equal">
      <formula>"Pass"</formula>
    </cfRule>
  </conditionalFormatting>
  <conditionalFormatting sqref="C855">
    <cfRule type="cellIs" dxfId="4205" priority="5689" stopIfTrue="1" operator="equal">
      <formula>"Fail"</formula>
    </cfRule>
    <cfRule type="cellIs" dxfId="4204" priority="5690" stopIfTrue="1" operator="equal">
      <formula>"Pass"</formula>
    </cfRule>
  </conditionalFormatting>
  <conditionalFormatting sqref="C855:I855 A855">
    <cfRule type="cellIs" dxfId="4203" priority="5695" stopIfTrue="1" operator="equal">
      <formula>"Fail"</formula>
    </cfRule>
    <cfRule type="cellIs" dxfId="4202" priority="5696" stopIfTrue="1" operator="equal">
      <formula>"Pass"</formula>
    </cfRule>
  </conditionalFormatting>
  <conditionalFormatting sqref="D855:I855 A855">
    <cfRule type="cellIs" dxfId="4201" priority="5693" stopIfTrue="1" operator="equal">
      <formula>"Fail"</formula>
    </cfRule>
    <cfRule type="cellIs" dxfId="4200" priority="5694" stopIfTrue="1" operator="equal">
      <formula>"Pass"</formula>
    </cfRule>
  </conditionalFormatting>
  <conditionalFormatting sqref="C852:I852 A852">
    <cfRule type="cellIs" dxfId="4199" priority="5687" stopIfTrue="1" operator="equal">
      <formula>"Fail"</formula>
    </cfRule>
    <cfRule type="cellIs" dxfId="4198" priority="5688" stopIfTrue="1" operator="equal">
      <formula>"Pass"</formula>
    </cfRule>
  </conditionalFormatting>
  <conditionalFormatting sqref="D852:I852 A852">
    <cfRule type="cellIs" dxfId="4197" priority="5685" stopIfTrue="1" operator="equal">
      <formula>"Fail"</formula>
    </cfRule>
    <cfRule type="cellIs" dxfId="4196" priority="5686" stopIfTrue="1" operator="equal">
      <formula>"Pass"</formula>
    </cfRule>
  </conditionalFormatting>
  <conditionalFormatting sqref="I852">
    <cfRule type="cellIs" dxfId="4195" priority="5683" stopIfTrue="1" operator="equal">
      <formula>"Fail"</formula>
    </cfRule>
    <cfRule type="cellIs" dxfId="4194" priority="5684" stopIfTrue="1" operator="equal">
      <formula>"Pass"</formula>
    </cfRule>
  </conditionalFormatting>
  <conditionalFormatting sqref="C852">
    <cfRule type="cellIs" dxfId="4193" priority="5681" stopIfTrue="1" operator="equal">
      <formula>"Fail"</formula>
    </cfRule>
    <cfRule type="cellIs" dxfId="4192" priority="5682" stopIfTrue="1" operator="equal">
      <formula>"Pass"</formula>
    </cfRule>
  </conditionalFormatting>
  <conditionalFormatting sqref="C851:I851">
    <cfRule type="cellIs" dxfId="4191" priority="5677" stopIfTrue="1" operator="equal">
      <formula>"Fail"</formula>
    </cfRule>
    <cfRule type="cellIs" dxfId="4190" priority="5678" stopIfTrue="1" operator="equal">
      <formula>"Pass"</formula>
    </cfRule>
  </conditionalFormatting>
  <conditionalFormatting sqref="A851">
    <cfRule type="cellIs" dxfId="4189" priority="5679" stopIfTrue="1" operator="equal">
      <formula>"Fail"</formula>
    </cfRule>
    <cfRule type="cellIs" dxfId="4188" priority="5680" stopIfTrue="1" operator="equal">
      <formula>"Pass"</formula>
    </cfRule>
  </conditionalFormatting>
  <conditionalFormatting sqref="B851">
    <cfRule type="cellIs" dxfId="4187" priority="5675" stopIfTrue="1" operator="equal">
      <formula>"Fail"</formula>
    </cfRule>
    <cfRule type="cellIs" dxfId="4186" priority="5676" stopIfTrue="1" operator="equal">
      <formula>"Pass"</formula>
    </cfRule>
  </conditionalFormatting>
  <conditionalFormatting sqref="A856 D856:I856">
    <cfRule type="cellIs" dxfId="4185" priority="5671" stopIfTrue="1" operator="equal">
      <formula>"Fail"</formula>
    </cfRule>
    <cfRule type="cellIs" dxfId="4184" priority="5672" stopIfTrue="1" operator="equal">
      <formula>"Pass"</formula>
    </cfRule>
  </conditionalFormatting>
  <conditionalFormatting sqref="A856 C856:I856">
    <cfRule type="cellIs" dxfId="4183" priority="5673" stopIfTrue="1" operator="equal">
      <formula>"Fail"</formula>
    </cfRule>
    <cfRule type="cellIs" dxfId="4182" priority="5674" stopIfTrue="1" operator="equal">
      <formula>"Pass"</formula>
    </cfRule>
  </conditionalFormatting>
  <conditionalFormatting sqref="I856">
    <cfRule type="cellIs" dxfId="4181" priority="5669" stopIfTrue="1" operator="equal">
      <formula>"Fail"</formula>
    </cfRule>
    <cfRule type="cellIs" dxfId="4180" priority="5670" stopIfTrue="1" operator="equal">
      <formula>"Pass"</formula>
    </cfRule>
  </conditionalFormatting>
  <conditionalFormatting sqref="C856">
    <cfRule type="cellIs" dxfId="4179" priority="5667" stopIfTrue="1" operator="equal">
      <formula>"Fail"</formula>
    </cfRule>
    <cfRule type="cellIs" dxfId="4178" priority="5668" stopIfTrue="1" operator="equal">
      <formula>"Pass"</formula>
    </cfRule>
  </conditionalFormatting>
  <conditionalFormatting sqref="I857">
    <cfRule type="cellIs" dxfId="4177" priority="5661" stopIfTrue="1" operator="equal">
      <formula>"Fail"</formula>
    </cfRule>
    <cfRule type="cellIs" dxfId="4176" priority="5662" stopIfTrue="1" operator="equal">
      <formula>"Pass"</formula>
    </cfRule>
  </conditionalFormatting>
  <conditionalFormatting sqref="C857">
    <cfRule type="cellIs" dxfId="4175" priority="5659" stopIfTrue="1" operator="equal">
      <formula>"Fail"</formula>
    </cfRule>
    <cfRule type="cellIs" dxfId="4174" priority="5660" stopIfTrue="1" operator="equal">
      <formula>"Pass"</formula>
    </cfRule>
  </conditionalFormatting>
  <conditionalFormatting sqref="A857 C857:D857 F857:I857">
    <cfRule type="cellIs" dxfId="4173" priority="5665" stopIfTrue="1" operator="equal">
      <formula>"Fail"</formula>
    </cfRule>
    <cfRule type="cellIs" dxfId="4172" priority="5666" stopIfTrue="1" operator="equal">
      <formula>"Pass"</formula>
    </cfRule>
  </conditionalFormatting>
  <conditionalFormatting sqref="A857 D857 F857:I857">
    <cfRule type="cellIs" dxfId="4171" priority="5663" stopIfTrue="1" operator="equal">
      <formula>"Fail"</formula>
    </cfRule>
    <cfRule type="cellIs" dxfId="4170" priority="5664" stopIfTrue="1" operator="equal">
      <formula>"Pass"</formula>
    </cfRule>
  </conditionalFormatting>
  <conditionalFormatting sqref="D857:I857 A857">
    <cfRule type="cellIs" dxfId="4169" priority="5637" stopIfTrue="1" operator="equal">
      <formula>"Fail"</formula>
    </cfRule>
    <cfRule type="cellIs" dxfId="4168" priority="5638" stopIfTrue="1" operator="equal">
      <formula>"Pass"</formula>
    </cfRule>
  </conditionalFormatting>
  <conditionalFormatting sqref="C857:I857 A857">
    <cfRule type="cellIs" dxfId="4167" priority="5639" stopIfTrue="1" operator="equal">
      <formula>"Fail"</formula>
    </cfRule>
    <cfRule type="cellIs" dxfId="4166" priority="5640" stopIfTrue="1" operator="equal">
      <formula>"Pass"</formula>
    </cfRule>
  </conditionalFormatting>
  <conditionalFormatting sqref="I857">
    <cfRule type="cellIs" dxfId="4165" priority="5635" stopIfTrue="1" operator="equal">
      <formula>"Fail"</formula>
    </cfRule>
    <cfRule type="cellIs" dxfId="4164" priority="5636" stopIfTrue="1" operator="equal">
      <formula>"Pass"</formula>
    </cfRule>
  </conditionalFormatting>
  <conditionalFormatting sqref="C857">
    <cfRule type="cellIs" dxfId="4163" priority="5633" stopIfTrue="1" operator="equal">
      <formula>"Fail"</formula>
    </cfRule>
    <cfRule type="cellIs" dxfId="4162" priority="5634" stopIfTrue="1" operator="equal">
      <formula>"Pass"</formula>
    </cfRule>
  </conditionalFormatting>
  <conditionalFormatting sqref="A858">
    <cfRule type="cellIs" dxfId="4161" priority="5631" stopIfTrue="1" operator="equal">
      <formula>"Fail"</formula>
    </cfRule>
    <cfRule type="cellIs" dxfId="4160" priority="5632" stopIfTrue="1" operator="equal">
      <formula>"Pass"</formula>
    </cfRule>
  </conditionalFormatting>
  <conditionalFormatting sqref="C858">
    <cfRule type="cellIs" dxfId="4159" priority="5627" stopIfTrue="1" operator="equal">
      <formula>"Fail"</formula>
    </cfRule>
    <cfRule type="cellIs" dxfId="4158" priority="5628" stopIfTrue="1" operator="equal">
      <formula>"Pass"</formula>
    </cfRule>
  </conditionalFormatting>
  <conditionalFormatting sqref="C858">
    <cfRule type="cellIs" dxfId="4157" priority="5621" stopIfTrue="1" operator="equal">
      <formula>"Fail"</formula>
    </cfRule>
    <cfRule type="cellIs" dxfId="4156" priority="5622" stopIfTrue="1" operator="equal">
      <formula>"Pass"</formula>
    </cfRule>
  </conditionalFormatting>
  <conditionalFormatting sqref="A858 C858:D858 F858:H858">
    <cfRule type="cellIs" dxfId="4155" priority="5625" stopIfTrue="1" operator="equal">
      <formula>"Fail"</formula>
    </cfRule>
    <cfRule type="cellIs" dxfId="4154" priority="5626" stopIfTrue="1" operator="equal">
      <formula>"Pass"</formula>
    </cfRule>
  </conditionalFormatting>
  <conditionalFormatting sqref="A858 D858 F858:H858">
    <cfRule type="cellIs" dxfId="4153" priority="5623" stopIfTrue="1" operator="equal">
      <formula>"Fail"</formula>
    </cfRule>
    <cfRule type="cellIs" dxfId="4152" priority="5624" stopIfTrue="1" operator="equal">
      <formula>"Pass"</formula>
    </cfRule>
  </conditionalFormatting>
  <conditionalFormatting sqref="I858">
    <cfRule type="cellIs" dxfId="4151" priority="5615" stopIfTrue="1" operator="equal">
      <formula>"Fail"</formula>
    </cfRule>
    <cfRule type="cellIs" dxfId="4150" priority="5616" stopIfTrue="1" operator="equal">
      <formula>"Pass"</formula>
    </cfRule>
  </conditionalFormatting>
  <conditionalFormatting sqref="I858">
    <cfRule type="cellIs" dxfId="4149" priority="5619" stopIfTrue="1" operator="equal">
      <formula>"Fail"</formula>
    </cfRule>
    <cfRule type="cellIs" dxfId="4148" priority="5620" stopIfTrue="1" operator="equal">
      <formula>"Pass"</formula>
    </cfRule>
  </conditionalFormatting>
  <conditionalFormatting sqref="I858">
    <cfRule type="cellIs" dxfId="4147" priority="5617" stopIfTrue="1" operator="equal">
      <formula>"Fail"</formula>
    </cfRule>
    <cfRule type="cellIs" dxfId="4146" priority="5618" stopIfTrue="1" operator="equal">
      <formula>"Pass"</formula>
    </cfRule>
  </conditionalFormatting>
  <conditionalFormatting sqref="A858 D858:I858">
    <cfRule type="cellIs" dxfId="4145" priority="5611" stopIfTrue="1" operator="equal">
      <formula>"Fail"</formula>
    </cfRule>
    <cfRule type="cellIs" dxfId="4144" priority="5612" stopIfTrue="1" operator="equal">
      <formula>"Pass"</formula>
    </cfRule>
  </conditionalFormatting>
  <conditionalFormatting sqref="A858 C858:I858">
    <cfRule type="cellIs" dxfId="4143" priority="5613" stopIfTrue="1" operator="equal">
      <formula>"Fail"</formula>
    </cfRule>
    <cfRule type="cellIs" dxfId="4142" priority="5614" stopIfTrue="1" operator="equal">
      <formula>"Pass"</formula>
    </cfRule>
  </conditionalFormatting>
  <conditionalFormatting sqref="I858">
    <cfRule type="cellIs" dxfId="4141" priority="5609" stopIfTrue="1" operator="equal">
      <formula>"Fail"</formula>
    </cfRule>
    <cfRule type="cellIs" dxfId="4140" priority="5610" stopIfTrue="1" operator="equal">
      <formula>"Pass"</formula>
    </cfRule>
  </conditionalFormatting>
  <conditionalFormatting sqref="C858">
    <cfRule type="cellIs" dxfId="4139" priority="5607" stopIfTrue="1" operator="equal">
      <formula>"Fail"</formula>
    </cfRule>
    <cfRule type="cellIs" dxfId="4138" priority="5608" stopIfTrue="1" operator="equal">
      <formula>"Pass"</formula>
    </cfRule>
  </conditionalFormatting>
  <conditionalFormatting sqref="A825 C825:I825">
    <cfRule type="cellIs" dxfId="4137" priority="5605" stopIfTrue="1" operator="equal">
      <formula>"Fail"</formula>
    </cfRule>
    <cfRule type="cellIs" dxfId="4136" priority="5606" stopIfTrue="1" operator="equal">
      <formula>"Pass"</formula>
    </cfRule>
  </conditionalFormatting>
  <conditionalFormatting sqref="B825">
    <cfRule type="cellIs" dxfId="4135" priority="5603" stopIfTrue="1" operator="equal">
      <formula>"Fail"</formula>
    </cfRule>
    <cfRule type="cellIs" dxfId="4134" priority="5604" stopIfTrue="1" operator="equal">
      <formula>"Pass"</formula>
    </cfRule>
  </conditionalFormatting>
  <conditionalFormatting sqref="A832 C832:I832">
    <cfRule type="cellIs" dxfId="4133" priority="5601" stopIfTrue="1" operator="equal">
      <formula>"Fail"</formula>
    </cfRule>
    <cfRule type="cellIs" dxfId="4132" priority="5602" stopIfTrue="1" operator="equal">
      <formula>"Pass"</formula>
    </cfRule>
  </conditionalFormatting>
  <conditionalFormatting sqref="B832">
    <cfRule type="cellIs" dxfId="4131" priority="5599" stopIfTrue="1" operator="equal">
      <formula>"Fail"</formula>
    </cfRule>
    <cfRule type="cellIs" dxfId="4130" priority="5600" stopIfTrue="1" operator="equal">
      <formula>"Pass"</formula>
    </cfRule>
  </conditionalFormatting>
  <conditionalFormatting sqref="A859 C859:I859">
    <cfRule type="cellIs" dxfId="4129" priority="5597" stopIfTrue="1" operator="equal">
      <formula>"Fail"</formula>
    </cfRule>
    <cfRule type="cellIs" dxfId="4128" priority="5598" stopIfTrue="1" operator="equal">
      <formula>"Pass"</formula>
    </cfRule>
  </conditionalFormatting>
  <conditionalFormatting sqref="B859">
    <cfRule type="cellIs" dxfId="4127" priority="5595" stopIfTrue="1" operator="equal">
      <formula>"Fail"</formula>
    </cfRule>
    <cfRule type="cellIs" dxfId="4126" priority="5596" stopIfTrue="1" operator="equal">
      <formula>"Pass"</formula>
    </cfRule>
  </conditionalFormatting>
  <conditionalFormatting sqref="I860">
    <cfRule type="cellIs" dxfId="4125" priority="5589" stopIfTrue="1" operator="equal">
      <formula>"Fail"</formula>
    </cfRule>
    <cfRule type="cellIs" dxfId="4124" priority="5590" stopIfTrue="1" operator="equal">
      <formula>"Pass"</formula>
    </cfRule>
  </conditionalFormatting>
  <conditionalFormatting sqref="F860:I860">
    <cfRule type="cellIs" dxfId="4123" priority="5593" stopIfTrue="1" operator="equal">
      <formula>"Fail"</formula>
    </cfRule>
    <cfRule type="cellIs" dxfId="4122" priority="5594" stopIfTrue="1" operator="equal">
      <formula>"Pass"</formula>
    </cfRule>
  </conditionalFormatting>
  <conditionalFormatting sqref="F860:I860">
    <cfRule type="cellIs" dxfId="4121" priority="5591" stopIfTrue="1" operator="equal">
      <formula>"Fail"</formula>
    </cfRule>
    <cfRule type="cellIs" dxfId="4120" priority="5592" stopIfTrue="1" operator="equal">
      <formula>"Pass"</formula>
    </cfRule>
  </conditionalFormatting>
  <conditionalFormatting sqref="A860">
    <cfRule type="cellIs" dxfId="4119" priority="5587" stopIfTrue="1" operator="equal">
      <formula>"Fail"</formula>
    </cfRule>
    <cfRule type="cellIs" dxfId="4118" priority="5588" stopIfTrue="1" operator="equal">
      <formula>"Pass"</formula>
    </cfRule>
  </conditionalFormatting>
  <conditionalFormatting sqref="C860">
    <cfRule type="cellIs" dxfId="4117" priority="5585" stopIfTrue="1" operator="equal">
      <formula>"Fail"</formula>
    </cfRule>
    <cfRule type="cellIs" dxfId="4116" priority="5586" stopIfTrue="1" operator="equal">
      <formula>"Pass"</formula>
    </cfRule>
  </conditionalFormatting>
  <conditionalFormatting sqref="C860">
    <cfRule type="cellIs" dxfId="4115" priority="5579" stopIfTrue="1" operator="equal">
      <formula>"Fail"</formula>
    </cfRule>
    <cfRule type="cellIs" dxfId="4114" priority="5580" stopIfTrue="1" operator="equal">
      <formula>"Pass"</formula>
    </cfRule>
  </conditionalFormatting>
  <conditionalFormatting sqref="C860:D860 F860:H860 A860">
    <cfRule type="cellIs" dxfId="4113" priority="5583" stopIfTrue="1" operator="equal">
      <formula>"Fail"</formula>
    </cfRule>
    <cfRule type="cellIs" dxfId="4112" priority="5584" stopIfTrue="1" operator="equal">
      <formula>"Pass"</formula>
    </cfRule>
  </conditionalFormatting>
  <conditionalFormatting sqref="D860 F860:H860 A860">
    <cfRule type="cellIs" dxfId="4111" priority="5581" stopIfTrue="1" operator="equal">
      <formula>"Fail"</formula>
    </cfRule>
    <cfRule type="cellIs" dxfId="4110" priority="5582" stopIfTrue="1" operator="equal">
      <formula>"Pass"</formula>
    </cfRule>
  </conditionalFormatting>
  <conditionalFormatting sqref="I860">
    <cfRule type="cellIs" dxfId="4109" priority="5573" stopIfTrue="1" operator="equal">
      <formula>"Fail"</formula>
    </cfRule>
    <cfRule type="cellIs" dxfId="4108" priority="5574" stopIfTrue="1" operator="equal">
      <formula>"Pass"</formula>
    </cfRule>
  </conditionalFormatting>
  <conditionalFormatting sqref="I860">
    <cfRule type="cellIs" dxfId="4107" priority="5577" stopIfTrue="1" operator="equal">
      <formula>"Fail"</formula>
    </cfRule>
    <cfRule type="cellIs" dxfId="4106" priority="5578" stopIfTrue="1" operator="equal">
      <formula>"Pass"</formula>
    </cfRule>
  </conditionalFormatting>
  <conditionalFormatting sqref="I860">
    <cfRule type="cellIs" dxfId="4105" priority="5575" stopIfTrue="1" operator="equal">
      <formula>"Fail"</formula>
    </cfRule>
    <cfRule type="cellIs" dxfId="4104" priority="5576" stopIfTrue="1" operator="equal">
      <formula>"Pass"</formula>
    </cfRule>
  </conditionalFormatting>
  <conditionalFormatting sqref="D860 A860 F860:I860">
    <cfRule type="cellIs" dxfId="4103" priority="5569" stopIfTrue="1" operator="equal">
      <formula>"Fail"</formula>
    </cfRule>
    <cfRule type="cellIs" dxfId="4102" priority="5570" stopIfTrue="1" operator="equal">
      <formula>"Pass"</formula>
    </cfRule>
  </conditionalFormatting>
  <conditionalFormatting sqref="C860:D860 A860 F860:I860">
    <cfRule type="cellIs" dxfId="4101" priority="5571" stopIfTrue="1" operator="equal">
      <formula>"Fail"</formula>
    </cfRule>
    <cfRule type="cellIs" dxfId="4100" priority="5572" stopIfTrue="1" operator="equal">
      <formula>"Pass"</formula>
    </cfRule>
  </conditionalFormatting>
  <conditionalFormatting sqref="I860">
    <cfRule type="cellIs" dxfId="4099" priority="5567" stopIfTrue="1" operator="equal">
      <formula>"Fail"</formula>
    </cfRule>
    <cfRule type="cellIs" dxfId="4098" priority="5568" stopIfTrue="1" operator="equal">
      <formula>"Pass"</formula>
    </cfRule>
  </conditionalFormatting>
  <conditionalFormatting sqref="C860">
    <cfRule type="cellIs" dxfId="4097" priority="5565" stopIfTrue="1" operator="equal">
      <formula>"Fail"</formula>
    </cfRule>
    <cfRule type="cellIs" dxfId="4096" priority="5566" stopIfTrue="1" operator="equal">
      <formula>"Pass"</formula>
    </cfRule>
  </conditionalFormatting>
  <conditionalFormatting sqref="A861">
    <cfRule type="cellIs" dxfId="4095" priority="5561" stopIfTrue="1" operator="equal">
      <formula>"Fail"</formula>
    </cfRule>
    <cfRule type="cellIs" dxfId="4094" priority="5562" stopIfTrue="1" operator="equal">
      <formula>"Pass"</formula>
    </cfRule>
  </conditionalFormatting>
  <conditionalFormatting sqref="C861">
    <cfRule type="cellIs" dxfId="4093" priority="5559" stopIfTrue="1" operator="equal">
      <formula>"Fail"</formula>
    </cfRule>
    <cfRule type="cellIs" dxfId="4092" priority="5560" stopIfTrue="1" operator="equal">
      <formula>"Pass"</formula>
    </cfRule>
  </conditionalFormatting>
  <conditionalFormatting sqref="C861">
    <cfRule type="cellIs" dxfId="4091" priority="5553" stopIfTrue="1" operator="equal">
      <formula>"Fail"</formula>
    </cfRule>
    <cfRule type="cellIs" dxfId="4090" priority="5554" stopIfTrue="1" operator="equal">
      <formula>"Pass"</formula>
    </cfRule>
  </conditionalFormatting>
  <conditionalFormatting sqref="C861:D861 A861">
    <cfRule type="cellIs" dxfId="4089" priority="5557" stopIfTrue="1" operator="equal">
      <formula>"Fail"</formula>
    </cfRule>
    <cfRule type="cellIs" dxfId="4088" priority="5558" stopIfTrue="1" operator="equal">
      <formula>"Pass"</formula>
    </cfRule>
  </conditionalFormatting>
  <conditionalFormatting sqref="D861 A861">
    <cfRule type="cellIs" dxfId="4087" priority="5555" stopIfTrue="1" operator="equal">
      <formula>"Fail"</formula>
    </cfRule>
    <cfRule type="cellIs" dxfId="4086" priority="5556" stopIfTrue="1" operator="equal">
      <formula>"Pass"</formula>
    </cfRule>
  </conditionalFormatting>
  <conditionalFormatting sqref="D861 A861">
    <cfRule type="cellIs" dxfId="4085" priority="5549" stopIfTrue="1" operator="equal">
      <formula>"Fail"</formula>
    </cfRule>
    <cfRule type="cellIs" dxfId="4084" priority="5550" stopIfTrue="1" operator="equal">
      <formula>"Pass"</formula>
    </cfRule>
  </conditionalFormatting>
  <conditionalFormatting sqref="C861:D861 A861">
    <cfRule type="cellIs" dxfId="4083" priority="5551" stopIfTrue="1" operator="equal">
      <formula>"Fail"</formula>
    </cfRule>
    <cfRule type="cellIs" dxfId="4082" priority="5552" stopIfTrue="1" operator="equal">
      <formula>"Pass"</formula>
    </cfRule>
  </conditionalFormatting>
  <conditionalFormatting sqref="C861">
    <cfRule type="cellIs" dxfId="4081" priority="5547" stopIfTrue="1" operator="equal">
      <formula>"Fail"</formula>
    </cfRule>
    <cfRule type="cellIs" dxfId="4080" priority="5548" stopIfTrue="1" operator="equal">
      <formula>"Pass"</formula>
    </cfRule>
  </conditionalFormatting>
  <conditionalFormatting sqref="B861">
    <cfRule type="cellIs" dxfId="4079" priority="5545" stopIfTrue="1" operator="equal">
      <formula>"Fail"</formula>
    </cfRule>
    <cfRule type="cellIs" dxfId="4078" priority="5546" stopIfTrue="1" operator="equal">
      <formula>"Pass"</formula>
    </cfRule>
  </conditionalFormatting>
  <conditionalFormatting sqref="I861">
    <cfRule type="cellIs" dxfId="4077" priority="5539" stopIfTrue="1" operator="equal">
      <formula>"Fail"</formula>
    </cfRule>
    <cfRule type="cellIs" dxfId="4076" priority="5540" stopIfTrue="1" operator="equal">
      <formula>"Pass"</formula>
    </cfRule>
  </conditionalFormatting>
  <conditionalFormatting sqref="I861">
    <cfRule type="cellIs" dxfId="4075" priority="5543" stopIfTrue="1" operator="equal">
      <formula>"Fail"</formula>
    </cfRule>
    <cfRule type="cellIs" dxfId="4074" priority="5544" stopIfTrue="1" operator="equal">
      <formula>"Pass"</formula>
    </cfRule>
  </conditionalFormatting>
  <conditionalFormatting sqref="I861">
    <cfRule type="cellIs" dxfId="4073" priority="5541" stopIfTrue="1" operator="equal">
      <formula>"Fail"</formula>
    </cfRule>
    <cfRule type="cellIs" dxfId="4072" priority="5542" stopIfTrue="1" operator="equal">
      <formula>"Pass"</formula>
    </cfRule>
  </conditionalFormatting>
  <conditionalFormatting sqref="A862 C862:I862">
    <cfRule type="cellIs" dxfId="4071" priority="5537" stopIfTrue="1" operator="equal">
      <formula>"Fail"</formula>
    </cfRule>
    <cfRule type="cellIs" dxfId="4070" priority="5538" stopIfTrue="1" operator="equal">
      <formula>"Pass"</formula>
    </cfRule>
  </conditionalFormatting>
  <conditionalFormatting sqref="B862">
    <cfRule type="cellIs" dxfId="4069" priority="5535" stopIfTrue="1" operator="equal">
      <formula>"Fail"</formula>
    </cfRule>
    <cfRule type="cellIs" dxfId="4068" priority="5536" stopIfTrue="1" operator="equal">
      <formula>"Pass"</formula>
    </cfRule>
  </conditionalFormatting>
  <conditionalFormatting sqref="C863:I863">
    <cfRule type="cellIs" dxfId="4067" priority="5531" stopIfTrue="1" operator="equal">
      <formula>"Fail"</formula>
    </cfRule>
    <cfRule type="cellIs" dxfId="4066" priority="5532" stopIfTrue="1" operator="equal">
      <formula>"Pass"</formula>
    </cfRule>
  </conditionalFormatting>
  <conditionalFormatting sqref="A863">
    <cfRule type="cellIs" dxfId="4065" priority="5533" stopIfTrue="1" operator="equal">
      <formula>"Fail"</formula>
    </cfRule>
    <cfRule type="cellIs" dxfId="4064" priority="5534" stopIfTrue="1" operator="equal">
      <formula>"Pass"</formula>
    </cfRule>
  </conditionalFormatting>
  <conditionalFormatting sqref="B863">
    <cfRule type="cellIs" dxfId="4063" priority="5529" stopIfTrue="1" operator="equal">
      <formula>"Fail"</formula>
    </cfRule>
    <cfRule type="cellIs" dxfId="4062" priority="5530" stopIfTrue="1" operator="equal">
      <formula>"Pass"</formula>
    </cfRule>
  </conditionalFormatting>
  <conditionalFormatting sqref="A868 C868:I868">
    <cfRule type="cellIs" dxfId="4061" priority="5527" stopIfTrue="1" operator="equal">
      <formula>"Fail"</formula>
    </cfRule>
    <cfRule type="cellIs" dxfId="4060" priority="5528" stopIfTrue="1" operator="equal">
      <formula>"Pass"</formula>
    </cfRule>
  </conditionalFormatting>
  <conditionalFormatting sqref="C869:I869">
    <cfRule type="cellIs" dxfId="4059" priority="5523" stopIfTrue="1" operator="equal">
      <formula>"Fail"</formula>
    </cfRule>
    <cfRule type="cellIs" dxfId="4058" priority="5524" stopIfTrue="1" operator="equal">
      <formula>"Pass"</formula>
    </cfRule>
  </conditionalFormatting>
  <conditionalFormatting sqref="A869">
    <cfRule type="cellIs" dxfId="4057" priority="5525" stopIfTrue="1" operator="equal">
      <formula>"Fail"</formula>
    </cfRule>
    <cfRule type="cellIs" dxfId="4056" priority="5526" stopIfTrue="1" operator="equal">
      <formula>"Pass"</formula>
    </cfRule>
  </conditionalFormatting>
  <conditionalFormatting sqref="B869">
    <cfRule type="cellIs" dxfId="4055" priority="5521" stopIfTrue="1" operator="equal">
      <formula>"Fail"</formula>
    </cfRule>
    <cfRule type="cellIs" dxfId="4054" priority="5522" stopIfTrue="1" operator="equal">
      <formula>"Pass"</formula>
    </cfRule>
  </conditionalFormatting>
  <conditionalFormatting sqref="C870:I870">
    <cfRule type="cellIs" dxfId="4053" priority="5517" stopIfTrue="1" operator="equal">
      <formula>"Fail"</formula>
    </cfRule>
    <cfRule type="cellIs" dxfId="4052" priority="5518" stopIfTrue="1" operator="equal">
      <formula>"Pass"</formula>
    </cfRule>
  </conditionalFormatting>
  <conditionalFormatting sqref="A870">
    <cfRule type="cellIs" dxfId="4051" priority="5519" stopIfTrue="1" operator="equal">
      <formula>"Fail"</formula>
    </cfRule>
    <cfRule type="cellIs" dxfId="4050" priority="5520" stopIfTrue="1" operator="equal">
      <formula>"Pass"</formula>
    </cfRule>
  </conditionalFormatting>
  <conditionalFormatting sqref="B870">
    <cfRule type="cellIs" dxfId="4049" priority="5515" stopIfTrue="1" operator="equal">
      <formula>"Fail"</formula>
    </cfRule>
    <cfRule type="cellIs" dxfId="4048" priority="5516" stopIfTrue="1" operator="equal">
      <formula>"Pass"</formula>
    </cfRule>
  </conditionalFormatting>
  <conditionalFormatting sqref="I872">
    <cfRule type="cellIs" dxfId="4047" priority="5509" stopIfTrue="1" operator="equal">
      <formula>"Fail"</formula>
    </cfRule>
    <cfRule type="cellIs" dxfId="4046" priority="5510" stopIfTrue="1" operator="equal">
      <formula>"Pass"</formula>
    </cfRule>
  </conditionalFormatting>
  <conditionalFormatting sqref="C872">
    <cfRule type="cellIs" dxfId="4045" priority="5507" stopIfTrue="1" operator="equal">
      <formula>"Fail"</formula>
    </cfRule>
    <cfRule type="cellIs" dxfId="4044" priority="5508" stopIfTrue="1" operator="equal">
      <formula>"Pass"</formula>
    </cfRule>
  </conditionalFormatting>
  <conditionalFormatting sqref="C872:I872 A872">
    <cfRule type="cellIs" dxfId="4043" priority="5513" stopIfTrue="1" operator="equal">
      <formula>"Fail"</formula>
    </cfRule>
    <cfRule type="cellIs" dxfId="4042" priority="5514" stopIfTrue="1" operator="equal">
      <formula>"Pass"</formula>
    </cfRule>
  </conditionalFormatting>
  <conditionalFormatting sqref="D872:I872 A872">
    <cfRule type="cellIs" dxfId="4041" priority="5511" stopIfTrue="1" operator="equal">
      <formula>"Fail"</formula>
    </cfRule>
    <cfRule type="cellIs" dxfId="4040" priority="5512" stopIfTrue="1" operator="equal">
      <formula>"Pass"</formula>
    </cfRule>
  </conditionalFormatting>
  <conditionalFormatting sqref="C873:I873 A873">
    <cfRule type="cellIs" dxfId="4039" priority="5505" stopIfTrue="1" operator="equal">
      <formula>"Fail"</formula>
    </cfRule>
    <cfRule type="cellIs" dxfId="4038" priority="5506" stopIfTrue="1" operator="equal">
      <formula>"Pass"</formula>
    </cfRule>
  </conditionalFormatting>
  <conditionalFormatting sqref="D873:I873 A873">
    <cfRule type="cellIs" dxfId="4037" priority="5503" stopIfTrue="1" operator="equal">
      <formula>"Fail"</formula>
    </cfRule>
    <cfRule type="cellIs" dxfId="4036" priority="5504" stopIfTrue="1" operator="equal">
      <formula>"Pass"</formula>
    </cfRule>
  </conditionalFormatting>
  <conditionalFormatting sqref="I873">
    <cfRule type="cellIs" dxfId="4035" priority="5501" stopIfTrue="1" operator="equal">
      <formula>"Fail"</formula>
    </cfRule>
    <cfRule type="cellIs" dxfId="4034" priority="5502" stopIfTrue="1" operator="equal">
      <formula>"Pass"</formula>
    </cfRule>
  </conditionalFormatting>
  <conditionalFormatting sqref="C873">
    <cfRule type="cellIs" dxfId="4033" priority="5499" stopIfTrue="1" operator="equal">
      <formula>"Fail"</formula>
    </cfRule>
    <cfRule type="cellIs" dxfId="4032" priority="5500" stopIfTrue="1" operator="equal">
      <formula>"Pass"</formula>
    </cfRule>
  </conditionalFormatting>
  <conditionalFormatting sqref="I874">
    <cfRule type="cellIs" dxfId="4031" priority="5493" stopIfTrue="1" operator="equal">
      <formula>"Fail"</formula>
    </cfRule>
    <cfRule type="cellIs" dxfId="4030" priority="5494" stopIfTrue="1" operator="equal">
      <formula>"Pass"</formula>
    </cfRule>
  </conditionalFormatting>
  <conditionalFormatting sqref="C874">
    <cfRule type="cellIs" dxfId="4029" priority="5491" stopIfTrue="1" operator="equal">
      <formula>"Fail"</formula>
    </cfRule>
    <cfRule type="cellIs" dxfId="4028" priority="5492" stopIfTrue="1" operator="equal">
      <formula>"Pass"</formula>
    </cfRule>
  </conditionalFormatting>
  <conditionalFormatting sqref="C874:I874 A874">
    <cfRule type="cellIs" dxfId="4027" priority="5497" stopIfTrue="1" operator="equal">
      <formula>"Fail"</formula>
    </cfRule>
    <cfRule type="cellIs" dxfId="4026" priority="5498" stopIfTrue="1" operator="equal">
      <formula>"Pass"</formula>
    </cfRule>
  </conditionalFormatting>
  <conditionalFormatting sqref="D874:I874 A874">
    <cfRule type="cellIs" dxfId="4025" priority="5495" stopIfTrue="1" operator="equal">
      <formula>"Fail"</formula>
    </cfRule>
    <cfRule type="cellIs" dxfId="4024" priority="5496" stopIfTrue="1" operator="equal">
      <formula>"Pass"</formula>
    </cfRule>
  </conditionalFormatting>
  <conditionalFormatting sqref="C871:I871 A871">
    <cfRule type="cellIs" dxfId="4023" priority="5489" stopIfTrue="1" operator="equal">
      <formula>"Fail"</formula>
    </cfRule>
    <cfRule type="cellIs" dxfId="4022" priority="5490" stopIfTrue="1" operator="equal">
      <formula>"Pass"</formula>
    </cfRule>
  </conditionalFormatting>
  <conditionalFormatting sqref="D871:I871 A871">
    <cfRule type="cellIs" dxfId="4021" priority="5487" stopIfTrue="1" operator="equal">
      <formula>"Fail"</formula>
    </cfRule>
    <cfRule type="cellIs" dxfId="4020" priority="5488" stopIfTrue="1" operator="equal">
      <formula>"Pass"</formula>
    </cfRule>
  </conditionalFormatting>
  <conditionalFormatting sqref="I871">
    <cfRule type="cellIs" dxfId="4019" priority="5485" stopIfTrue="1" operator="equal">
      <formula>"Fail"</formula>
    </cfRule>
    <cfRule type="cellIs" dxfId="4018" priority="5486" stopIfTrue="1" operator="equal">
      <formula>"Pass"</formula>
    </cfRule>
  </conditionalFormatting>
  <conditionalFormatting sqref="C871">
    <cfRule type="cellIs" dxfId="4017" priority="5483" stopIfTrue="1" operator="equal">
      <formula>"Fail"</formula>
    </cfRule>
    <cfRule type="cellIs" dxfId="4016" priority="5484" stopIfTrue="1" operator="equal">
      <formula>"Pass"</formula>
    </cfRule>
  </conditionalFormatting>
  <conditionalFormatting sqref="A875 D875:I875">
    <cfRule type="cellIs" dxfId="4015" priority="5479" stopIfTrue="1" operator="equal">
      <formula>"Fail"</formula>
    </cfRule>
    <cfRule type="cellIs" dxfId="4014" priority="5480" stopIfTrue="1" operator="equal">
      <formula>"Pass"</formula>
    </cfRule>
  </conditionalFormatting>
  <conditionalFormatting sqref="A875 C875:I875">
    <cfRule type="cellIs" dxfId="4013" priority="5481" stopIfTrue="1" operator="equal">
      <formula>"Fail"</formula>
    </cfRule>
    <cfRule type="cellIs" dxfId="4012" priority="5482" stopIfTrue="1" operator="equal">
      <formula>"Pass"</formula>
    </cfRule>
  </conditionalFormatting>
  <conditionalFormatting sqref="I875">
    <cfRule type="cellIs" dxfId="4011" priority="5477" stopIfTrue="1" operator="equal">
      <formula>"Fail"</formula>
    </cfRule>
    <cfRule type="cellIs" dxfId="4010" priority="5478" stopIfTrue="1" operator="equal">
      <formula>"Pass"</formula>
    </cfRule>
  </conditionalFormatting>
  <conditionalFormatting sqref="C875">
    <cfRule type="cellIs" dxfId="4009" priority="5475" stopIfTrue="1" operator="equal">
      <formula>"Fail"</formula>
    </cfRule>
    <cfRule type="cellIs" dxfId="4008" priority="5476" stopIfTrue="1" operator="equal">
      <formula>"Pass"</formula>
    </cfRule>
  </conditionalFormatting>
  <conditionalFormatting sqref="A877">
    <cfRule type="cellIs" dxfId="4007" priority="5473" stopIfTrue="1" operator="equal">
      <formula>"Fail"</formula>
    </cfRule>
    <cfRule type="cellIs" dxfId="4006" priority="5474" stopIfTrue="1" operator="equal">
      <formula>"Pass"</formula>
    </cfRule>
  </conditionalFormatting>
  <conditionalFormatting sqref="C877">
    <cfRule type="cellIs" dxfId="4005" priority="5469" stopIfTrue="1" operator="equal">
      <formula>"Fail"</formula>
    </cfRule>
    <cfRule type="cellIs" dxfId="4004" priority="5470" stopIfTrue="1" operator="equal">
      <formula>"Pass"</formula>
    </cfRule>
  </conditionalFormatting>
  <conditionalFormatting sqref="C877">
    <cfRule type="cellIs" dxfId="4003" priority="5463" stopIfTrue="1" operator="equal">
      <formula>"Fail"</formula>
    </cfRule>
    <cfRule type="cellIs" dxfId="4002" priority="5464" stopIfTrue="1" operator="equal">
      <formula>"Pass"</formula>
    </cfRule>
  </conditionalFormatting>
  <conditionalFormatting sqref="A877 C877:D877">
    <cfRule type="cellIs" dxfId="4001" priority="5467" stopIfTrue="1" operator="equal">
      <formula>"Fail"</formula>
    </cfRule>
    <cfRule type="cellIs" dxfId="4000" priority="5468" stopIfTrue="1" operator="equal">
      <formula>"Pass"</formula>
    </cfRule>
  </conditionalFormatting>
  <conditionalFormatting sqref="A877 D877">
    <cfRule type="cellIs" dxfId="3999" priority="5465" stopIfTrue="1" operator="equal">
      <formula>"Fail"</formula>
    </cfRule>
    <cfRule type="cellIs" dxfId="3998" priority="5466" stopIfTrue="1" operator="equal">
      <formula>"Pass"</formula>
    </cfRule>
  </conditionalFormatting>
  <conditionalFormatting sqref="I876:I877">
    <cfRule type="cellIs" dxfId="3997" priority="5451" stopIfTrue="1" operator="equal">
      <formula>"Fail"</formula>
    </cfRule>
    <cfRule type="cellIs" dxfId="3996" priority="5452" stopIfTrue="1" operator="equal">
      <formula>"Pass"</formula>
    </cfRule>
  </conditionalFormatting>
  <conditionalFormatting sqref="C876">
    <cfRule type="cellIs" dxfId="3995" priority="5449" stopIfTrue="1" operator="equal">
      <formula>"Fail"</formula>
    </cfRule>
    <cfRule type="cellIs" dxfId="3994" priority="5450" stopIfTrue="1" operator="equal">
      <formula>"Pass"</formula>
    </cfRule>
  </conditionalFormatting>
  <conditionalFormatting sqref="C876:D876 A876 F876:I877">
    <cfRule type="cellIs" dxfId="3993" priority="5455" stopIfTrue="1" operator="equal">
      <formula>"Fail"</formula>
    </cfRule>
    <cfRule type="cellIs" dxfId="3992" priority="5456" stopIfTrue="1" operator="equal">
      <formula>"Pass"</formula>
    </cfRule>
  </conditionalFormatting>
  <conditionalFormatting sqref="D876 A876 F876:I877">
    <cfRule type="cellIs" dxfId="3991" priority="5453" stopIfTrue="1" operator="equal">
      <formula>"Fail"</formula>
    </cfRule>
    <cfRule type="cellIs" dxfId="3990" priority="5454" stopIfTrue="1" operator="equal">
      <formula>"Pass"</formula>
    </cfRule>
  </conditionalFormatting>
  <conditionalFormatting sqref="E876">
    <cfRule type="cellIs" dxfId="3989" priority="5447" stopIfTrue="1" operator="equal">
      <formula>"Fail"</formula>
    </cfRule>
    <cfRule type="cellIs" dxfId="3988" priority="5448" stopIfTrue="1" operator="equal">
      <formula>"Pass"</formula>
    </cfRule>
  </conditionalFormatting>
  <conditionalFormatting sqref="C878:I878 A878">
    <cfRule type="cellIs" dxfId="3987" priority="5429" stopIfTrue="1" operator="equal">
      <formula>"Fail"</formula>
    </cfRule>
    <cfRule type="cellIs" dxfId="3986" priority="5430" stopIfTrue="1" operator="equal">
      <formula>"Pass"</formula>
    </cfRule>
  </conditionalFormatting>
  <conditionalFormatting sqref="D878:I878 A878">
    <cfRule type="cellIs" dxfId="3985" priority="5427" stopIfTrue="1" operator="equal">
      <formula>"Fail"</formula>
    </cfRule>
    <cfRule type="cellIs" dxfId="3984" priority="5428" stopIfTrue="1" operator="equal">
      <formula>"Pass"</formula>
    </cfRule>
  </conditionalFormatting>
  <conditionalFormatting sqref="I878">
    <cfRule type="cellIs" dxfId="3983" priority="5425" stopIfTrue="1" operator="equal">
      <formula>"Fail"</formula>
    </cfRule>
    <cfRule type="cellIs" dxfId="3982" priority="5426" stopIfTrue="1" operator="equal">
      <formula>"Pass"</formula>
    </cfRule>
  </conditionalFormatting>
  <conditionalFormatting sqref="C878">
    <cfRule type="cellIs" dxfId="3981" priority="5423" stopIfTrue="1" operator="equal">
      <formula>"Fail"</formula>
    </cfRule>
    <cfRule type="cellIs" dxfId="3980" priority="5424" stopIfTrue="1" operator="equal">
      <formula>"Pass"</formula>
    </cfRule>
  </conditionalFormatting>
  <conditionalFormatting sqref="A883">
    <cfRule type="cellIs" dxfId="3979" priority="5389" stopIfTrue="1" operator="equal">
      <formula>"Fail"</formula>
    </cfRule>
    <cfRule type="cellIs" dxfId="3978" priority="5390" stopIfTrue="1" operator="equal">
      <formula>"Pass"</formula>
    </cfRule>
  </conditionalFormatting>
  <conditionalFormatting sqref="C883">
    <cfRule type="cellIs" dxfId="3977" priority="5385" stopIfTrue="1" operator="equal">
      <formula>"Fail"</formula>
    </cfRule>
    <cfRule type="cellIs" dxfId="3976" priority="5386" stopIfTrue="1" operator="equal">
      <formula>"Pass"</formula>
    </cfRule>
  </conditionalFormatting>
  <conditionalFormatting sqref="C883">
    <cfRule type="cellIs" dxfId="3975" priority="5379" stopIfTrue="1" operator="equal">
      <formula>"Fail"</formula>
    </cfRule>
    <cfRule type="cellIs" dxfId="3974" priority="5380" stopIfTrue="1" operator="equal">
      <formula>"Pass"</formula>
    </cfRule>
  </conditionalFormatting>
  <conditionalFormatting sqref="A883 C883:D883">
    <cfRule type="cellIs" dxfId="3973" priority="5383" stopIfTrue="1" operator="equal">
      <formula>"Fail"</formula>
    </cfRule>
    <cfRule type="cellIs" dxfId="3972" priority="5384" stopIfTrue="1" operator="equal">
      <formula>"Pass"</formula>
    </cfRule>
  </conditionalFormatting>
  <conditionalFormatting sqref="A883 D883">
    <cfRule type="cellIs" dxfId="3971" priority="5381" stopIfTrue="1" operator="equal">
      <formula>"Fail"</formula>
    </cfRule>
    <cfRule type="cellIs" dxfId="3970" priority="5382" stopIfTrue="1" operator="equal">
      <formula>"Pass"</formula>
    </cfRule>
  </conditionalFormatting>
  <conditionalFormatting sqref="I882:I883">
    <cfRule type="cellIs" dxfId="3969" priority="5373" stopIfTrue="1" operator="equal">
      <formula>"Fail"</formula>
    </cfRule>
    <cfRule type="cellIs" dxfId="3968" priority="5374" stopIfTrue="1" operator="equal">
      <formula>"Pass"</formula>
    </cfRule>
  </conditionalFormatting>
  <conditionalFormatting sqref="C882">
    <cfRule type="cellIs" dxfId="3967" priority="5371" stopIfTrue="1" operator="equal">
      <formula>"Fail"</formula>
    </cfRule>
    <cfRule type="cellIs" dxfId="3966" priority="5372" stopIfTrue="1" operator="equal">
      <formula>"Pass"</formula>
    </cfRule>
  </conditionalFormatting>
  <conditionalFormatting sqref="C882:D882 A882 F882:I883">
    <cfRule type="cellIs" dxfId="3965" priority="5377" stopIfTrue="1" operator="equal">
      <formula>"Fail"</formula>
    </cfRule>
    <cfRule type="cellIs" dxfId="3964" priority="5378" stopIfTrue="1" operator="equal">
      <formula>"Pass"</formula>
    </cfRule>
  </conditionalFormatting>
  <conditionalFormatting sqref="D882 A882 F882:I883">
    <cfRule type="cellIs" dxfId="3963" priority="5375" stopIfTrue="1" operator="equal">
      <formula>"Fail"</formula>
    </cfRule>
    <cfRule type="cellIs" dxfId="3962" priority="5376" stopIfTrue="1" operator="equal">
      <formula>"Pass"</formula>
    </cfRule>
  </conditionalFormatting>
  <conditionalFormatting sqref="E882">
    <cfRule type="cellIs" dxfId="3961" priority="5369" stopIfTrue="1" operator="equal">
      <formula>"Fail"</formula>
    </cfRule>
    <cfRule type="cellIs" dxfId="3960" priority="5370" stopIfTrue="1" operator="equal">
      <formula>"Pass"</formula>
    </cfRule>
  </conditionalFormatting>
  <conditionalFormatting sqref="A884">
    <cfRule type="cellIs" dxfId="3959" priority="5335" stopIfTrue="1" operator="equal">
      <formula>"Fail"</formula>
    </cfRule>
    <cfRule type="cellIs" dxfId="3958" priority="5336" stopIfTrue="1" operator="equal">
      <formula>"Pass"</formula>
    </cfRule>
  </conditionalFormatting>
  <conditionalFormatting sqref="C884">
    <cfRule type="cellIs" dxfId="3957" priority="5333" stopIfTrue="1" operator="equal">
      <formula>"Fail"</formula>
    </cfRule>
    <cfRule type="cellIs" dxfId="3956" priority="5334" stopIfTrue="1" operator="equal">
      <formula>"Pass"</formula>
    </cfRule>
  </conditionalFormatting>
  <conditionalFormatting sqref="C884">
    <cfRule type="cellIs" dxfId="3955" priority="5327" stopIfTrue="1" operator="equal">
      <formula>"Fail"</formula>
    </cfRule>
    <cfRule type="cellIs" dxfId="3954" priority="5328" stopIfTrue="1" operator="equal">
      <formula>"Pass"</formula>
    </cfRule>
  </conditionalFormatting>
  <conditionalFormatting sqref="C884:D884 A884">
    <cfRule type="cellIs" dxfId="3953" priority="5331" stopIfTrue="1" operator="equal">
      <formula>"Fail"</formula>
    </cfRule>
    <cfRule type="cellIs" dxfId="3952" priority="5332" stopIfTrue="1" operator="equal">
      <formula>"Pass"</formula>
    </cfRule>
  </conditionalFormatting>
  <conditionalFormatting sqref="D884 A884">
    <cfRule type="cellIs" dxfId="3951" priority="5329" stopIfTrue="1" operator="equal">
      <formula>"Fail"</formula>
    </cfRule>
    <cfRule type="cellIs" dxfId="3950" priority="5330" stopIfTrue="1" operator="equal">
      <formula>"Pass"</formula>
    </cfRule>
  </conditionalFormatting>
  <conditionalFormatting sqref="D884 A884">
    <cfRule type="cellIs" dxfId="3949" priority="5323" stopIfTrue="1" operator="equal">
      <formula>"Fail"</formula>
    </cfRule>
    <cfRule type="cellIs" dxfId="3948" priority="5324" stopIfTrue="1" operator="equal">
      <formula>"Pass"</formula>
    </cfRule>
  </conditionalFormatting>
  <conditionalFormatting sqref="C884:D884 A884">
    <cfRule type="cellIs" dxfId="3947" priority="5325" stopIfTrue="1" operator="equal">
      <formula>"Fail"</formula>
    </cfRule>
    <cfRule type="cellIs" dxfId="3946" priority="5326" stopIfTrue="1" operator="equal">
      <formula>"Pass"</formula>
    </cfRule>
  </conditionalFormatting>
  <conditionalFormatting sqref="C884">
    <cfRule type="cellIs" dxfId="3945" priority="5321" stopIfTrue="1" operator="equal">
      <formula>"Fail"</formula>
    </cfRule>
    <cfRule type="cellIs" dxfId="3944" priority="5322" stopIfTrue="1" operator="equal">
      <formula>"Pass"</formula>
    </cfRule>
  </conditionalFormatting>
  <conditionalFormatting sqref="B884">
    <cfRule type="cellIs" dxfId="3943" priority="5319" stopIfTrue="1" operator="equal">
      <formula>"Fail"</formula>
    </cfRule>
    <cfRule type="cellIs" dxfId="3942" priority="5320" stopIfTrue="1" operator="equal">
      <formula>"Pass"</formula>
    </cfRule>
  </conditionalFormatting>
  <conditionalFormatting sqref="I884">
    <cfRule type="cellIs" dxfId="3941" priority="5313" stopIfTrue="1" operator="equal">
      <formula>"Fail"</formula>
    </cfRule>
    <cfRule type="cellIs" dxfId="3940" priority="5314" stopIfTrue="1" operator="equal">
      <formula>"Pass"</formula>
    </cfRule>
  </conditionalFormatting>
  <conditionalFormatting sqref="I884">
    <cfRule type="cellIs" dxfId="3939" priority="5317" stopIfTrue="1" operator="equal">
      <formula>"Fail"</formula>
    </cfRule>
    <cfRule type="cellIs" dxfId="3938" priority="5318" stopIfTrue="1" operator="equal">
      <formula>"Pass"</formula>
    </cfRule>
  </conditionalFormatting>
  <conditionalFormatting sqref="I884">
    <cfRule type="cellIs" dxfId="3937" priority="5315" stopIfTrue="1" operator="equal">
      <formula>"Fail"</formula>
    </cfRule>
    <cfRule type="cellIs" dxfId="3936" priority="5316" stopIfTrue="1" operator="equal">
      <formula>"Pass"</formula>
    </cfRule>
  </conditionalFormatting>
  <conditionalFormatting sqref="E884">
    <cfRule type="cellIs" dxfId="3935" priority="5311" stopIfTrue="1" operator="equal">
      <formula>"Fail"</formula>
    </cfRule>
    <cfRule type="cellIs" dxfId="3934" priority="5312" stopIfTrue="1" operator="equal">
      <formula>"Pass"</formula>
    </cfRule>
  </conditionalFormatting>
  <conditionalFormatting sqref="B416">
    <cfRule type="cellIs" dxfId="3933" priority="5279" stopIfTrue="1" operator="equal">
      <formula>"Fail"</formula>
    </cfRule>
    <cfRule type="cellIs" dxfId="3932" priority="5280" stopIfTrue="1" operator="equal">
      <formula>"Pass"</formula>
    </cfRule>
  </conditionalFormatting>
  <conditionalFormatting sqref="C416">
    <cfRule type="cellIs" dxfId="3931" priority="5281" stopIfTrue="1" operator="equal">
      <formula>"Fail"</formula>
    </cfRule>
    <cfRule type="cellIs" dxfId="3930" priority="5282" stopIfTrue="1" operator="equal">
      <formula>"Pass"</formula>
    </cfRule>
  </conditionalFormatting>
  <conditionalFormatting sqref="C419:I420 A419:A420">
    <cfRule type="cellIs" dxfId="3929" priority="5277" stopIfTrue="1" operator="equal">
      <formula>"Fail"</formula>
    </cfRule>
    <cfRule type="cellIs" dxfId="3928" priority="5278" stopIfTrue="1" operator="equal">
      <formula>"Pass"</formula>
    </cfRule>
  </conditionalFormatting>
  <conditionalFormatting sqref="D419:I420 A419:A420">
    <cfRule type="cellIs" dxfId="3927" priority="5275" stopIfTrue="1" operator="equal">
      <formula>"Fail"</formula>
    </cfRule>
    <cfRule type="cellIs" dxfId="3926" priority="5276" stopIfTrue="1" operator="equal">
      <formula>"Pass"</formula>
    </cfRule>
  </conditionalFormatting>
  <conditionalFormatting sqref="F415:H415">
    <cfRule type="cellIs" dxfId="3925" priority="5299" stopIfTrue="1" operator="equal">
      <formula>"Fail"</formula>
    </cfRule>
    <cfRule type="cellIs" dxfId="3924" priority="5300" stopIfTrue="1" operator="equal">
      <formula>"Pass"</formula>
    </cfRule>
  </conditionalFormatting>
  <conditionalFormatting sqref="F415:H415">
    <cfRule type="cellIs" dxfId="3923" priority="5297" stopIfTrue="1" operator="equal">
      <formula>"Fail"</formula>
    </cfRule>
    <cfRule type="cellIs" dxfId="3922" priority="5298" stopIfTrue="1" operator="equal">
      <formula>"Pass"</formula>
    </cfRule>
  </conditionalFormatting>
  <conditionalFormatting sqref="I415">
    <cfRule type="cellIs" dxfId="3921" priority="5291" stopIfTrue="1" operator="equal">
      <formula>"Fail"</formula>
    </cfRule>
    <cfRule type="cellIs" dxfId="3920" priority="5292" stopIfTrue="1" operator="equal">
      <formula>"Pass"</formula>
    </cfRule>
  </conditionalFormatting>
  <conditionalFormatting sqref="I415">
    <cfRule type="cellIs" dxfId="3919" priority="5295" stopIfTrue="1" operator="equal">
      <formula>"Fail"</formula>
    </cfRule>
    <cfRule type="cellIs" dxfId="3918" priority="5296" stopIfTrue="1" operator="equal">
      <formula>"Pass"</formula>
    </cfRule>
  </conditionalFormatting>
  <conditionalFormatting sqref="I415">
    <cfRule type="cellIs" dxfId="3917" priority="5293" stopIfTrue="1" operator="equal">
      <formula>"Fail"</formula>
    </cfRule>
    <cfRule type="cellIs" dxfId="3916" priority="5294" stopIfTrue="1" operator="equal">
      <formula>"Pass"</formula>
    </cfRule>
  </conditionalFormatting>
  <conditionalFormatting sqref="E415 I415">
    <cfRule type="cellIs" dxfId="3915" priority="5289" stopIfTrue="1" operator="equal">
      <formula>"Fail"</formula>
    </cfRule>
    <cfRule type="cellIs" dxfId="3914" priority="5290" stopIfTrue="1" operator="equal">
      <formula>"Pass"</formula>
    </cfRule>
  </conditionalFormatting>
  <conditionalFormatting sqref="A416 D416:I416">
    <cfRule type="cellIs" dxfId="3913" priority="5285" stopIfTrue="1" operator="equal">
      <formula>"Fail"</formula>
    </cfRule>
    <cfRule type="cellIs" dxfId="3912" priority="5286" stopIfTrue="1" operator="equal">
      <formula>"Pass"</formula>
    </cfRule>
  </conditionalFormatting>
  <conditionalFormatting sqref="A416 C416:I416">
    <cfRule type="cellIs" dxfId="3911" priority="5287" stopIfTrue="1" operator="equal">
      <formula>"Fail"</formula>
    </cfRule>
    <cfRule type="cellIs" dxfId="3910" priority="5288" stopIfTrue="1" operator="equal">
      <formula>"Pass"</formula>
    </cfRule>
  </conditionalFormatting>
  <conditionalFormatting sqref="I416">
    <cfRule type="cellIs" dxfId="3909" priority="5283" stopIfTrue="1" operator="equal">
      <formula>"Fail"</formula>
    </cfRule>
    <cfRule type="cellIs" dxfId="3908" priority="5284" stopIfTrue="1" operator="equal">
      <formula>"Pass"</formula>
    </cfRule>
  </conditionalFormatting>
  <conditionalFormatting sqref="I419:I420">
    <cfRule type="cellIs" dxfId="3907" priority="5273" stopIfTrue="1" operator="equal">
      <formula>"Fail"</formula>
    </cfRule>
    <cfRule type="cellIs" dxfId="3906" priority="5274" stopIfTrue="1" operator="equal">
      <formula>"Pass"</formula>
    </cfRule>
  </conditionalFormatting>
  <conditionalFormatting sqref="C419:C420">
    <cfRule type="cellIs" dxfId="3905" priority="5271" stopIfTrue="1" operator="equal">
      <formula>"Fail"</formula>
    </cfRule>
    <cfRule type="cellIs" dxfId="3904" priority="5272" stopIfTrue="1" operator="equal">
      <formula>"Pass"</formula>
    </cfRule>
  </conditionalFormatting>
  <conditionalFormatting sqref="A421 D421:I421">
    <cfRule type="cellIs" dxfId="3903" priority="5267" stopIfTrue="1" operator="equal">
      <formula>"Fail"</formula>
    </cfRule>
    <cfRule type="cellIs" dxfId="3902" priority="5268" stopIfTrue="1" operator="equal">
      <formula>"Pass"</formula>
    </cfRule>
  </conditionalFormatting>
  <conditionalFormatting sqref="A421 C421:I421">
    <cfRule type="cellIs" dxfId="3901" priority="5269" stopIfTrue="1" operator="equal">
      <formula>"Fail"</formula>
    </cfRule>
    <cfRule type="cellIs" dxfId="3900" priority="5270" stopIfTrue="1" operator="equal">
      <formula>"Pass"</formula>
    </cfRule>
  </conditionalFormatting>
  <conditionalFormatting sqref="I421">
    <cfRule type="cellIs" dxfId="3899" priority="5265" stopIfTrue="1" operator="equal">
      <formula>"Fail"</formula>
    </cfRule>
    <cfRule type="cellIs" dxfId="3898" priority="5266" stopIfTrue="1" operator="equal">
      <formula>"Pass"</formula>
    </cfRule>
  </conditionalFormatting>
  <conditionalFormatting sqref="C421">
    <cfRule type="cellIs" dxfId="3897" priority="5263" stopIfTrue="1" operator="equal">
      <formula>"Fail"</formula>
    </cfRule>
    <cfRule type="cellIs" dxfId="3896" priority="5264" stopIfTrue="1" operator="equal">
      <formula>"Pass"</formula>
    </cfRule>
  </conditionalFormatting>
  <conditionalFormatting sqref="A420 D420:I420">
    <cfRule type="cellIs" dxfId="3895" priority="5259" stopIfTrue="1" operator="equal">
      <formula>"Fail"</formula>
    </cfRule>
    <cfRule type="cellIs" dxfId="3894" priority="5260" stopIfTrue="1" operator="equal">
      <formula>"Pass"</formula>
    </cfRule>
  </conditionalFormatting>
  <conditionalFormatting sqref="A420 C420:I420">
    <cfRule type="cellIs" dxfId="3893" priority="5261" stopIfTrue="1" operator="equal">
      <formula>"Fail"</formula>
    </cfRule>
    <cfRule type="cellIs" dxfId="3892" priority="5262" stopIfTrue="1" operator="equal">
      <formula>"Pass"</formula>
    </cfRule>
  </conditionalFormatting>
  <conditionalFormatting sqref="I420">
    <cfRule type="cellIs" dxfId="3891" priority="5257" stopIfTrue="1" operator="equal">
      <formula>"Fail"</formula>
    </cfRule>
    <cfRule type="cellIs" dxfId="3890" priority="5258" stopIfTrue="1" operator="equal">
      <formula>"Pass"</formula>
    </cfRule>
  </conditionalFormatting>
  <conditionalFormatting sqref="C420">
    <cfRule type="cellIs" dxfId="3889" priority="5255" stopIfTrue="1" operator="equal">
      <formula>"Fail"</formula>
    </cfRule>
    <cfRule type="cellIs" dxfId="3888" priority="5256" stopIfTrue="1" operator="equal">
      <formula>"Pass"</formula>
    </cfRule>
  </conditionalFormatting>
  <conditionalFormatting sqref="B420">
    <cfRule type="cellIs" dxfId="3887" priority="5253" stopIfTrue="1" operator="equal">
      <formula>"Fail"</formula>
    </cfRule>
    <cfRule type="cellIs" dxfId="3886" priority="5254" stopIfTrue="1" operator="equal">
      <formula>"Pass"</formula>
    </cfRule>
  </conditionalFormatting>
  <conditionalFormatting sqref="F426:H426">
    <cfRule type="cellIs" dxfId="3885" priority="5251" stopIfTrue="1" operator="equal">
      <formula>"Fail"</formula>
    </cfRule>
    <cfRule type="cellIs" dxfId="3884" priority="5252" stopIfTrue="1" operator="equal">
      <formula>"Pass"</formula>
    </cfRule>
  </conditionalFormatting>
  <conditionalFormatting sqref="F426:H426">
    <cfRule type="cellIs" dxfId="3883" priority="5249" stopIfTrue="1" operator="equal">
      <formula>"Fail"</formula>
    </cfRule>
    <cfRule type="cellIs" dxfId="3882" priority="5250" stopIfTrue="1" operator="equal">
      <formula>"Pass"</formula>
    </cfRule>
  </conditionalFormatting>
  <conditionalFormatting sqref="I426">
    <cfRule type="cellIs" dxfId="3881" priority="5243" stopIfTrue="1" operator="equal">
      <formula>"Fail"</formula>
    </cfRule>
    <cfRule type="cellIs" dxfId="3880" priority="5244" stopIfTrue="1" operator="equal">
      <formula>"Pass"</formula>
    </cfRule>
  </conditionalFormatting>
  <conditionalFormatting sqref="I426">
    <cfRule type="cellIs" dxfId="3879" priority="5247" stopIfTrue="1" operator="equal">
      <formula>"Fail"</formula>
    </cfRule>
    <cfRule type="cellIs" dxfId="3878" priority="5248" stopIfTrue="1" operator="equal">
      <formula>"Pass"</formula>
    </cfRule>
  </conditionalFormatting>
  <conditionalFormatting sqref="I426">
    <cfRule type="cellIs" dxfId="3877" priority="5245" stopIfTrue="1" operator="equal">
      <formula>"Fail"</formula>
    </cfRule>
    <cfRule type="cellIs" dxfId="3876" priority="5246" stopIfTrue="1" operator="equal">
      <formula>"Pass"</formula>
    </cfRule>
  </conditionalFormatting>
  <conditionalFormatting sqref="E426 I426">
    <cfRule type="cellIs" dxfId="3875" priority="5241" stopIfTrue="1" operator="equal">
      <formula>"Fail"</formula>
    </cfRule>
    <cfRule type="cellIs" dxfId="3874" priority="5242" stopIfTrue="1" operator="equal">
      <formula>"Pass"</formula>
    </cfRule>
  </conditionalFormatting>
  <conditionalFormatting sqref="A425 D425:I425">
    <cfRule type="cellIs" dxfId="3873" priority="5237" stopIfTrue="1" operator="equal">
      <formula>"Fail"</formula>
    </cfRule>
    <cfRule type="cellIs" dxfId="3872" priority="5238" stopIfTrue="1" operator="equal">
      <formula>"Pass"</formula>
    </cfRule>
  </conditionalFormatting>
  <conditionalFormatting sqref="A425 C425:I425">
    <cfRule type="cellIs" dxfId="3871" priority="5239" stopIfTrue="1" operator="equal">
      <formula>"Fail"</formula>
    </cfRule>
    <cfRule type="cellIs" dxfId="3870" priority="5240" stopIfTrue="1" operator="equal">
      <formula>"Pass"</formula>
    </cfRule>
  </conditionalFormatting>
  <conditionalFormatting sqref="I425">
    <cfRule type="cellIs" dxfId="3869" priority="5235" stopIfTrue="1" operator="equal">
      <formula>"Fail"</formula>
    </cfRule>
    <cfRule type="cellIs" dxfId="3868" priority="5236" stopIfTrue="1" operator="equal">
      <formula>"Pass"</formula>
    </cfRule>
  </conditionalFormatting>
  <conditionalFormatting sqref="C425">
    <cfRule type="cellIs" dxfId="3867" priority="5233" stopIfTrue="1" operator="equal">
      <formula>"Fail"</formula>
    </cfRule>
    <cfRule type="cellIs" dxfId="3866" priority="5234" stopIfTrue="1" operator="equal">
      <formula>"Pass"</formula>
    </cfRule>
  </conditionalFormatting>
  <conditionalFormatting sqref="B425">
    <cfRule type="cellIs" dxfId="3865" priority="5231" stopIfTrue="1" operator="equal">
      <formula>"Fail"</formula>
    </cfRule>
    <cfRule type="cellIs" dxfId="3864" priority="5232" stopIfTrue="1" operator="equal">
      <formula>"Pass"</formula>
    </cfRule>
  </conditionalFormatting>
  <conditionalFormatting sqref="A490">
    <cfRule type="cellIs" dxfId="3863" priority="5229" stopIfTrue="1" operator="equal">
      <formula>"Fail"</formula>
    </cfRule>
    <cfRule type="cellIs" dxfId="3862" priority="5230" stopIfTrue="1" operator="equal">
      <formula>"Pass"</formula>
    </cfRule>
  </conditionalFormatting>
  <conditionalFormatting sqref="C490:I490">
    <cfRule type="cellIs" dxfId="3861" priority="5227" stopIfTrue="1" operator="equal">
      <formula>"Fail"</formula>
    </cfRule>
    <cfRule type="cellIs" dxfId="3860" priority="5228" stopIfTrue="1" operator="equal">
      <formula>"Pass"</formula>
    </cfRule>
  </conditionalFormatting>
  <conditionalFormatting sqref="B490">
    <cfRule type="cellIs" dxfId="3859" priority="5225" stopIfTrue="1" operator="equal">
      <formula>"Fail"</formula>
    </cfRule>
    <cfRule type="cellIs" dxfId="3858" priority="5226" stopIfTrue="1" operator="equal">
      <formula>"Pass"</formula>
    </cfRule>
  </conditionalFormatting>
  <conditionalFormatting sqref="I491">
    <cfRule type="cellIs" dxfId="3857" priority="5219" stopIfTrue="1" operator="equal">
      <formula>"Fail"</formula>
    </cfRule>
    <cfRule type="cellIs" dxfId="3856" priority="5220" stopIfTrue="1" operator="equal">
      <formula>"Pass"</formula>
    </cfRule>
  </conditionalFormatting>
  <conditionalFormatting sqref="C491">
    <cfRule type="cellIs" dxfId="3855" priority="5217" stopIfTrue="1" operator="equal">
      <formula>"Fail"</formula>
    </cfRule>
    <cfRule type="cellIs" dxfId="3854" priority="5218" stopIfTrue="1" operator="equal">
      <formula>"Pass"</formula>
    </cfRule>
  </conditionalFormatting>
  <conditionalFormatting sqref="C491:I491 A491">
    <cfRule type="cellIs" dxfId="3853" priority="5223" stopIfTrue="1" operator="equal">
      <formula>"Fail"</formula>
    </cfRule>
    <cfRule type="cellIs" dxfId="3852" priority="5224" stopIfTrue="1" operator="equal">
      <formula>"Pass"</formula>
    </cfRule>
  </conditionalFormatting>
  <conditionalFormatting sqref="D491:I491 A491">
    <cfRule type="cellIs" dxfId="3851" priority="5221" stopIfTrue="1" operator="equal">
      <formula>"Fail"</formula>
    </cfRule>
    <cfRule type="cellIs" dxfId="3850" priority="5222" stopIfTrue="1" operator="equal">
      <formula>"Pass"</formula>
    </cfRule>
  </conditionalFormatting>
  <conditionalFormatting sqref="I492">
    <cfRule type="cellIs" dxfId="3849" priority="5211" stopIfTrue="1" operator="equal">
      <formula>"Fail"</formula>
    </cfRule>
    <cfRule type="cellIs" dxfId="3848" priority="5212" stopIfTrue="1" operator="equal">
      <formula>"Pass"</formula>
    </cfRule>
  </conditionalFormatting>
  <conditionalFormatting sqref="C492">
    <cfRule type="cellIs" dxfId="3847" priority="5209" stopIfTrue="1" operator="equal">
      <formula>"Fail"</formula>
    </cfRule>
    <cfRule type="cellIs" dxfId="3846" priority="5210" stopIfTrue="1" operator="equal">
      <formula>"Pass"</formula>
    </cfRule>
  </conditionalFormatting>
  <conditionalFormatting sqref="C492:I492 A492">
    <cfRule type="cellIs" dxfId="3845" priority="5215" stopIfTrue="1" operator="equal">
      <formula>"Fail"</formula>
    </cfRule>
    <cfRule type="cellIs" dxfId="3844" priority="5216" stopIfTrue="1" operator="equal">
      <formula>"Pass"</formula>
    </cfRule>
  </conditionalFormatting>
  <conditionalFormatting sqref="D492:I492 A492">
    <cfRule type="cellIs" dxfId="3843" priority="5213" stopIfTrue="1" operator="equal">
      <formula>"Fail"</formula>
    </cfRule>
    <cfRule type="cellIs" dxfId="3842" priority="5214" stopIfTrue="1" operator="equal">
      <formula>"Pass"</formula>
    </cfRule>
  </conditionalFormatting>
  <conditionalFormatting sqref="I493">
    <cfRule type="cellIs" dxfId="3841" priority="5203" stopIfTrue="1" operator="equal">
      <formula>"Fail"</formula>
    </cfRule>
    <cfRule type="cellIs" dxfId="3840" priority="5204" stopIfTrue="1" operator="equal">
      <formula>"Pass"</formula>
    </cfRule>
  </conditionalFormatting>
  <conditionalFormatting sqref="C493">
    <cfRule type="cellIs" dxfId="3839" priority="5201" stopIfTrue="1" operator="equal">
      <formula>"Fail"</formula>
    </cfRule>
    <cfRule type="cellIs" dxfId="3838" priority="5202" stopIfTrue="1" operator="equal">
      <formula>"Pass"</formula>
    </cfRule>
  </conditionalFormatting>
  <conditionalFormatting sqref="C493:I493 A493">
    <cfRule type="cellIs" dxfId="3837" priority="5207" stopIfTrue="1" operator="equal">
      <formula>"Fail"</formula>
    </cfRule>
    <cfRule type="cellIs" dxfId="3836" priority="5208" stopIfTrue="1" operator="equal">
      <formula>"Pass"</formula>
    </cfRule>
  </conditionalFormatting>
  <conditionalFormatting sqref="D493:I493 A493">
    <cfRule type="cellIs" dxfId="3835" priority="5205" stopIfTrue="1" operator="equal">
      <formula>"Fail"</formula>
    </cfRule>
    <cfRule type="cellIs" dxfId="3834" priority="5206" stopIfTrue="1" operator="equal">
      <formula>"Pass"</formula>
    </cfRule>
  </conditionalFormatting>
  <conditionalFormatting sqref="C494:I494 A494">
    <cfRule type="cellIs" dxfId="3833" priority="5199" stopIfTrue="1" operator="equal">
      <formula>"Fail"</formula>
    </cfRule>
    <cfRule type="cellIs" dxfId="3832" priority="5200" stopIfTrue="1" operator="equal">
      <formula>"Pass"</formula>
    </cfRule>
  </conditionalFormatting>
  <conditionalFormatting sqref="D494:I494 A494">
    <cfRule type="cellIs" dxfId="3831" priority="5197" stopIfTrue="1" operator="equal">
      <formula>"Fail"</formula>
    </cfRule>
    <cfRule type="cellIs" dxfId="3830" priority="5198" stopIfTrue="1" operator="equal">
      <formula>"Pass"</formula>
    </cfRule>
  </conditionalFormatting>
  <conditionalFormatting sqref="I494">
    <cfRule type="cellIs" dxfId="3829" priority="5195" stopIfTrue="1" operator="equal">
      <formula>"Fail"</formula>
    </cfRule>
    <cfRule type="cellIs" dxfId="3828" priority="5196" stopIfTrue="1" operator="equal">
      <formula>"Pass"</formula>
    </cfRule>
  </conditionalFormatting>
  <conditionalFormatting sqref="C494">
    <cfRule type="cellIs" dxfId="3827" priority="5193" stopIfTrue="1" operator="equal">
      <formula>"Fail"</formula>
    </cfRule>
    <cfRule type="cellIs" dxfId="3826" priority="5194" stopIfTrue="1" operator="equal">
      <formula>"Pass"</formula>
    </cfRule>
  </conditionalFormatting>
  <conditionalFormatting sqref="A497:A498 C498:I498 C497:D497 F497:I497">
    <cfRule type="cellIs" dxfId="3825" priority="5191" stopIfTrue="1" operator="equal">
      <formula>"Fail"</formula>
    </cfRule>
    <cfRule type="cellIs" dxfId="3824" priority="5192" stopIfTrue="1" operator="equal">
      <formula>"Pass"</formula>
    </cfRule>
  </conditionalFormatting>
  <conditionalFormatting sqref="A498">
    <cfRule type="cellIs" dxfId="3823" priority="5187" stopIfTrue="1" operator="equal">
      <formula>"Fail"</formula>
    </cfRule>
    <cfRule type="cellIs" dxfId="3822" priority="5188" stopIfTrue="1" operator="equal">
      <formula>"Pass"</formula>
    </cfRule>
  </conditionalFormatting>
  <conditionalFormatting sqref="I498">
    <cfRule type="cellIs" dxfId="3821" priority="5181" stopIfTrue="1" operator="equal">
      <formula>"Fail"</formula>
    </cfRule>
    <cfRule type="cellIs" dxfId="3820" priority="5182" stopIfTrue="1" operator="equal">
      <formula>"Pass"</formula>
    </cfRule>
  </conditionalFormatting>
  <conditionalFormatting sqref="I498">
    <cfRule type="cellIs" dxfId="3819" priority="5185" stopIfTrue="1" operator="equal">
      <formula>"Fail"</formula>
    </cfRule>
    <cfRule type="cellIs" dxfId="3818" priority="5186" stopIfTrue="1" operator="equal">
      <formula>"Pass"</formula>
    </cfRule>
  </conditionalFormatting>
  <conditionalFormatting sqref="I498">
    <cfRule type="cellIs" dxfId="3817" priority="5183" stopIfTrue="1" operator="equal">
      <formula>"Fail"</formula>
    </cfRule>
    <cfRule type="cellIs" dxfId="3816" priority="5184" stopIfTrue="1" operator="equal">
      <formula>"Pass"</formula>
    </cfRule>
  </conditionalFormatting>
  <conditionalFormatting sqref="I497">
    <cfRule type="cellIs" dxfId="3815" priority="5175" stopIfTrue="1" operator="equal">
      <formula>"Fail"</formula>
    </cfRule>
    <cfRule type="cellIs" dxfId="3814" priority="5176" stopIfTrue="1" operator="equal">
      <formula>"Pass"</formula>
    </cfRule>
  </conditionalFormatting>
  <conditionalFormatting sqref="C497">
    <cfRule type="cellIs" dxfId="3813" priority="5173" stopIfTrue="1" operator="equal">
      <formula>"Fail"</formula>
    </cfRule>
    <cfRule type="cellIs" dxfId="3812" priority="5174" stopIfTrue="1" operator="equal">
      <formula>"Pass"</formula>
    </cfRule>
  </conditionalFormatting>
  <conditionalFormatting sqref="C497:D497 A497 F497:I497">
    <cfRule type="cellIs" dxfId="3811" priority="5179" stopIfTrue="1" operator="equal">
      <formula>"Fail"</formula>
    </cfRule>
    <cfRule type="cellIs" dxfId="3810" priority="5180" stopIfTrue="1" operator="equal">
      <formula>"Pass"</formula>
    </cfRule>
  </conditionalFormatting>
  <conditionalFormatting sqref="D497 A497 F497:I497">
    <cfRule type="cellIs" dxfId="3809" priority="5177" stopIfTrue="1" operator="equal">
      <formula>"Fail"</formula>
    </cfRule>
    <cfRule type="cellIs" dxfId="3808" priority="5178" stopIfTrue="1" operator="equal">
      <formula>"Pass"</formula>
    </cfRule>
  </conditionalFormatting>
  <conditionalFormatting sqref="B497">
    <cfRule type="cellIs" dxfId="3807" priority="5171" stopIfTrue="1" operator="equal">
      <formula>"Fail"</formula>
    </cfRule>
    <cfRule type="cellIs" dxfId="3806" priority="5172" stopIfTrue="1" operator="equal">
      <formula>"Pass"</formula>
    </cfRule>
  </conditionalFormatting>
  <conditionalFormatting sqref="E497">
    <cfRule type="cellIs" dxfId="3805" priority="5169" stopIfTrue="1" operator="equal">
      <formula>"Fail"</formula>
    </cfRule>
    <cfRule type="cellIs" dxfId="3804" priority="5170" stopIfTrue="1" operator="equal">
      <formula>"Pass"</formula>
    </cfRule>
  </conditionalFormatting>
  <conditionalFormatting sqref="A509 C509:I509">
    <cfRule type="cellIs" dxfId="3803" priority="5167" stopIfTrue="1" operator="equal">
      <formula>"Fail"</formula>
    </cfRule>
    <cfRule type="cellIs" dxfId="3802" priority="5168" stopIfTrue="1" operator="equal">
      <formula>"Pass"</formula>
    </cfRule>
  </conditionalFormatting>
  <conditionalFormatting sqref="F502:H502">
    <cfRule type="cellIs" dxfId="3801" priority="5165" stopIfTrue="1" operator="equal">
      <formula>"Fail"</formula>
    </cfRule>
    <cfRule type="cellIs" dxfId="3800" priority="5166" stopIfTrue="1" operator="equal">
      <formula>"Pass"</formula>
    </cfRule>
  </conditionalFormatting>
  <conditionalFormatting sqref="F502:H502">
    <cfRule type="cellIs" dxfId="3799" priority="5163" stopIfTrue="1" operator="equal">
      <formula>"Fail"</formula>
    </cfRule>
    <cfRule type="cellIs" dxfId="3798" priority="5164" stopIfTrue="1" operator="equal">
      <formula>"Pass"</formula>
    </cfRule>
  </conditionalFormatting>
  <conditionalFormatting sqref="I502">
    <cfRule type="cellIs" dxfId="3797" priority="5153" stopIfTrue="1" operator="equal">
      <formula>"Fail"</formula>
    </cfRule>
    <cfRule type="cellIs" dxfId="3796" priority="5154" stopIfTrue="1" operator="equal">
      <formula>"Pass"</formula>
    </cfRule>
  </conditionalFormatting>
  <conditionalFormatting sqref="I502">
    <cfRule type="cellIs" dxfId="3795" priority="5157" stopIfTrue="1" operator="equal">
      <formula>"Fail"</formula>
    </cfRule>
    <cfRule type="cellIs" dxfId="3794" priority="5158" stopIfTrue="1" operator="equal">
      <formula>"Pass"</formula>
    </cfRule>
  </conditionalFormatting>
  <conditionalFormatting sqref="I502">
    <cfRule type="cellIs" dxfId="3793" priority="5155" stopIfTrue="1" operator="equal">
      <formula>"Fail"</formula>
    </cfRule>
    <cfRule type="cellIs" dxfId="3792" priority="5156" stopIfTrue="1" operator="equal">
      <formula>"Pass"</formula>
    </cfRule>
  </conditionalFormatting>
  <conditionalFormatting sqref="E502 I502">
    <cfRule type="cellIs" dxfId="3791" priority="5151" stopIfTrue="1" operator="equal">
      <formula>"Fail"</formula>
    </cfRule>
    <cfRule type="cellIs" dxfId="3790" priority="5152" stopIfTrue="1" operator="equal">
      <formula>"Pass"</formula>
    </cfRule>
  </conditionalFormatting>
  <conditionalFormatting sqref="A503 D503:I503">
    <cfRule type="cellIs" dxfId="3789" priority="5147" stopIfTrue="1" operator="equal">
      <formula>"Fail"</formula>
    </cfRule>
    <cfRule type="cellIs" dxfId="3788" priority="5148" stopIfTrue="1" operator="equal">
      <formula>"Pass"</formula>
    </cfRule>
  </conditionalFormatting>
  <conditionalFormatting sqref="A503 C503:I503">
    <cfRule type="cellIs" dxfId="3787" priority="5149" stopIfTrue="1" operator="equal">
      <formula>"Fail"</formula>
    </cfRule>
    <cfRule type="cellIs" dxfId="3786" priority="5150" stopIfTrue="1" operator="equal">
      <formula>"Pass"</formula>
    </cfRule>
  </conditionalFormatting>
  <conditionalFormatting sqref="I503">
    <cfRule type="cellIs" dxfId="3785" priority="5145" stopIfTrue="1" operator="equal">
      <formula>"Fail"</formula>
    </cfRule>
    <cfRule type="cellIs" dxfId="3784" priority="5146" stopIfTrue="1" operator="equal">
      <formula>"Pass"</formula>
    </cfRule>
  </conditionalFormatting>
  <conditionalFormatting sqref="C503">
    <cfRule type="cellIs" dxfId="3783" priority="5143" stopIfTrue="1" operator="equal">
      <formula>"Fail"</formula>
    </cfRule>
    <cfRule type="cellIs" dxfId="3782" priority="5144" stopIfTrue="1" operator="equal">
      <formula>"Pass"</formula>
    </cfRule>
  </conditionalFormatting>
  <conditionalFormatting sqref="B503">
    <cfRule type="cellIs" dxfId="3781" priority="5141" stopIfTrue="1" operator="equal">
      <formula>"Fail"</formula>
    </cfRule>
    <cfRule type="cellIs" dxfId="3780" priority="5142" stopIfTrue="1" operator="equal">
      <formula>"Pass"</formula>
    </cfRule>
  </conditionalFormatting>
  <conditionalFormatting sqref="A507 D507:I507">
    <cfRule type="cellIs" dxfId="3779" priority="5137" stopIfTrue="1" operator="equal">
      <formula>"Fail"</formula>
    </cfRule>
    <cfRule type="cellIs" dxfId="3778" priority="5138" stopIfTrue="1" operator="equal">
      <formula>"Pass"</formula>
    </cfRule>
  </conditionalFormatting>
  <conditionalFormatting sqref="A507 C507:I507">
    <cfRule type="cellIs" dxfId="3777" priority="5139" stopIfTrue="1" operator="equal">
      <formula>"Fail"</formula>
    </cfRule>
    <cfRule type="cellIs" dxfId="3776" priority="5140" stopIfTrue="1" operator="equal">
      <formula>"Pass"</formula>
    </cfRule>
  </conditionalFormatting>
  <conditionalFormatting sqref="I507">
    <cfRule type="cellIs" dxfId="3775" priority="5135" stopIfTrue="1" operator="equal">
      <formula>"Fail"</formula>
    </cfRule>
    <cfRule type="cellIs" dxfId="3774" priority="5136" stopIfTrue="1" operator="equal">
      <formula>"Pass"</formula>
    </cfRule>
  </conditionalFormatting>
  <conditionalFormatting sqref="C507">
    <cfRule type="cellIs" dxfId="3773" priority="5133" stopIfTrue="1" operator="equal">
      <formula>"Fail"</formula>
    </cfRule>
    <cfRule type="cellIs" dxfId="3772" priority="5134" stopIfTrue="1" operator="equal">
      <formula>"Pass"</formula>
    </cfRule>
  </conditionalFormatting>
  <conditionalFormatting sqref="B507">
    <cfRule type="cellIs" dxfId="3771" priority="5131" stopIfTrue="1" operator="equal">
      <formula>"Fail"</formula>
    </cfRule>
    <cfRule type="cellIs" dxfId="3770" priority="5132" stopIfTrue="1" operator="equal">
      <formula>"Pass"</formula>
    </cfRule>
  </conditionalFormatting>
  <conditionalFormatting sqref="F504:H504">
    <cfRule type="cellIs" dxfId="3769" priority="5129" stopIfTrue="1" operator="equal">
      <formula>"Fail"</formula>
    </cfRule>
    <cfRule type="cellIs" dxfId="3768" priority="5130" stopIfTrue="1" operator="equal">
      <formula>"Pass"</formula>
    </cfRule>
  </conditionalFormatting>
  <conditionalFormatting sqref="F504:H504">
    <cfRule type="cellIs" dxfId="3767" priority="5127" stopIfTrue="1" operator="equal">
      <formula>"Fail"</formula>
    </cfRule>
    <cfRule type="cellIs" dxfId="3766" priority="5128" stopIfTrue="1" operator="equal">
      <formula>"Pass"</formula>
    </cfRule>
  </conditionalFormatting>
  <conditionalFormatting sqref="I504">
    <cfRule type="cellIs" dxfId="3765" priority="5121" stopIfTrue="1" operator="equal">
      <formula>"Fail"</formula>
    </cfRule>
    <cfRule type="cellIs" dxfId="3764" priority="5122" stopIfTrue="1" operator="equal">
      <formula>"Pass"</formula>
    </cfRule>
  </conditionalFormatting>
  <conditionalFormatting sqref="I504">
    <cfRule type="cellIs" dxfId="3763" priority="5125" stopIfTrue="1" operator="equal">
      <formula>"Fail"</formula>
    </cfRule>
    <cfRule type="cellIs" dxfId="3762" priority="5126" stopIfTrue="1" operator="equal">
      <formula>"Pass"</formula>
    </cfRule>
  </conditionalFormatting>
  <conditionalFormatting sqref="I504">
    <cfRule type="cellIs" dxfId="3761" priority="5123" stopIfTrue="1" operator="equal">
      <formula>"Fail"</formula>
    </cfRule>
    <cfRule type="cellIs" dxfId="3760" priority="5124" stopIfTrue="1" operator="equal">
      <formula>"Pass"</formula>
    </cfRule>
  </conditionalFormatting>
  <conditionalFormatting sqref="E504 I504">
    <cfRule type="cellIs" dxfId="3759" priority="5119" stopIfTrue="1" operator="equal">
      <formula>"Fail"</formula>
    </cfRule>
    <cfRule type="cellIs" dxfId="3758" priority="5120" stopIfTrue="1" operator="equal">
      <formula>"Pass"</formula>
    </cfRule>
  </conditionalFormatting>
  <conditionalFormatting sqref="F508:H508">
    <cfRule type="cellIs" dxfId="3757" priority="5117" stopIfTrue="1" operator="equal">
      <formula>"Fail"</formula>
    </cfRule>
    <cfRule type="cellIs" dxfId="3756" priority="5118" stopIfTrue="1" operator="equal">
      <formula>"Pass"</formula>
    </cfRule>
  </conditionalFormatting>
  <conditionalFormatting sqref="F508:H508">
    <cfRule type="cellIs" dxfId="3755" priority="5115" stopIfTrue="1" operator="equal">
      <formula>"Fail"</formula>
    </cfRule>
    <cfRule type="cellIs" dxfId="3754" priority="5116" stopIfTrue="1" operator="equal">
      <formula>"Pass"</formula>
    </cfRule>
  </conditionalFormatting>
  <conditionalFormatting sqref="I508">
    <cfRule type="cellIs" dxfId="3753" priority="5109" stopIfTrue="1" operator="equal">
      <formula>"Fail"</formula>
    </cfRule>
    <cfRule type="cellIs" dxfId="3752" priority="5110" stopIfTrue="1" operator="equal">
      <formula>"Pass"</formula>
    </cfRule>
  </conditionalFormatting>
  <conditionalFormatting sqref="I508">
    <cfRule type="cellIs" dxfId="3751" priority="5113" stopIfTrue="1" operator="equal">
      <formula>"Fail"</formula>
    </cfRule>
    <cfRule type="cellIs" dxfId="3750" priority="5114" stopIfTrue="1" operator="equal">
      <formula>"Pass"</formula>
    </cfRule>
  </conditionalFormatting>
  <conditionalFormatting sqref="I508">
    <cfRule type="cellIs" dxfId="3749" priority="5111" stopIfTrue="1" operator="equal">
      <formula>"Fail"</formula>
    </cfRule>
    <cfRule type="cellIs" dxfId="3748" priority="5112" stopIfTrue="1" operator="equal">
      <formula>"Pass"</formula>
    </cfRule>
  </conditionalFormatting>
  <conditionalFormatting sqref="E508 I508">
    <cfRule type="cellIs" dxfId="3747" priority="5107" stopIfTrue="1" operator="equal">
      <formula>"Fail"</formula>
    </cfRule>
    <cfRule type="cellIs" dxfId="3746" priority="5108" stopIfTrue="1" operator="equal">
      <formula>"Pass"</formula>
    </cfRule>
  </conditionalFormatting>
  <conditionalFormatting sqref="B509">
    <cfRule type="cellIs" dxfId="3745" priority="5105" stopIfTrue="1" operator="equal">
      <formula>"Fail"</formula>
    </cfRule>
    <cfRule type="cellIs" dxfId="3744" priority="5106" stopIfTrue="1" operator="equal">
      <formula>"Pass"</formula>
    </cfRule>
  </conditionalFormatting>
  <conditionalFormatting sqref="B496">
    <cfRule type="cellIs" dxfId="3743" priority="5075" stopIfTrue="1" operator="equal">
      <formula>"Fail"</formula>
    </cfRule>
    <cfRule type="cellIs" dxfId="3742" priority="5076" stopIfTrue="1" operator="equal">
      <formula>"Pass"</formula>
    </cfRule>
  </conditionalFormatting>
  <conditionalFormatting sqref="C496">
    <cfRule type="cellIs" dxfId="3741" priority="5077" stopIfTrue="1" operator="equal">
      <formula>"Fail"</formula>
    </cfRule>
    <cfRule type="cellIs" dxfId="3740" priority="5078" stopIfTrue="1" operator="equal">
      <formula>"Pass"</formula>
    </cfRule>
  </conditionalFormatting>
  <conditionalFormatting sqref="C499:I500 A499:A500">
    <cfRule type="cellIs" dxfId="3739" priority="5073" stopIfTrue="1" operator="equal">
      <formula>"Fail"</formula>
    </cfRule>
    <cfRule type="cellIs" dxfId="3738" priority="5074" stopIfTrue="1" operator="equal">
      <formula>"Pass"</formula>
    </cfRule>
  </conditionalFormatting>
  <conditionalFormatting sqref="D499:I500 A499:A500">
    <cfRule type="cellIs" dxfId="3737" priority="5071" stopIfTrue="1" operator="equal">
      <formula>"Fail"</formula>
    </cfRule>
    <cfRule type="cellIs" dxfId="3736" priority="5072" stopIfTrue="1" operator="equal">
      <formula>"Pass"</formula>
    </cfRule>
  </conditionalFormatting>
  <conditionalFormatting sqref="F495:H495">
    <cfRule type="cellIs" dxfId="3735" priority="5095" stopIfTrue="1" operator="equal">
      <formula>"Fail"</formula>
    </cfRule>
    <cfRule type="cellIs" dxfId="3734" priority="5096" stopIfTrue="1" operator="equal">
      <formula>"Pass"</formula>
    </cfRule>
  </conditionalFormatting>
  <conditionalFormatting sqref="F495:H495">
    <cfRule type="cellIs" dxfId="3733" priority="5093" stopIfTrue="1" operator="equal">
      <formula>"Fail"</formula>
    </cfRule>
    <cfRule type="cellIs" dxfId="3732" priority="5094" stopIfTrue="1" operator="equal">
      <formula>"Pass"</formula>
    </cfRule>
  </conditionalFormatting>
  <conditionalFormatting sqref="I495">
    <cfRule type="cellIs" dxfId="3731" priority="5087" stopIfTrue="1" operator="equal">
      <formula>"Fail"</formula>
    </cfRule>
    <cfRule type="cellIs" dxfId="3730" priority="5088" stopIfTrue="1" operator="equal">
      <formula>"Pass"</formula>
    </cfRule>
  </conditionalFormatting>
  <conditionalFormatting sqref="I495">
    <cfRule type="cellIs" dxfId="3729" priority="5091" stopIfTrue="1" operator="equal">
      <formula>"Fail"</formula>
    </cfRule>
    <cfRule type="cellIs" dxfId="3728" priority="5092" stopIfTrue="1" operator="equal">
      <formula>"Pass"</formula>
    </cfRule>
  </conditionalFormatting>
  <conditionalFormatting sqref="I495">
    <cfRule type="cellIs" dxfId="3727" priority="5089" stopIfTrue="1" operator="equal">
      <formula>"Fail"</formula>
    </cfRule>
    <cfRule type="cellIs" dxfId="3726" priority="5090" stopIfTrue="1" operator="equal">
      <formula>"Pass"</formula>
    </cfRule>
  </conditionalFormatting>
  <conditionalFormatting sqref="E495 I495">
    <cfRule type="cellIs" dxfId="3725" priority="5085" stopIfTrue="1" operator="equal">
      <formula>"Fail"</formula>
    </cfRule>
    <cfRule type="cellIs" dxfId="3724" priority="5086" stopIfTrue="1" operator="equal">
      <formula>"Pass"</formula>
    </cfRule>
  </conditionalFormatting>
  <conditionalFormatting sqref="A496 D496:I496">
    <cfRule type="cellIs" dxfId="3723" priority="5081" stopIfTrue="1" operator="equal">
      <formula>"Fail"</formula>
    </cfRule>
    <cfRule type="cellIs" dxfId="3722" priority="5082" stopIfTrue="1" operator="equal">
      <formula>"Pass"</formula>
    </cfRule>
  </conditionalFormatting>
  <conditionalFormatting sqref="A496 C496:I496">
    <cfRule type="cellIs" dxfId="3721" priority="5083" stopIfTrue="1" operator="equal">
      <formula>"Fail"</formula>
    </cfRule>
    <cfRule type="cellIs" dxfId="3720" priority="5084" stopIfTrue="1" operator="equal">
      <formula>"Pass"</formula>
    </cfRule>
  </conditionalFormatting>
  <conditionalFormatting sqref="I496">
    <cfRule type="cellIs" dxfId="3719" priority="5079" stopIfTrue="1" operator="equal">
      <formula>"Fail"</formula>
    </cfRule>
    <cfRule type="cellIs" dxfId="3718" priority="5080" stopIfTrue="1" operator="equal">
      <formula>"Pass"</formula>
    </cfRule>
  </conditionalFormatting>
  <conditionalFormatting sqref="I499:I500">
    <cfRule type="cellIs" dxfId="3717" priority="5069" stopIfTrue="1" operator="equal">
      <formula>"Fail"</formula>
    </cfRule>
    <cfRule type="cellIs" dxfId="3716" priority="5070" stopIfTrue="1" operator="equal">
      <formula>"Pass"</formula>
    </cfRule>
  </conditionalFormatting>
  <conditionalFormatting sqref="C499:C500">
    <cfRule type="cellIs" dxfId="3715" priority="5067" stopIfTrue="1" operator="equal">
      <formula>"Fail"</formula>
    </cfRule>
    <cfRule type="cellIs" dxfId="3714" priority="5068" stopIfTrue="1" operator="equal">
      <formula>"Pass"</formula>
    </cfRule>
  </conditionalFormatting>
  <conditionalFormatting sqref="A501 D501:I501">
    <cfRule type="cellIs" dxfId="3713" priority="5063" stopIfTrue="1" operator="equal">
      <formula>"Fail"</formula>
    </cfRule>
    <cfRule type="cellIs" dxfId="3712" priority="5064" stopIfTrue="1" operator="equal">
      <formula>"Pass"</formula>
    </cfRule>
  </conditionalFormatting>
  <conditionalFormatting sqref="A501 C501:I501">
    <cfRule type="cellIs" dxfId="3711" priority="5065" stopIfTrue="1" operator="equal">
      <formula>"Fail"</formula>
    </cfRule>
    <cfRule type="cellIs" dxfId="3710" priority="5066" stopIfTrue="1" operator="equal">
      <formula>"Pass"</formula>
    </cfRule>
  </conditionalFormatting>
  <conditionalFormatting sqref="I501">
    <cfRule type="cellIs" dxfId="3709" priority="5061" stopIfTrue="1" operator="equal">
      <formula>"Fail"</formula>
    </cfRule>
    <cfRule type="cellIs" dxfId="3708" priority="5062" stopIfTrue="1" operator="equal">
      <formula>"Pass"</formula>
    </cfRule>
  </conditionalFormatting>
  <conditionalFormatting sqref="C501">
    <cfRule type="cellIs" dxfId="3707" priority="5059" stopIfTrue="1" operator="equal">
      <formula>"Fail"</formula>
    </cfRule>
    <cfRule type="cellIs" dxfId="3706" priority="5060" stopIfTrue="1" operator="equal">
      <formula>"Pass"</formula>
    </cfRule>
  </conditionalFormatting>
  <conditionalFormatting sqref="A500 D500:I500">
    <cfRule type="cellIs" dxfId="3705" priority="5055" stopIfTrue="1" operator="equal">
      <formula>"Fail"</formula>
    </cfRule>
    <cfRule type="cellIs" dxfId="3704" priority="5056" stopIfTrue="1" operator="equal">
      <formula>"Pass"</formula>
    </cfRule>
  </conditionalFormatting>
  <conditionalFormatting sqref="A500 C500:I500">
    <cfRule type="cellIs" dxfId="3703" priority="5057" stopIfTrue="1" operator="equal">
      <formula>"Fail"</formula>
    </cfRule>
    <cfRule type="cellIs" dxfId="3702" priority="5058" stopIfTrue="1" operator="equal">
      <formula>"Pass"</formula>
    </cfRule>
  </conditionalFormatting>
  <conditionalFormatting sqref="I500">
    <cfRule type="cellIs" dxfId="3701" priority="5053" stopIfTrue="1" operator="equal">
      <formula>"Fail"</formula>
    </cfRule>
    <cfRule type="cellIs" dxfId="3700" priority="5054" stopIfTrue="1" operator="equal">
      <formula>"Pass"</formula>
    </cfRule>
  </conditionalFormatting>
  <conditionalFormatting sqref="C500">
    <cfRule type="cellIs" dxfId="3699" priority="5051" stopIfTrue="1" operator="equal">
      <formula>"Fail"</formula>
    </cfRule>
    <cfRule type="cellIs" dxfId="3698" priority="5052" stopIfTrue="1" operator="equal">
      <formula>"Pass"</formula>
    </cfRule>
  </conditionalFormatting>
  <conditionalFormatting sqref="B500">
    <cfRule type="cellIs" dxfId="3697" priority="5049" stopIfTrue="1" operator="equal">
      <formula>"Fail"</formula>
    </cfRule>
    <cfRule type="cellIs" dxfId="3696" priority="5050" stopIfTrue="1" operator="equal">
      <formula>"Pass"</formula>
    </cfRule>
  </conditionalFormatting>
  <conditionalFormatting sqref="F506:H506">
    <cfRule type="cellIs" dxfId="3695" priority="5047" stopIfTrue="1" operator="equal">
      <formula>"Fail"</formula>
    </cfRule>
    <cfRule type="cellIs" dxfId="3694" priority="5048" stopIfTrue="1" operator="equal">
      <formula>"Pass"</formula>
    </cfRule>
  </conditionalFormatting>
  <conditionalFormatting sqref="F506:H506">
    <cfRule type="cellIs" dxfId="3693" priority="5045" stopIfTrue="1" operator="equal">
      <formula>"Fail"</formula>
    </cfRule>
    <cfRule type="cellIs" dxfId="3692" priority="5046" stopIfTrue="1" operator="equal">
      <formula>"Pass"</formula>
    </cfRule>
  </conditionalFormatting>
  <conditionalFormatting sqref="I506">
    <cfRule type="cellIs" dxfId="3691" priority="5039" stopIfTrue="1" operator="equal">
      <formula>"Fail"</formula>
    </cfRule>
    <cfRule type="cellIs" dxfId="3690" priority="5040" stopIfTrue="1" operator="equal">
      <formula>"Pass"</formula>
    </cfRule>
  </conditionalFormatting>
  <conditionalFormatting sqref="I506">
    <cfRule type="cellIs" dxfId="3689" priority="5043" stopIfTrue="1" operator="equal">
      <formula>"Fail"</formula>
    </cfRule>
    <cfRule type="cellIs" dxfId="3688" priority="5044" stopIfTrue="1" operator="equal">
      <formula>"Pass"</formula>
    </cfRule>
  </conditionalFormatting>
  <conditionalFormatting sqref="I506">
    <cfRule type="cellIs" dxfId="3687" priority="5041" stopIfTrue="1" operator="equal">
      <formula>"Fail"</formula>
    </cfRule>
    <cfRule type="cellIs" dxfId="3686" priority="5042" stopIfTrue="1" operator="equal">
      <formula>"Pass"</formula>
    </cfRule>
  </conditionalFormatting>
  <conditionalFormatting sqref="E506 I506">
    <cfRule type="cellIs" dxfId="3685" priority="5037" stopIfTrue="1" operator="equal">
      <formula>"Fail"</formula>
    </cfRule>
    <cfRule type="cellIs" dxfId="3684" priority="5038" stopIfTrue="1" operator="equal">
      <formula>"Pass"</formula>
    </cfRule>
  </conditionalFormatting>
  <conditionalFormatting sqref="A505 D505:I505">
    <cfRule type="cellIs" dxfId="3683" priority="5033" stopIfTrue="1" operator="equal">
      <formula>"Fail"</formula>
    </cfRule>
    <cfRule type="cellIs" dxfId="3682" priority="5034" stopIfTrue="1" operator="equal">
      <formula>"Pass"</formula>
    </cfRule>
  </conditionalFormatting>
  <conditionalFormatting sqref="A505 C505:I505">
    <cfRule type="cellIs" dxfId="3681" priority="5035" stopIfTrue="1" operator="equal">
      <formula>"Fail"</formula>
    </cfRule>
    <cfRule type="cellIs" dxfId="3680" priority="5036" stopIfTrue="1" operator="equal">
      <formula>"Pass"</formula>
    </cfRule>
  </conditionalFormatting>
  <conditionalFormatting sqref="I505">
    <cfRule type="cellIs" dxfId="3679" priority="5031" stopIfTrue="1" operator="equal">
      <formula>"Fail"</formula>
    </cfRule>
    <cfRule type="cellIs" dxfId="3678" priority="5032" stopIfTrue="1" operator="equal">
      <formula>"Pass"</formula>
    </cfRule>
  </conditionalFormatting>
  <conditionalFormatting sqref="C505">
    <cfRule type="cellIs" dxfId="3677" priority="5029" stopIfTrue="1" operator="equal">
      <formula>"Fail"</formula>
    </cfRule>
    <cfRule type="cellIs" dxfId="3676" priority="5030" stopIfTrue="1" operator="equal">
      <formula>"Pass"</formula>
    </cfRule>
  </conditionalFormatting>
  <conditionalFormatting sqref="B505">
    <cfRule type="cellIs" dxfId="3675" priority="5027" stopIfTrue="1" operator="equal">
      <formula>"Fail"</formula>
    </cfRule>
    <cfRule type="cellIs" dxfId="3674" priority="5028" stopIfTrue="1" operator="equal">
      <formula>"Pass"</formula>
    </cfRule>
  </conditionalFormatting>
  <conditionalFormatting sqref="A230:A231 C231:I231 C230:D230 F230:I230">
    <cfRule type="cellIs" dxfId="3673" priority="5025" stopIfTrue="1" operator="equal">
      <formula>"Fail"</formula>
    </cfRule>
    <cfRule type="cellIs" dxfId="3672" priority="5026" stopIfTrue="1" operator="equal">
      <formula>"Pass"</formula>
    </cfRule>
  </conditionalFormatting>
  <conditionalFormatting sqref="B231">
    <cfRule type="cellIs" dxfId="3671" priority="5023" stopIfTrue="1" operator="equal">
      <formula>"Fail"</formula>
    </cfRule>
    <cfRule type="cellIs" dxfId="3670" priority="5024" stopIfTrue="1" operator="equal">
      <formula>"Pass"</formula>
    </cfRule>
  </conditionalFormatting>
  <conditionalFormatting sqref="A231">
    <cfRule type="cellIs" dxfId="3669" priority="5021" stopIfTrue="1" operator="equal">
      <formula>"Fail"</formula>
    </cfRule>
    <cfRule type="cellIs" dxfId="3668" priority="5022" stopIfTrue="1" operator="equal">
      <formula>"Pass"</formula>
    </cfRule>
  </conditionalFormatting>
  <conditionalFormatting sqref="I231">
    <cfRule type="cellIs" dxfId="3667" priority="5015" stopIfTrue="1" operator="equal">
      <formula>"Fail"</formula>
    </cfRule>
    <cfRule type="cellIs" dxfId="3666" priority="5016" stopIfTrue="1" operator="equal">
      <formula>"Pass"</formula>
    </cfRule>
  </conditionalFormatting>
  <conditionalFormatting sqref="I231">
    <cfRule type="cellIs" dxfId="3665" priority="5019" stopIfTrue="1" operator="equal">
      <formula>"Fail"</formula>
    </cfRule>
    <cfRule type="cellIs" dxfId="3664" priority="5020" stopIfTrue="1" operator="equal">
      <formula>"Pass"</formula>
    </cfRule>
  </conditionalFormatting>
  <conditionalFormatting sqref="I231">
    <cfRule type="cellIs" dxfId="3663" priority="5017" stopIfTrue="1" operator="equal">
      <formula>"Fail"</formula>
    </cfRule>
    <cfRule type="cellIs" dxfId="3662" priority="5018" stopIfTrue="1" operator="equal">
      <formula>"Pass"</formula>
    </cfRule>
  </conditionalFormatting>
  <conditionalFormatting sqref="I230">
    <cfRule type="cellIs" dxfId="3661" priority="5009" stopIfTrue="1" operator="equal">
      <formula>"Fail"</formula>
    </cfRule>
    <cfRule type="cellIs" dxfId="3660" priority="5010" stopIfTrue="1" operator="equal">
      <formula>"Pass"</formula>
    </cfRule>
  </conditionalFormatting>
  <conditionalFormatting sqref="C230">
    <cfRule type="cellIs" dxfId="3659" priority="5007" stopIfTrue="1" operator="equal">
      <formula>"Fail"</formula>
    </cfRule>
    <cfRule type="cellIs" dxfId="3658" priority="5008" stopIfTrue="1" operator="equal">
      <formula>"Pass"</formula>
    </cfRule>
  </conditionalFormatting>
  <conditionalFormatting sqref="C230:D230 A230 F230:I230">
    <cfRule type="cellIs" dxfId="3657" priority="5013" stopIfTrue="1" operator="equal">
      <formula>"Fail"</formula>
    </cfRule>
    <cfRule type="cellIs" dxfId="3656" priority="5014" stopIfTrue="1" operator="equal">
      <formula>"Pass"</formula>
    </cfRule>
  </conditionalFormatting>
  <conditionalFormatting sqref="D230 A230 F230:I230">
    <cfRule type="cellIs" dxfId="3655" priority="5011" stopIfTrue="1" operator="equal">
      <formula>"Fail"</formula>
    </cfRule>
    <cfRule type="cellIs" dxfId="3654" priority="5012" stopIfTrue="1" operator="equal">
      <formula>"Pass"</formula>
    </cfRule>
  </conditionalFormatting>
  <conditionalFormatting sqref="B230:B231">
    <cfRule type="cellIs" dxfId="3653" priority="5005" stopIfTrue="1" operator="equal">
      <formula>"Fail"</formula>
    </cfRule>
    <cfRule type="cellIs" dxfId="3652" priority="5006" stopIfTrue="1" operator="equal">
      <formula>"Pass"</formula>
    </cfRule>
  </conditionalFormatting>
  <conditionalFormatting sqref="E230">
    <cfRule type="cellIs" dxfId="3651" priority="5003" stopIfTrue="1" operator="equal">
      <formula>"Fail"</formula>
    </cfRule>
    <cfRule type="cellIs" dxfId="3650" priority="5004" stopIfTrue="1" operator="equal">
      <formula>"Pass"</formula>
    </cfRule>
  </conditionalFormatting>
  <conditionalFormatting sqref="A242 C242:I242">
    <cfRule type="cellIs" dxfId="3649" priority="5001" stopIfTrue="1" operator="equal">
      <formula>"Fail"</formula>
    </cfRule>
    <cfRule type="cellIs" dxfId="3648" priority="5002" stopIfTrue="1" operator="equal">
      <formula>"Pass"</formula>
    </cfRule>
  </conditionalFormatting>
  <conditionalFormatting sqref="F235:H235">
    <cfRule type="cellIs" dxfId="3647" priority="4999" stopIfTrue="1" operator="equal">
      <formula>"Fail"</formula>
    </cfRule>
    <cfRule type="cellIs" dxfId="3646" priority="5000" stopIfTrue="1" operator="equal">
      <formula>"Pass"</formula>
    </cfRule>
  </conditionalFormatting>
  <conditionalFormatting sqref="F235:H235">
    <cfRule type="cellIs" dxfId="3645" priority="4997" stopIfTrue="1" operator="equal">
      <formula>"Fail"</formula>
    </cfRule>
    <cfRule type="cellIs" dxfId="3644" priority="4998" stopIfTrue="1" operator="equal">
      <formula>"Pass"</formula>
    </cfRule>
  </conditionalFormatting>
  <conditionalFormatting sqref="I235">
    <cfRule type="cellIs" dxfId="3643" priority="4987" stopIfTrue="1" operator="equal">
      <formula>"Fail"</formula>
    </cfRule>
    <cfRule type="cellIs" dxfId="3642" priority="4988" stopIfTrue="1" operator="equal">
      <formula>"Pass"</formula>
    </cfRule>
  </conditionalFormatting>
  <conditionalFormatting sqref="I235">
    <cfRule type="cellIs" dxfId="3641" priority="4991" stopIfTrue="1" operator="equal">
      <formula>"Fail"</formula>
    </cfRule>
    <cfRule type="cellIs" dxfId="3640" priority="4992" stopIfTrue="1" operator="equal">
      <formula>"Pass"</formula>
    </cfRule>
  </conditionalFormatting>
  <conditionalFormatting sqref="I235">
    <cfRule type="cellIs" dxfId="3639" priority="4989" stopIfTrue="1" operator="equal">
      <formula>"Fail"</formula>
    </cfRule>
    <cfRule type="cellIs" dxfId="3638" priority="4990" stopIfTrue="1" operator="equal">
      <formula>"Pass"</formula>
    </cfRule>
  </conditionalFormatting>
  <conditionalFormatting sqref="E235 I235">
    <cfRule type="cellIs" dxfId="3637" priority="4985" stopIfTrue="1" operator="equal">
      <formula>"Fail"</formula>
    </cfRule>
    <cfRule type="cellIs" dxfId="3636" priority="4986" stopIfTrue="1" operator="equal">
      <formula>"Pass"</formula>
    </cfRule>
  </conditionalFormatting>
  <conditionalFormatting sqref="A236 D236:I236">
    <cfRule type="cellIs" dxfId="3635" priority="4981" stopIfTrue="1" operator="equal">
      <formula>"Fail"</formula>
    </cfRule>
    <cfRule type="cellIs" dxfId="3634" priority="4982" stopIfTrue="1" operator="equal">
      <formula>"Pass"</formula>
    </cfRule>
  </conditionalFormatting>
  <conditionalFormatting sqref="A236 C236:I236">
    <cfRule type="cellIs" dxfId="3633" priority="4983" stopIfTrue="1" operator="equal">
      <formula>"Fail"</formula>
    </cfRule>
    <cfRule type="cellIs" dxfId="3632" priority="4984" stopIfTrue="1" operator="equal">
      <formula>"Pass"</formula>
    </cfRule>
  </conditionalFormatting>
  <conditionalFormatting sqref="I236">
    <cfRule type="cellIs" dxfId="3631" priority="4979" stopIfTrue="1" operator="equal">
      <formula>"Fail"</formula>
    </cfRule>
    <cfRule type="cellIs" dxfId="3630" priority="4980" stopIfTrue="1" operator="equal">
      <formula>"Pass"</formula>
    </cfRule>
  </conditionalFormatting>
  <conditionalFormatting sqref="C236">
    <cfRule type="cellIs" dxfId="3629" priority="4977" stopIfTrue="1" operator="equal">
      <formula>"Fail"</formula>
    </cfRule>
    <cfRule type="cellIs" dxfId="3628" priority="4978" stopIfTrue="1" operator="equal">
      <formula>"Pass"</formula>
    </cfRule>
  </conditionalFormatting>
  <conditionalFormatting sqref="B236">
    <cfRule type="cellIs" dxfId="3627" priority="4975" stopIfTrue="1" operator="equal">
      <formula>"Fail"</formula>
    </cfRule>
    <cfRule type="cellIs" dxfId="3626" priority="4976" stopIfTrue="1" operator="equal">
      <formula>"Pass"</formula>
    </cfRule>
  </conditionalFormatting>
  <conditionalFormatting sqref="A240 D240:I240">
    <cfRule type="cellIs" dxfId="3625" priority="4971" stopIfTrue="1" operator="equal">
      <formula>"Fail"</formula>
    </cfRule>
    <cfRule type="cellIs" dxfId="3624" priority="4972" stopIfTrue="1" operator="equal">
      <formula>"Pass"</formula>
    </cfRule>
  </conditionalFormatting>
  <conditionalFormatting sqref="A240 C240:I240">
    <cfRule type="cellIs" dxfId="3623" priority="4973" stopIfTrue="1" operator="equal">
      <formula>"Fail"</formula>
    </cfRule>
    <cfRule type="cellIs" dxfId="3622" priority="4974" stopIfTrue="1" operator="equal">
      <formula>"Pass"</formula>
    </cfRule>
  </conditionalFormatting>
  <conditionalFormatting sqref="I240">
    <cfRule type="cellIs" dxfId="3621" priority="4969" stopIfTrue="1" operator="equal">
      <formula>"Fail"</formula>
    </cfRule>
    <cfRule type="cellIs" dxfId="3620" priority="4970" stopIfTrue="1" operator="equal">
      <formula>"Pass"</formula>
    </cfRule>
  </conditionalFormatting>
  <conditionalFormatting sqref="C240">
    <cfRule type="cellIs" dxfId="3619" priority="4967" stopIfTrue="1" operator="equal">
      <formula>"Fail"</formula>
    </cfRule>
    <cfRule type="cellIs" dxfId="3618" priority="4968" stopIfTrue="1" operator="equal">
      <formula>"Pass"</formula>
    </cfRule>
  </conditionalFormatting>
  <conditionalFormatting sqref="B240">
    <cfRule type="cellIs" dxfId="3617" priority="4965" stopIfTrue="1" operator="equal">
      <formula>"Fail"</formula>
    </cfRule>
    <cfRule type="cellIs" dxfId="3616" priority="4966" stopIfTrue="1" operator="equal">
      <formula>"Pass"</formula>
    </cfRule>
  </conditionalFormatting>
  <conditionalFormatting sqref="F237:H237">
    <cfRule type="cellIs" dxfId="3615" priority="4963" stopIfTrue="1" operator="equal">
      <formula>"Fail"</formula>
    </cfRule>
    <cfRule type="cellIs" dxfId="3614" priority="4964" stopIfTrue="1" operator="equal">
      <formula>"Pass"</formula>
    </cfRule>
  </conditionalFormatting>
  <conditionalFormatting sqref="F237:H237">
    <cfRule type="cellIs" dxfId="3613" priority="4961" stopIfTrue="1" operator="equal">
      <formula>"Fail"</formula>
    </cfRule>
    <cfRule type="cellIs" dxfId="3612" priority="4962" stopIfTrue="1" operator="equal">
      <formula>"Pass"</formula>
    </cfRule>
  </conditionalFormatting>
  <conditionalFormatting sqref="I237">
    <cfRule type="cellIs" dxfId="3611" priority="4955" stopIfTrue="1" operator="equal">
      <formula>"Fail"</formula>
    </cfRule>
    <cfRule type="cellIs" dxfId="3610" priority="4956" stopIfTrue="1" operator="equal">
      <formula>"Pass"</formula>
    </cfRule>
  </conditionalFormatting>
  <conditionalFormatting sqref="I237">
    <cfRule type="cellIs" dxfId="3609" priority="4959" stopIfTrue="1" operator="equal">
      <formula>"Fail"</formula>
    </cfRule>
    <cfRule type="cellIs" dxfId="3608" priority="4960" stopIfTrue="1" operator="equal">
      <formula>"Pass"</formula>
    </cfRule>
  </conditionalFormatting>
  <conditionalFormatting sqref="I237">
    <cfRule type="cellIs" dxfId="3607" priority="4957" stopIfTrue="1" operator="equal">
      <formula>"Fail"</formula>
    </cfRule>
    <cfRule type="cellIs" dxfId="3606" priority="4958" stopIfTrue="1" operator="equal">
      <formula>"Pass"</formula>
    </cfRule>
  </conditionalFormatting>
  <conditionalFormatting sqref="E237 I237">
    <cfRule type="cellIs" dxfId="3605" priority="4953" stopIfTrue="1" operator="equal">
      <formula>"Fail"</formula>
    </cfRule>
    <cfRule type="cellIs" dxfId="3604" priority="4954" stopIfTrue="1" operator="equal">
      <formula>"Pass"</formula>
    </cfRule>
  </conditionalFormatting>
  <conditionalFormatting sqref="F241:H241">
    <cfRule type="cellIs" dxfId="3603" priority="4951" stopIfTrue="1" operator="equal">
      <formula>"Fail"</formula>
    </cfRule>
    <cfRule type="cellIs" dxfId="3602" priority="4952" stopIfTrue="1" operator="equal">
      <formula>"Pass"</formula>
    </cfRule>
  </conditionalFormatting>
  <conditionalFormatting sqref="F241:H241">
    <cfRule type="cellIs" dxfId="3601" priority="4949" stopIfTrue="1" operator="equal">
      <formula>"Fail"</formula>
    </cfRule>
    <cfRule type="cellIs" dxfId="3600" priority="4950" stopIfTrue="1" operator="equal">
      <formula>"Pass"</formula>
    </cfRule>
  </conditionalFormatting>
  <conditionalFormatting sqref="I241">
    <cfRule type="cellIs" dxfId="3599" priority="4943" stopIfTrue="1" operator="equal">
      <formula>"Fail"</formula>
    </cfRule>
    <cfRule type="cellIs" dxfId="3598" priority="4944" stopIfTrue="1" operator="equal">
      <formula>"Pass"</formula>
    </cfRule>
  </conditionalFormatting>
  <conditionalFormatting sqref="I241">
    <cfRule type="cellIs" dxfId="3597" priority="4947" stopIfTrue="1" operator="equal">
      <formula>"Fail"</formula>
    </cfRule>
    <cfRule type="cellIs" dxfId="3596" priority="4948" stopIfTrue="1" operator="equal">
      <formula>"Pass"</formula>
    </cfRule>
  </conditionalFormatting>
  <conditionalFormatting sqref="I241">
    <cfRule type="cellIs" dxfId="3595" priority="4945" stopIfTrue="1" operator="equal">
      <formula>"Fail"</formula>
    </cfRule>
    <cfRule type="cellIs" dxfId="3594" priority="4946" stopIfTrue="1" operator="equal">
      <formula>"Pass"</formula>
    </cfRule>
  </conditionalFormatting>
  <conditionalFormatting sqref="E241 I241">
    <cfRule type="cellIs" dxfId="3593" priority="4941" stopIfTrue="1" operator="equal">
      <formula>"Fail"</formula>
    </cfRule>
    <cfRule type="cellIs" dxfId="3592" priority="4942" stopIfTrue="1" operator="equal">
      <formula>"Pass"</formula>
    </cfRule>
  </conditionalFormatting>
  <conditionalFormatting sqref="B242">
    <cfRule type="cellIs" dxfId="3591" priority="4939" stopIfTrue="1" operator="equal">
      <formula>"Fail"</formula>
    </cfRule>
    <cfRule type="cellIs" dxfId="3590" priority="4940" stopIfTrue="1" operator="equal">
      <formula>"Pass"</formula>
    </cfRule>
  </conditionalFormatting>
  <conditionalFormatting sqref="F228:H228">
    <cfRule type="cellIs" dxfId="3589" priority="4929" stopIfTrue="1" operator="equal">
      <formula>"Fail"</formula>
    </cfRule>
    <cfRule type="cellIs" dxfId="3588" priority="4930" stopIfTrue="1" operator="equal">
      <formula>"Pass"</formula>
    </cfRule>
  </conditionalFormatting>
  <conditionalFormatting sqref="F228:H228">
    <cfRule type="cellIs" dxfId="3587" priority="4927" stopIfTrue="1" operator="equal">
      <formula>"Fail"</formula>
    </cfRule>
    <cfRule type="cellIs" dxfId="3586" priority="4928" stopIfTrue="1" operator="equal">
      <formula>"Pass"</formula>
    </cfRule>
  </conditionalFormatting>
  <conditionalFormatting sqref="I228">
    <cfRule type="cellIs" dxfId="3585" priority="4921" stopIfTrue="1" operator="equal">
      <formula>"Fail"</formula>
    </cfRule>
    <cfRule type="cellIs" dxfId="3584" priority="4922" stopIfTrue="1" operator="equal">
      <formula>"Pass"</formula>
    </cfRule>
  </conditionalFormatting>
  <conditionalFormatting sqref="I228">
    <cfRule type="cellIs" dxfId="3583" priority="4925" stopIfTrue="1" operator="equal">
      <formula>"Fail"</formula>
    </cfRule>
    <cfRule type="cellIs" dxfId="3582" priority="4926" stopIfTrue="1" operator="equal">
      <formula>"Pass"</formula>
    </cfRule>
  </conditionalFormatting>
  <conditionalFormatting sqref="I228">
    <cfRule type="cellIs" dxfId="3581" priority="4923" stopIfTrue="1" operator="equal">
      <formula>"Fail"</formula>
    </cfRule>
    <cfRule type="cellIs" dxfId="3580" priority="4924" stopIfTrue="1" operator="equal">
      <formula>"Pass"</formula>
    </cfRule>
  </conditionalFormatting>
  <conditionalFormatting sqref="E228 I228">
    <cfRule type="cellIs" dxfId="3579" priority="4919" stopIfTrue="1" operator="equal">
      <formula>"Fail"</formula>
    </cfRule>
    <cfRule type="cellIs" dxfId="3578" priority="4920" stopIfTrue="1" operator="equal">
      <formula>"Pass"</formula>
    </cfRule>
  </conditionalFormatting>
  <conditionalFormatting sqref="A229 D229:I229">
    <cfRule type="cellIs" dxfId="3577" priority="4915" stopIfTrue="1" operator="equal">
      <formula>"Fail"</formula>
    </cfRule>
    <cfRule type="cellIs" dxfId="3576" priority="4916" stopIfTrue="1" operator="equal">
      <formula>"Pass"</formula>
    </cfRule>
  </conditionalFormatting>
  <conditionalFormatting sqref="A229 C229:I229">
    <cfRule type="cellIs" dxfId="3575" priority="4917" stopIfTrue="1" operator="equal">
      <formula>"Fail"</formula>
    </cfRule>
    <cfRule type="cellIs" dxfId="3574" priority="4918" stopIfTrue="1" operator="equal">
      <formula>"Pass"</formula>
    </cfRule>
  </conditionalFormatting>
  <conditionalFormatting sqref="I229">
    <cfRule type="cellIs" dxfId="3573" priority="4913" stopIfTrue="1" operator="equal">
      <formula>"Fail"</formula>
    </cfRule>
    <cfRule type="cellIs" dxfId="3572" priority="4914" stopIfTrue="1" operator="equal">
      <formula>"Pass"</formula>
    </cfRule>
  </conditionalFormatting>
  <conditionalFormatting sqref="C229">
    <cfRule type="cellIs" dxfId="3571" priority="4911" stopIfTrue="1" operator="equal">
      <formula>"Fail"</formula>
    </cfRule>
    <cfRule type="cellIs" dxfId="3570" priority="4912" stopIfTrue="1" operator="equal">
      <formula>"Pass"</formula>
    </cfRule>
  </conditionalFormatting>
  <conditionalFormatting sqref="B229">
    <cfRule type="cellIs" dxfId="3569" priority="4909" stopIfTrue="1" operator="equal">
      <formula>"Fail"</formula>
    </cfRule>
    <cfRule type="cellIs" dxfId="3568" priority="4910" stopIfTrue="1" operator="equal">
      <formula>"Pass"</formula>
    </cfRule>
  </conditionalFormatting>
  <conditionalFormatting sqref="C233:I233 A233">
    <cfRule type="cellIs" dxfId="3567" priority="4907" stopIfTrue="1" operator="equal">
      <formula>"Fail"</formula>
    </cfRule>
    <cfRule type="cellIs" dxfId="3566" priority="4908" stopIfTrue="1" operator="equal">
      <formula>"Pass"</formula>
    </cfRule>
  </conditionalFormatting>
  <conditionalFormatting sqref="D233:I233 A233">
    <cfRule type="cellIs" dxfId="3565" priority="4905" stopIfTrue="1" operator="equal">
      <formula>"Fail"</formula>
    </cfRule>
    <cfRule type="cellIs" dxfId="3564" priority="4906" stopIfTrue="1" operator="equal">
      <formula>"Pass"</formula>
    </cfRule>
  </conditionalFormatting>
  <conditionalFormatting sqref="I233">
    <cfRule type="cellIs" dxfId="3563" priority="4903" stopIfTrue="1" operator="equal">
      <formula>"Fail"</formula>
    </cfRule>
    <cfRule type="cellIs" dxfId="3562" priority="4904" stopIfTrue="1" operator="equal">
      <formula>"Pass"</formula>
    </cfRule>
  </conditionalFormatting>
  <conditionalFormatting sqref="C233">
    <cfRule type="cellIs" dxfId="3561" priority="4901" stopIfTrue="1" operator="equal">
      <formula>"Fail"</formula>
    </cfRule>
    <cfRule type="cellIs" dxfId="3560" priority="4902" stopIfTrue="1" operator="equal">
      <formula>"Pass"</formula>
    </cfRule>
  </conditionalFormatting>
  <conditionalFormatting sqref="A234 D234:I234">
    <cfRule type="cellIs" dxfId="3559" priority="4897" stopIfTrue="1" operator="equal">
      <formula>"Fail"</formula>
    </cfRule>
    <cfRule type="cellIs" dxfId="3558" priority="4898" stopIfTrue="1" operator="equal">
      <formula>"Pass"</formula>
    </cfRule>
  </conditionalFormatting>
  <conditionalFormatting sqref="A234 C234:I234">
    <cfRule type="cellIs" dxfId="3557" priority="4899" stopIfTrue="1" operator="equal">
      <formula>"Fail"</formula>
    </cfRule>
    <cfRule type="cellIs" dxfId="3556" priority="4900" stopIfTrue="1" operator="equal">
      <formula>"Pass"</formula>
    </cfRule>
  </conditionalFormatting>
  <conditionalFormatting sqref="I234">
    <cfRule type="cellIs" dxfId="3555" priority="4895" stopIfTrue="1" operator="equal">
      <formula>"Fail"</formula>
    </cfRule>
    <cfRule type="cellIs" dxfId="3554" priority="4896" stopIfTrue="1" operator="equal">
      <formula>"Pass"</formula>
    </cfRule>
  </conditionalFormatting>
  <conditionalFormatting sqref="C234">
    <cfRule type="cellIs" dxfId="3553" priority="4893" stopIfTrue="1" operator="equal">
      <formula>"Fail"</formula>
    </cfRule>
    <cfRule type="cellIs" dxfId="3552" priority="4894" stopIfTrue="1" operator="equal">
      <formula>"Pass"</formula>
    </cfRule>
  </conditionalFormatting>
  <conditionalFormatting sqref="A233 D233:I233">
    <cfRule type="cellIs" dxfId="3551" priority="4889" stopIfTrue="1" operator="equal">
      <formula>"Fail"</formula>
    </cfRule>
    <cfRule type="cellIs" dxfId="3550" priority="4890" stopIfTrue="1" operator="equal">
      <formula>"Pass"</formula>
    </cfRule>
  </conditionalFormatting>
  <conditionalFormatting sqref="A233 C233:I233">
    <cfRule type="cellIs" dxfId="3549" priority="4891" stopIfTrue="1" operator="equal">
      <formula>"Fail"</formula>
    </cfRule>
    <cfRule type="cellIs" dxfId="3548" priority="4892" stopIfTrue="1" operator="equal">
      <formula>"Pass"</formula>
    </cfRule>
  </conditionalFormatting>
  <conditionalFormatting sqref="I233">
    <cfRule type="cellIs" dxfId="3547" priority="4887" stopIfTrue="1" operator="equal">
      <formula>"Fail"</formula>
    </cfRule>
    <cfRule type="cellIs" dxfId="3546" priority="4888" stopIfTrue="1" operator="equal">
      <formula>"Pass"</formula>
    </cfRule>
  </conditionalFormatting>
  <conditionalFormatting sqref="C233">
    <cfRule type="cellIs" dxfId="3545" priority="4885" stopIfTrue="1" operator="equal">
      <formula>"Fail"</formula>
    </cfRule>
    <cfRule type="cellIs" dxfId="3544" priority="4886" stopIfTrue="1" operator="equal">
      <formula>"Pass"</formula>
    </cfRule>
  </conditionalFormatting>
  <conditionalFormatting sqref="B233">
    <cfRule type="cellIs" dxfId="3543" priority="4883" stopIfTrue="1" operator="equal">
      <formula>"Fail"</formula>
    </cfRule>
    <cfRule type="cellIs" dxfId="3542" priority="4884" stopIfTrue="1" operator="equal">
      <formula>"Pass"</formula>
    </cfRule>
  </conditionalFormatting>
  <conditionalFormatting sqref="F239:H239">
    <cfRule type="cellIs" dxfId="3541" priority="4881" stopIfTrue="1" operator="equal">
      <formula>"Fail"</formula>
    </cfRule>
    <cfRule type="cellIs" dxfId="3540" priority="4882" stopIfTrue="1" operator="equal">
      <formula>"Pass"</formula>
    </cfRule>
  </conditionalFormatting>
  <conditionalFormatting sqref="F239:H239">
    <cfRule type="cellIs" dxfId="3539" priority="4879" stopIfTrue="1" operator="equal">
      <formula>"Fail"</formula>
    </cfRule>
    <cfRule type="cellIs" dxfId="3538" priority="4880" stopIfTrue="1" operator="equal">
      <formula>"Pass"</formula>
    </cfRule>
  </conditionalFormatting>
  <conditionalFormatting sqref="I239">
    <cfRule type="cellIs" dxfId="3537" priority="4873" stopIfTrue="1" operator="equal">
      <formula>"Fail"</formula>
    </cfRule>
    <cfRule type="cellIs" dxfId="3536" priority="4874" stopIfTrue="1" operator="equal">
      <formula>"Pass"</formula>
    </cfRule>
  </conditionalFormatting>
  <conditionalFormatting sqref="I239">
    <cfRule type="cellIs" dxfId="3535" priority="4877" stopIfTrue="1" operator="equal">
      <formula>"Fail"</formula>
    </cfRule>
    <cfRule type="cellIs" dxfId="3534" priority="4878" stopIfTrue="1" operator="equal">
      <formula>"Pass"</formula>
    </cfRule>
  </conditionalFormatting>
  <conditionalFormatting sqref="I239">
    <cfRule type="cellIs" dxfId="3533" priority="4875" stopIfTrue="1" operator="equal">
      <formula>"Fail"</formula>
    </cfRule>
    <cfRule type="cellIs" dxfId="3532" priority="4876" stopIfTrue="1" operator="equal">
      <formula>"Pass"</formula>
    </cfRule>
  </conditionalFormatting>
  <conditionalFormatting sqref="E239 I239">
    <cfRule type="cellIs" dxfId="3531" priority="4871" stopIfTrue="1" operator="equal">
      <formula>"Fail"</formula>
    </cfRule>
    <cfRule type="cellIs" dxfId="3530" priority="4872" stopIfTrue="1" operator="equal">
      <formula>"Pass"</formula>
    </cfRule>
  </conditionalFormatting>
  <conditionalFormatting sqref="A238 D238:I238">
    <cfRule type="cellIs" dxfId="3529" priority="4867" stopIfTrue="1" operator="equal">
      <formula>"Fail"</formula>
    </cfRule>
    <cfRule type="cellIs" dxfId="3528" priority="4868" stopIfTrue="1" operator="equal">
      <formula>"Pass"</formula>
    </cfRule>
  </conditionalFormatting>
  <conditionalFormatting sqref="A238 C238:I238">
    <cfRule type="cellIs" dxfId="3527" priority="4869" stopIfTrue="1" operator="equal">
      <formula>"Fail"</formula>
    </cfRule>
    <cfRule type="cellIs" dxfId="3526" priority="4870" stopIfTrue="1" operator="equal">
      <formula>"Pass"</formula>
    </cfRule>
  </conditionalFormatting>
  <conditionalFormatting sqref="I238">
    <cfRule type="cellIs" dxfId="3525" priority="4865" stopIfTrue="1" operator="equal">
      <formula>"Fail"</formula>
    </cfRule>
    <cfRule type="cellIs" dxfId="3524" priority="4866" stopIfTrue="1" operator="equal">
      <formula>"Pass"</formula>
    </cfRule>
  </conditionalFormatting>
  <conditionalFormatting sqref="C238">
    <cfRule type="cellIs" dxfId="3523" priority="4863" stopIfTrue="1" operator="equal">
      <formula>"Fail"</formula>
    </cfRule>
    <cfRule type="cellIs" dxfId="3522" priority="4864" stopIfTrue="1" operator="equal">
      <formula>"Pass"</formula>
    </cfRule>
  </conditionalFormatting>
  <conditionalFormatting sqref="B238">
    <cfRule type="cellIs" dxfId="3521" priority="4861" stopIfTrue="1" operator="equal">
      <formula>"Fail"</formula>
    </cfRule>
    <cfRule type="cellIs" dxfId="3520" priority="4862" stopIfTrue="1" operator="equal">
      <formula>"Pass"</formula>
    </cfRule>
  </conditionalFormatting>
  <conditionalFormatting sqref="I232">
    <cfRule type="cellIs" dxfId="3519" priority="4855" stopIfTrue="1" operator="equal">
      <formula>"Fail"</formula>
    </cfRule>
    <cfRule type="cellIs" dxfId="3518" priority="4856" stopIfTrue="1" operator="equal">
      <formula>"Pass"</formula>
    </cfRule>
  </conditionalFormatting>
  <conditionalFormatting sqref="C232">
    <cfRule type="cellIs" dxfId="3517" priority="4853" stopIfTrue="1" operator="equal">
      <formula>"Fail"</formula>
    </cfRule>
    <cfRule type="cellIs" dxfId="3516" priority="4854" stopIfTrue="1" operator="equal">
      <formula>"Pass"</formula>
    </cfRule>
  </conditionalFormatting>
  <conditionalFormatting sqref="C232:I232 A232">
    <cfRule type="cellIs" dxfId="3515" priority="4859" stopIfTrue="1" operator="equal">
      <formula>"Fail"</formula>
    </cfRule>
    <cfRule type="cellIs" dxfId="3514" priority="4860" stopIfTrue="1" operator="equal">
      <formula>"Pass"</formula>
    </cfRule>
  </conditionalFormatting>
  <conditionalFormatting sqref="D232:I232 A232">
    <cfRule type="cellIs" dxfId="3513" priority="4857" stopIfTrue="1" operator="equal">
      <formula>"Fail"</formula>
    </cfRule>
    <cfRule type="cellIs" dxfId="3512" priority="4858" stopIfTrue="1" operator="equal">
      <formula>"Pass"</formula>
    </cfRule>
  </conditionalFormatting>
  <conditionalFormatting sqref="A632:A633 C633:I633 C632:D632 F632:I632">
    <cfRule type="cellIs" dxfId="3511" priority="4851" stopIfTrue="1" operator="equal">
      <formula>"Fail"</formula>
    </cfRule>
    <cfRule type="cellIs" dxfId="3510" priority="4852" stopIfTrue="1" operator="equal">
      <formula>"Pass"</formula>
    </cfRule>
  </conditionalFormatting>
  <conditionalFormatting sqref="B633">
    <cfRule type="cellIs" dxfId="3509" priority="4849" stopIfTrue="1" operator="equal">
      <formula>"Fail"</formula>
    </cfRule>
    <cfRule type="cellIs" dxfId="3508" priority="4850" stopIfTrue="1" operator="equal">
      <formula>"Pass"</formula>
    </cfRule>
  </conditionalFormatting>
  <conditionalFormatting sqref="A633">
    <cfRule type="cellIs" dxfId="3507" priority="4847" stopIfTrue="1" operator="equal">
      <formula>"Fail"</formula>
    </cfRule>
    <cfRule type="cellIs" dxfId="3506" priority="4848" stopIfTrue="1" operator="equal">
      <formula>"Pass"</formula>
    </cfRule>
  </conditionalFormatting>
  <conditionalFormatting sqref="I633">
    <cfRule type="cellIs" dxfId="3505" priority="4841" stopIfTrue="1" operator="equal">
      <formula>"Fail"</formula>
    </cfRule>
    <cfRule type="cellIs" dxfId="3504" priority="4842" stopIfTrue="1" operator="equal">
      <formula>"Pass"</formula>
    </cfRule>
  </conditionalFormatting>
  <conditionalFormatting sqref="I633">
    <cfRule type="cellIs" dxfId="3503" priority="4845" stopIfTrue="1" operator="equal">
      <formula>"Fail"</formula>
    </cfRule>
    <cfRule type="cellIs" dxfId="3502" priority="4846" stopIfTrue="1" operator="equal">
      <formula>"Pass"</formula>
    </cfRule>
  </conditionalFormatting>
  <conditionalFormatting sqref="I633">
    <cfRule type="cellIs" dxfId="3501" priority="4843" stopIfTrue="1" operator="equal">
      <formula>"Fail"</formula>
    </cfRule>
    <cfRule type="cellIs" dxfId="3500" priority="4844" stopIfTrue="1" operator="equal">
      <formula>"Pass"</formula>
    </cfRule>
  </conditionalFormatting>
  <conditionalFormatting sqref="I632">
    <cfRule type="cellIs" dxfId="3499" priority="4835" stopIfTrue="1" operator="equal">
      <formula>"Fail"</formula>
    </cfRule>
    <cfRule type="cellIs" dxfId="3498" priority="4836" stopIfTrue="1" operator="equal">
      <formula>"Pass"</formula>
    </cfRule>
  </conditionalFormatting>
  <conditionalFormatting sqref="C632">
    <cfRule type="cellIs" dxfId="3497" priority="4833" stopIfTrue="1" operator="equal">
      <formula>"Fail"</formula>
    </cfRule>
    <cfRule type="cellIs" dxfId="3496" priority="4834" stopIfTrue="1" operator="equal">
      <formula>"Pass"</formula>
    </cfRule>
  </conditionalFormatting>
  <conditionalFormatting sqref="C632:D632 A632 F632:I632">
    <cfRule type="cellIs" dxfId="3495" priority="4839" stopIfTrue="1" operator="equal">
      <formula>"Fail"</formula>
    </cfRule>
    <cfRule type="cellIs" dxfId="3494" priority="4840" stopIfTrue="1" operator="equal">
      <formula>"Pass"</formula>
    </cfRule>
  </conditionalFormatting>
  <conditionalFormatting sqref="D632 A632 F632:I632">
    <cfRule type="cellIs" dxfId="3493" priority="4837" stopIfTrue="1" operator="equal">
      <formula>"Fail"</formula>
    </cfRule>
    <cfRule type="cellIs" dxfId="3492" priority="4838" stopIfTrue="1" operator="equal">
      <formula>"Pass"</formula>
    </cfRule>
  </conditionalFormatting>
  <conditionalFormatting sqref="B632:B633">
    <cfRule type="cellIs" dxfId="3491" priority="4831" stopIfTrue="1" operator="equal">
      <formula>"Fail"</formula>
    </cfRule>
    <cfRule type="cellIs" dxfId="3490" priority="4832" stopIfTrue="1" operator="equal">
      <formula>"Pass"</formula>
    </cfRule>
  </conditionalFormatting>
  <conditionalFormatting sqref="E632">
    <cfRule type="cellIs" dxfId="3489" priority="4829" stopIfTrue="1" operator="equal">
      <formula>"Fail"</formula>
    </cfRule>
    <cfRule type="cellIs" dxfId="3488" priority="4830" stopIfTrue="1" operator="equal">
      <formula>"Pass"</formula>
    </cfRule>
  </conditionalFormatting>
  <conditionalFormatting sqref="A642 C642:I642">
    <cfRule type="cellIs" dxfId="3487" priority="4827" stopIfTrue="1" operator="equal">
      <formula>"Fail"</formula>
    </cfRule>
    <cfRule type="cellIs" dxfId="3486" priority="4828" stopIfTrue="1" operator="equal">
      <formula>"Pass"</formula>
    </cfRule>
  </conditionalFormatting>
  <conditionalFormatting sqref="F635:H635">
    <cfRule type="cellIs" dxfId="3485" priority="4825" stopIfTrue="1" operator="equal">
      <formula>"Fail"</formula>
    </cfRule>
    <cfRule type="cellIs" dxfId="3484" priority="4826" stopIfTrue="1" operator="equal">
      <formula>"Pass"</formula>
    </cfRule>
  </conditionalFormatting>
  <conditionalFormatting sqref="F635:H635">
    <cfRule type="cellIs" dxfId="3483" priority="4823" stopIfTrue="1" operator="equal">
      <formula>"Fail"</formula>
    </cfRule>
    <cfRule type="cellIs" dxfId="3482" priority="4824" stopIfTrue="1" operator="equal">
      <formula>"Pass"</formula>
    </cfRule>
  </conditionalFormatting>
  <conditionalFormatting sqref="I635">
    <cfRule type="cellIs" dxfId="3481" priority="4813" stopIfTrue="1" operator="equal">
      <formula>"Fail"</formula>
    </cfRule>
    <cfRule type="cellIs" dxfId="3480" priority="4814" stopIfTrue="1" operator="equal">
      <formula>"Pass"</formula>
    </cfRule>
  </conditionalFormatting>
  <conditionalFormatting sqref="I635">
    <cfRule type="cellIs" dxfId="3479" priority="4817" stopIfTrue="1" operator="equal">
      <formula>"Fail"</formula>
    </cfRule>
    <cfRule type="cellIs" dxfId="3478" priority="4818" stopIfTrue="1" operator="equal">
      <formula>"Pass"</formula>
    </cfRule>
  </conditionalFormatting>
  <conditionalFormatting sqref="I635">
    <cfRule type="cellIs" dxfId="3477" priority="4815" stopIfTrue="1" operator="equal">
      <formula>"Fail"</formula>
    </cfRule>
    <cfRule type="cellIs" dxfId="3476" priority="4816" stopIfTrue="1" operator="equal">
      <formula>"Pass"</formula>
    </cfRule>
  </conditionalFormatting>
  <conditionalFormatting sqref="E635 I635">
    <cfRule type="cellIs" dxfId="3475" priority="4811" stopIfTrue="1" operator="equal">
      <formula>"Fail"</formula>
    </cfRule>
    <cfRule type="cellIs" dxfId="3474" priority="4812" stopIfTrue="1" operator="equal">
      <formula>"Pass"</formula>
    </cfRule>
  </conditionalFormatting>
  <conditionalFormatting sqref="A636 D636:I636">
    <cfRule type="cellIs" dxfId="3473" priority="4807" stopIfTrue="1" operator="equal">
      <formula>"Fail"</formula>
    </cfRule>
    <cfRule type="cellIs" dxfId="3472" priority="4808" stopIfTrue="1" operator="equal">
      <formula>"Pass"</formula>
    </cfRule>
  </conditionalFormatting>
  <conditionalFormatting sqref="A636 C636:I636">
    <cfRule type="cellIs" dxfId="3471" priority="4809" stopIfTrue="1" operator="equal">
      <formula>"Fail"</formula>
    </cfRule>
    <cfRule type="cellIs" dxfId="3470" priority="4810" stopIfTrue="1" operator="equal">
      <formula>"Pass"</formula>
    </cfRule>
  </conditionalFormatting>
  <conditionalFormatting sqref="I636">
    <cfRule type="cellIs" dxfId="3469" priority="4805" stopIfTrue="1" operator="equal">
      <formula>"Fail"</formula>
    </cfRule>
    <cfRule type="cellIs" dxfId="3468" priority="4806" stopIfTrue="1" operator="equal">
      <formula>"Pass"</formula>
    </cfRule>
  </conditionalFormatting>
  <conditionalFormatting sqref="C636">
    <cfRule type="cellIs" dxfId="3467" priority="4803" stopIfTrue="1" operator="equal">
      <formula>"Fail"</formula>
    </cfRule>
    <cfRule type="cellIs" dxfId="3466" priority="4804" stopIfTrue="1" operator="equal">
      <formula>"Pass"</formula>
    </cfRule>
  </conditionalFormatting>
  <conditionalFormatting sqref="B636">
    <cfRule type="cellIs" dxfId="3465" priority="4801" stopIfTrue="1" operator="equal">
      <formula>"Fail"</formula>
    </cfRule>
    <cfRule type="cellIs" dxfId="3464" priority="4802" stopIfTrue="1" operator="equal">
      <formula>"Pass"</formula>
    </cfRule>
  </conditionalFormatting>
  <conditionalFormatting sqref="A640 D640:I640">
    <cfRule type="cellIs" dxfId="3463" priority="4797" stopIfTrue="1" operator="equal">
      <formula>"Fail"</formula>
    </cfRule>
    <cfRule type="cellIs" dxfId="3462" priority="4798" stopIfTrue="1" operator="equal">
      <formula>"Pass"</formula>
    </cfRule>
  </conditionalFormatting>
  <conditionalFormatting sqref="A640 C640:I640">
    <cfRule type="cellIs" dxfId="3461" priority="4799" stopIfTrue="1" operator="equal">
      <formula>"Fail"</formula>
    </cfRule>
    <cfRule type="cellIs" dxfId="3460" priority="4800" stopIfTrue="1" operator="equal">
      <formula>"Pass"</formula>
    </cfRule>
  </conditionalFormatting>
  <conditionalFormatting sqref="I640">
    <cfRule type="cellIs" dxfId="3459" priority="4795" stopIfTrue="1" operator="equal">
      <formula>"Fail"</formula>
    </cfRule>
    <cfRule type="cellIs" dxfId="3458" priority="4796" stopIfTrue="1" operator="equal">
      <formula>"Pass"</formula>
    </cfRule>
  </conditionalFormatting>
  <conditionalFormatting sqref="C640">
    <cfRule type="cellIs" dxfId="3457" priority="4793" stopIfTrue="1" operator="equal">
      <formula>"Fail"</formula>
    </cfRule>
    <cfRule type="cellIs" dxfId="3456" priority="4794" stopIfTrue="1" operator="equal">
      <formula>"Pass"</formula>
    </cfRule>
  </conditionalFormatting>
  <conditionalFormatting sqref="B640">
    <cfRule type="cellIs" dxfId="3455" priority="4791" stopIfTrue="1" operator="equal">
      <formula>"Fail"</formula>
    </cfRule>
    <cfRule type="cellIs" dxfId="3454" priority="4792" stopIfTrue="1" operator="equal">
      <formula>"Pass"</formula>
    </cfRule>
  </conditionalFormatting>
  <conditionalFormatting sqref="F637:H637">
    <cfRule type="cellIs" dxfId="3453" priority="4789" stopIfTrue="1" operator="equal">
      <formula>"Fail"</formula>
    </cfRule>
    <cfRule type="cellIs" dxfId="3452" priority="4790" stopIfTrue="1" operator="equal">
      <formula>"Pass"</formula>
    </cfRule>
  </conditionalFormatting>
  <conditionalFormatting sqref="F637:H637">
    <cfRule type="cellIs" dxfId="3451" priority="4787" stopIfTrue="1" operator="equal">
      <formula>"Fail"</formula>
    </cfRule>
    <cfRule type="cellIs" dxfId="3450" priority="4788" stopIfTrue="1" operator="equal">
      <formula>"Pass"</formula>
    </cfRule>
  </conditionalFormatting>
  <conditionalFormatting sqref="I637">
    <cfRule type="cellIs" dxfId="3449" priority="4781" stopIfTrue="1" operator="equal">
      <formula>"Fail"</formula>
    </cfRule>
    <cfRule type="cellIs" dxfId="3448" priority="4782" stopIfTrue="1" operator="equal">
      <formula>"Pass"</formula>
    </cfRule>
  </conditionalFormatting>
  <conditionalFormatting sqref="I637">
    <cfRule type="cellIs" dxfId="3447" priority="4785" stopIfTrue="1" operator="equal">
      <formula>"Fail"</formula>
    </cfRule>
    <cfRule type="cellIs" dxfId="3446" priority="4786" stopIfTrue="1" operator="equal">
      <formula>"Pass"</formula>
    </cfRule>
  </conditionalFormatting>
  <conditionalFormatting sqref="I637">
    <cfRule type="cellIs" dxfId="3445" priority="4783" stopIfTrue="1" operator="equal">
      <formula>"Fail"</formula>
    </cfRule>
    <cfRule type="cellIs" dxfId="3444" priority="4784" stopIfTrue="1" operator="equal">
      <formula>"Pass"</formula>
    </cfRule>
  </conditionalFormatting>
  <conditionalFormatting sqref="E637 I637">
    <cfRule type="cellIs" dxfId="3443" priority="4779" stopIfTrue="1" operator="equal">
      <formula>"Fail"</formula>
    </cfRule>
    <cfRule type="cellIs" dxfId="3442" priority="4780" stopIfTrue="1" operator="equal">
      <formula>"Pass"</formula>
    </cfRule>
  </conditionalFormatting>
  <conditionalFormatting sqref="F641:H641">
    <cfRule type="cellIs" dxfId="3441" priority="4777" stopIfTrue="1" operator="equal">
      <formula>"Fail"</formula>
    </cfRule>
    <cfRule type="cellIs" dxfId="3440" priority="4778" stopIfTrue="1" operator="equal">
      <formula>"Pass"</formula>
    </cfRule>
  </conditionalFormatting>
  <conditionalFormatting sqref="F641:H641">
    <cfRule type="cellIs" dxfId="3439" priority="4775" stopIfTrue="1" operator="equal">
      <formula>"Fail"</formula>
    </cfRule>
    <cfRule type="cellIs" dxfId="3438" priority="4776" stopIfTrue="1" operator="equal">
      <formula>"Pass"</formula>
    </cfRule>
  </conditionalFormatting>
  <conditionalFormatting sqref="I641">
    <cfRule type="cellIs" dxfId="3437" priority="4769" stopIfTrue="1" operator="equal">
      <formula>"Fail"</formula>
    </cfRule>
    <cfRule type="cellIs" dxfId="3436" priority="4770" stopIfTrue="1" operator="equal">
      <formula>"Pass"</formula>
    </cfRule>
  </conditionalFormatting>
  <conditionalFormatting sqref="I641">
    <cfRule type="cellIs" dxfId="3435" priority="4773" stopIfTrue="1" operator="equal">
      <formula>"Fail"</formula>
    </cfRule>
    <cfRule type="cellIs" dxfId="3434" priority="4774" stopIfTrue="1" operator="equal">
      <formula>"Pass"</formula>
    </cfRule>
  </conditionalFormatting>
  <conditionalFormatting sqref="I641">
    <cfRule type="cellIs" dxfId="3433" priority="4771" stopIfTrue="1" operator="equal">
      <formula>"Fail"</formula>
    </cfRule>
    <cfRule type="cellIs" dxfId="3432" priority="4772" stopIfTrue="1" operator="equal">
      <formula>"Pass"</formula>
    </cfRule>
  </conditionalFormatting>
  <conditionalFormatting sqref="E641 I641">
    <cfRule type="cellIs" dxfId="3431" priority="4767" stopIfTrue="1" operator="equal">
      <formula>"Fail"</formula>
    </cfRule>
    <cfRule type="cellIs" dxfId="3430" priority="4768" stopIfTrue="1" operator="equal">
      <formula>"Pass"</formula>
    </cfRule>
  </conditionalFormatting>
  <conditionalFormatting sqref="B642">
    <cfRule type="cellIs" dxfId="3429" priority="4765" stopIfTrue="1" operator="equal">
      <formula>"Fail"</formula>
    </cfRule>
    <cfRule type="cellIs" dxfId="3428" priority="4766" stopIfTrue="1" operator="equal">
      <formula>"Pass"</formula>
    </cfRule>
  </conditionalFormatting>
  <conditionalFormatting sqref="F630:H630">
    <cfRule type="cellIs" dxfId="3427" priority="4755" stopIfTrue="1" operator="equal">
      <formula>"Fail"</formula>
    </cfRule>
    <cfRule type="cellIs" dxfId="3426" priority="4756" stopIfTrue="1" operator="equal">
      <formula>"Pass"</formula>
    </cfRule>
  </conditionalFormatting>
  <conditionalFormatting sqref="F630:H630">
    <cfRule type="cellIs" dxfId="3425" priority="4753" stopIfTrue="1" operator="equal">
      <formula>"Fail"</formula>
    </cfRule>
    <cfRule type="cellIs" dxfId="3424" priority="4754" stopIfTrue="1" operator="equal">
      <formula>"Pass"</formula>
    </cfRule>
  </conditionalFormatting>
  <conditionalFormatting sqref="I630">
    <cfRule type="cellIs" dxfId="3423" priority="4747" stopIfTrue="1" operator="equal">
      <formula>"Fail"</formula>
    </cfRule>
    <cfRule type="cellIs" dxfId="3422" priority="4748" stopIfTrue="1" operator="equal">
      <formula>"Pass"</formula>
    </cfRule>
  </conditionalFormatting>
  <conditionalFormatting sqref="I630">
    <cfRule type="cellIs" dxfId="3421" priority="4751" stopIfTrue="1" operator="equal">
      <formula>"Fail"</formula>
    </cfRule>
    <cfRule type="cellIs" dxfId="3420" priority="4752" stopIfTrue="1" operator="equal">
      <formula>"Pass"</formula>
    </cfRule>
  </conditionalFormatting>
  <conditionalFormatting sqref="I630">
    <cfRule type="cellIs" dxfId="3419" priority="4749" stopIfTrue="1" operator="equal">
      <formula>"Fail"</formula>
    </cfRule>
    <cfRule type="cellIs" dxfId="3418" priority="4750" stopIfTrue="1" operator="equal">
      <formula>"Pass"</formula>
    </cfRule>
  </conditionalFormatting>
  <conditionalFormatting sqref="E630 I630">
    <cfRule type="cellIs" dxfId="3417" priority="4745" stopIfTrue="1" operator="equal">
      <formula>"Fail"</formula>
    </cfRule>
    <cfRule type="cellIs" dxfId="3416" priority="4746" stopIfTrue="1" operator="equal">
      <formula>"Pass"</formula>
    </cfRule>
  </conditionalFormatting>
  <conditionalFormatting sqref="A631 D631:I631">
    <cfRule type="cellIs" dxfId="3415" priority="4741" stopIfTrue="1" operator="equal">
      <formula>"Fail"</formula>
    </cfRule>
    <cfRule type="cellIs" dxfId="3414" priority="4742" stopIfTrue="1" operator="equal">
      <formula>"Pass"</formula>
    </cfRule>
  </conditionalFormatting>
  <conditionalFormatting sqref="A631 C631:I631">
    <cfRule type="cellIs" dxfId="3413" priority="4743" stopIfTrue="1" operator="equal">
      <formula>"Fail"</formula>
    </cfRule>
    <cfRule type="cellIs" dxfId="3412" priority="4744" stopIfTrue="1" operator="equal">
      <formula>"Pass"</formula>
    </cfRule>
  </conditionalFormatting>
  <conditionalFormatting sqref="I631">
    <cfRule type="cellIs" dxfId="3411" priority="4739" stopIfTrue="1" operator="equal">
      <formula>"Fail"</formula>
    </cfRule>
    <cfRule type="cellIs" dxfId="3410" priority="4740" stopIfTrue="1" operator="equal">
      <formula>"Pass"</formula>
    </cfRule>
  </conditionalFormatting>
  <conditionalFormatting sqref="C631">
    <cfRule type="cellIs" dxfId="3409" priority="4737" stopIfTrue="1" operator="equal">
      <formula>"Fail"</formula>
    </cfRule>
    <cfRule type="cellIs" dxfId="3408" priority="4738" stopIfTrue="1" operator="equal">
      <formula>"Pass"</formula>
    </cfRule>
  </conditionalFormatting>
  <conditionalFormatting sqref="B631">
    <cfRule type="cellIs" dxfId="3407" priority="4735" stopIfTrue="1" operator="equal">
      <formula>"Fail"</formula>
    </cfRule>
    <cfRule type="cellIs" dxfId="3406" priority="4736" stopIfTrue="1" operator="equal">
      <formula>"Pass"</formula>
    </cfRule>
  </conditionalFormatting>
  <conditionalFormatting sqref="C634:I634 A634">
    <cfRule type="cellIs" dxfId="3405" priority="4733" stopIfTrue="1" operator="equal">
      <formula>"Fail"</formula>
    </cfRule>
    <cfRule type="cellIs" dxfId="3404" priority="4734" stopIfTrue="1" operator="equal">
      <formula>"Pass"</formula>
    </cfRule>
  </conditionalFormatting>
  <conditionalFormatting sqref="D634:I634 A634">
    <cfRule type="cellIs" dxfId="3403" priority="4731" stopIfTrue="1" operator="equal">
      <formula>"Fail"</formula>
    </cfRule>
    <cfRule type="cellIs" dxfId="3402" priority="4732" stopIfTrue="1" operator="equal">
      <formula>"Pass"</formula>
    </cfRule>
  </conditionalFormatting>
  <conditionalFormatting sqref="I634">
    <cfRule type="cellIs" dxfId="3401" priority="4729" stopIfTrue="1" operator="equal">
      <formula>"Fail"</formula>
    </cfRule>
    <cfRule type="cellIs" dxfId="3400" priority="4730" stopIfTrue="1" operator="equal">
      <formula>"Pass"</formula>
    </cfRule>
  </conditionalFormatting>
  <conditionalFormatting sqref="C634">
    <cfRule type="cellIs" dxfId="3399" priority="4727" stopIfTrue="1" operator="equal">
      <formula>"Fail"</formula>
    </cfRule>
    <cfRule type="cellIs" dxfId="3398" priority="4728" stopIfTrue="1" operator="equal">
      <formula>"Pass"</formula>
    </cfRule>
  </conditionalFormatting>
  <conditionalFormatting sqref="A634 D634:I634">
    <cfRule type="cellIs" dxfId="3397" priority="4715" stopIfTrue="1" operator="equal">
      <formula>"Fail"</formula>
    </cfRule>
    <cfRule type="cellIs" dxfId="3396" priority="4716" stopIfTrue="1" operator="equal">
      <formula>"Pass"</formula>
    </cfRule>
  </conditionalFormatting>
  <conditionalFormatting sqref="A634 C634:I634">
    <cfRule type="cellIs" dxfId="3395" priority="4717" stopIfTrue="1" operator="equal">
      <formula>"Fail"</formula>
    </cfRule>
    <cfRule type="cellIs" dxfId="3394" priority="4718" stopIfTrue="1" operator="equal">
      <formula>"Pass"</formula>
    </cfRule>
  </conditionalFormatting>
  <conditionalFormatting sqref="I634">
    <cfRule type="cellIs" dxfId="3393" priority="4713" stopIfTrue="1" operator="equal">
      <formula>"Fail"</formula>
    </cfRule>
    <cfRule type="cellIs" dxfId="3392" priority="4714" stopIfTrue="1" operator="equal">
      <formula>"Pass"</formula>
    </cfRule>
  </conditionalFormatting>
  <conditionalFormatting sqref="C634">
    <cfRule type="cellIs" dxfId="3391" priority="4711" stopIfTrue="1" operator="equal">
      <formula>"Fail"</formula>
    </cfRule>
    <cfRule type="cellIs" dxfId="3390" priority="4712" stopIfTrue="1" operator="equal">
      <formula>"Pass"</formula>
    </cfRule>
  </conditionalFormatting>
  <conditionalFormatting sqref="B634">
    <cfRule type="cellIs" dxfId="3389" priority="4709" stopIfTrue="1" operator="equal">
      <formula>"Fail"</formula>
    </cfRule>
    <cfRule type="cellIs" dxfId="3388" priority="4710" stopIfTrue="1" operator="equal">
      <formula>"Pass"</formula>
    </cfRule>
  </conditionalFormatting>
  <conditionalFormatting sqref="F639:H639">
    <cfRule type="cellIs" dxfId="3387" priority="4707" stopIfTrue="1" operator="equal">
      <formula>"Fail"</formula>
    </cfRule>
    <cfRule type="cellIs" dxfId="3386" priority="4708" stopIfTrue="1" operator="equal">
      <formula>"Pass"</formula>
    </cfRule>
  </conditionalFormatting>
  <conditionalFormatting sqref="F639:H639">
    <cfRule type="cellIs" dxfId="3385" priority="4705" stopIfTrue="1" operator="equal">
      <formula>"Fail"</formula>
    </cfRule>
    <cfRule type="cellIs" dxfId="3384" priority="4706" stopIfTrue="1" operator="equal">
      <formula>"Pass"</formula>
    </cfRule>
  </conditionalFormatting>
  <conditionalFormatting sqref="I639">
    <cfRule type="cellIs" dxfId="3383" priority="4699" stopIfTrue="1" operator="equal">
      <formula>"Fail"</formula>
    </cfRule>
    <cfRule type="cellIs" dxfId="3382" priority="4700" stopIfTrue="1" operator="equal">
      <formula>"Pass"</formula>
    </cfRule>
  </conditionalFormatting>
  <conditionalFormatting sqref="I639">
    <cfRule type="cellIs" dxfId="3381" priority="4703" stopIfTrue="1" operator="equal">
      <formula>"Fail"</formula>
    </cfRule>
    <cfRule type="cellIs" dxfId="3380" priority="4704" stopIfTrue="1" operator="equal">
      <formula>"Pass"</formula>
    </cfRule>
  </conditionalFormatting>
  <conditionalFormatting sqref="I639">
    <cfRule type="cellIs" dxfId="3379" priority="4701" stopIfTrue="1" operator="equal">
      <formula>"Fail"</formula>
    </cfRule>
    <cfRule type="cellIs" dxfId="3378" priority="4702" stopIfTrue="1" operator="equal">
      <formula>"Pass"</formula>
    </cfRule>
  </conditionalFormatting>
  <conditionalFormatting sqref="E639 I639">
    <cfRule type="cellIs" dxfId="3377" priority="4697" stopIfTrue="1" operator="equal">
      <formula>"Fail"</formula>
    </cfRule>
    <cfRule type="cellIs" dxfId="3376" priority="4698" stopIfTrue="1" operator="equal">
      <formula>"Pass"</formula>
    </cfRule>
  </conditionalFormatting>
  <conditionalFormatting sqref="A638 D638:I638">
    <cfRule type="cellIs" dxfId="3375" priority="4693" stopIfTrue="1" operator="equal">
      <formula>"Fail"</formula>
    </cfRule>
    <cfRule type="cellIs" dxfId="3374" priority="4694" stopIfTrue="1" operator="equal">
      <formula>"Pass"</formula>
    </cfRule>
  </conditionalFormatting>
  <conditionalFormatting sqref="A638 C638:I638">
    <cfRule type="cellIs" dxfId="3373" priority="4695" stopIfTrue="1" operator="equal">
      <formula>"Fail"</formula>
    </cfRule>
    <cfRule type="cellIs" dxfId="3372" priority="4696" stopIfTrue="1" operator="equal">
      <formula>"Pass"</formula>
    </cfRule>
  </conditionalFormatting>
  <conditionalFormatting sqref="I638">
    <cfRule type="cellIs" dxfId="3371" priority="4691" stopIfTrue="1" operator="equal">
      <formula>"Fail"</formula>
    </cfRule>
    <cfRule type="cellIs" dxfId="3370" priority="4692" stopIfTrue="1" operator="equal">
      <formula>"Pass"</formula>
    </cfRule>
  </conditionalFormatting>
  <conditionalFormatting sqref="C638">
    <cfRule type="cellIs" dxfId="3369" priority="4689" stopIfTrue="1" operator="equal">
      <formula>"Fail"</formula>
    </cfRule>
    <cfRule type="cellIs" dxfId="3368" priority="4690" stopIfTrue="1" operator="equal">
      <formula>"Pass"</formula>
    </cfRule>
  </conditionalFormatting>
  <conditionalFormatting sqref="B638">
    <cfRule type="cellIs" dxfId="3367" priority="4687" stopIfTrue="1" operator="equal">
      <formula>"Fail"</formula>
    </cfRule>
    <cfRule type="cellIs" dxfId="3366" priority="4688" stopIfTrue="1" operator="equal">
      <formula>"Pass"</formula>
    </cfRule>
  </conditionalFormatting>
  <conditionalFormatting sqref="I866">
    <cfRule type="cellIs" dxfId="3365" priority="4665" stopIfTrue="1" operator="equal">
      <formula>"Fail"</formula>
    </cfRule>
    <cfRule type="cellIs" dxfId="3364" priority="4666" stopIfTrue="1" operator="equal">
      <formula>"Pass"</formula>
    </cfRule>
  </conditionalFormatting>
  <conditionalFormatting sqref="C866">
    <cfRule type="cellIs" dxfId="3363" priority="4663" stopIfTrue="1" operator="equal">
      <formula>"Fail"</formula>
    </cfRule>
    <cfRule type="cellIs" dxfId="3362" priority="4664" stopIfTrue="1" operator="equal">
      <formula>"Pass"</formula>
    </cfRule>
  </conditionalFormatting>
  <conditionalFormatting sqref="C866:I866 A866">
    <cfRule type="cellIs" dxfId="3361" priority="4669" stopIfTrue="1" operator="equal">
      <formula>"Fail"</formula>
    </cfRule>
    <cfRule type="cellIs" dxfId="3360" priority="4670" stopIfTrue="1" operator="equal">
      <formula>"Pass"</formula>
    </cfRule>
  </conditionalFormatting>
  <conditionalFormatting sqref="D866:I866 A866">
    <cfRule type="cellIs" dxfId="3359" priority="4667" stopIfTrue="1" operator="equal">
      <formula>"Fail"</formula>
    </cfRule>
    <cfRule type="cellIs" dxfId="3358" priority="4668" stopIfTrue="1" operator="equal">
      <formula>"Pass"</formula>
    </cfRule>
  </conditionalFormatting>
  <conditionalFormatting sqref="C892:I892 A892">
    <cfRule type="cellIs" dxfId="3357" priority="4655" stopIfTrue="1" operator="equal">
      <formula>"Fail"</formula>
    </cfRule>
    <cfRule type="cellIs" dxfId="3356" priority="4656" stopIfTrue="1" operator="equal">
      <formula>"Pass"</formula>
    </cfRule>
  </conditionalFormatting>
  <conditionalFormatting sqref="D892:I892 A892">
    <cfRule type="cellIs" dxfId="3355" priority="4653" stopIfTrue="1" operator="equal">
      <formula>"Fail"</formula>
    </cfRule>
    <cfRule type="cellIs" dxfId="3354" priority="4654" stopIfTrue="1" operator="equal">
      <formula>"Pass"</formula>
    </cfRule>
  </conditionalFormatting>
  <conditionalFormatting sqref="I892">
    <cfRule type="cellIs" dxfId="3353" priority="4651" stopIfTrue="1" operator="equal">
      <formula>"Fail"</formula>
    </cfRule>
    <cfRule type="cellIs" dxfId="3352" priority="4652" stopIfTrue="1" operator="equal">
      <formula>"Pass"</formula>
    </cfRule>
  </conditionalFormatting>
  <conditionalFormatting sqref="C892">
    <cfRule type="cellIs" dxfId="3351" priority="4649" stopIfTrue="1" operator="equal">
      <formula>"Fail"</formula>
    </cfRule>
    <cfRule type="cellIs" dxfId="3350" priority="4650" stopIfTrue="1" operator="equal">
      <formula>"Pass"</formula>
    </cfRule>
  </conditionalFormatting>
  <conditionalFormatting sqref="A899:A900 C900:I900 C899:D899 F899:I899">
    <cfRule type="cellIs" dxfId="3349" priority="4623" stopIfTrue="1" operator="equal">
      <formula>"Fail"</formula>
    </cfRule>
    <cfRule type="cellIs" dxfId="3348" priority="4624" stopIfTrue="1" operator="equal">
      <formula>"Pass"</formula>
    </cfRule>
  </conditionalFormatting>
  <conditionalFormatting sqref="A900">
    <cfRule type="cellIs" dxfId="3347" priority="4619" stopIfTrue="1" operator="equal">
      <formula>"Fail"</formula>
    </cfRule>
    <cfRule type="cellIs" dxfId="3346" priority="4620" stopIfTrue="1" operator="equal">
      <formula>"Pass"</formula>
    </cfRule>
  </conditionalFormatting>
  <conditionalFormatting sqref="I900">
    <cfRule type="cellIs" dxfId="3345" priority="4613" stopIfTrue="1" operator="equal">
      <formula>"Fail"</formula>
    </cfRule>
    <cfRule type="cellIs" dxfId="3344" priority="4614" stopIfTrue="1" operator="equal">
      <formula>"Pass"</formula>
    </cfRule>
  </conditionalFormatting>
  <conditionalFormatting sqref="I900">
    <cfRule type="cellIs" dxfId="3343" priority="4617" stopIfTrue="1" operator="equal">
      <formula>"Fail"</formula>
    </cfRule>
    <cfRule type="cellIs" dxfId="3342" priority="4618" stopIfTrue="1" operator="equal">
      <formula>"Pass"</formula>
    </cfRule>
  </conditionalFormatting>
  <conditionalFormatting sqref="I900">
    <cfRule type="cellIs" dxfId="3341" priority="4615" stopIfTrue="1" operator="equal">
      <formula>"Fail"</formula>
    </cfRule>
    <cfRule type="cellIs" dxfId="3340" priority="4616" stopIfTrue="1" operator="equal">
      <formula>"Pass"</formula>
    </cfRule>
  </conditionalFormatting>
  <conditionalFormatting sqref="I899">
    <cfRule type="cellIs" dxfId="3339" priority="4607" stopIfTrue="1" operator="equal">
      <formula>"Fail"</formula>
    </cfRule>
    <cfRule type="cellIs" dxfId="3338" priority="4608" stopIfTrue="1" operator="equal">
      <formula>"Pass"</formula>
    </cfRule>
  </conditionalFormatting>
  <conditionalFormatting sqref="C899">
    <cfRule type="cellIs" dxfId="3337" priority="4605" stopIfTrue="1" operator="equal">
      <formula>"Fail"</formula>
    </cfRule>
    <cfRule type="cellIs" dxfId="3336" priority="4606" stopIfTrue="1" operator="equal">
      <formula>"Pass"</formula>
    </cfRule>
  </conditionalFormatting>
  <conditionalFormatting sqref="C899:D899 A899 F899:I899">
    <cfRule type="cellIs" dxfId="3335" priority="4611" stopIfTrue="1" operator="equal">
      <formula>"Fail"</formula>
    </cfRule>
    <cfRule type="cellIs" dxfId="3334" priority="4612" stopIfTrue="1" operator="equal">
      <formula>"Pass"</formula>
    </cfRule>
  </conditionalFormatting>
  <conditionalFormatting sqref="D899 A899 F899:I899">
    <cfRule type="cellIs" dxfId="3333" priority="4609" stopIfTrue="1" operator="equal">
      <formula>"Fail"</formula>
    </cfRule>
    <cfRule type="cellIs" dxfId="3332" priority="4610" stopIfTrue="1" operator="equal">
      <formula>"Pass"</formula>
    </cfRule>
  </conditionalFormatting>
  <conditionalFormatting sqref="B899">
    <cfRule type="cellIs" dxfId="3331" priority="4603" stopIfTrue="1" operator="equal">
      <formula>"Fail"</formula>
    </cfRule>
    <cfRule type="cellIs" dxfId="3330" priority="4604" stopIfTrue="1" operator="equal">
      <formula>"Pass"</formula>
    </cfRule>
  </conditionalFormatting>
  <conditionalFormatting sqref="E899">
    <cfRule type="cellIs" dxfId="3329" priority="4601" stopIfTrue="1" operator="equal">
      <formula>"Fail"</formula>
    </cfRule>
    <cfRule type="cellIs" dxfId="3328" priority="4602" stopIfTrue="1" operator="equal">
      <formula>"Pass"</formula>
    </cfRule>
  </conditionalFormatting>
  <conditionalFormatting sqref="A909 C909:I909">
    <cfRule type="cellIs" dxfId="3327" priority="4599" stopIfTrue="1" operator="equal">
      <formula>"Fail"</formula>
    </cfRule>
    <cfRule type="cellIs" dxfId="3326" priority="4600" stopIfTrue="1" operator="equal">
      <formula>"Pass"</formula>
    </cfRule>
  </conditionalFormatting>
  <conditionalFormatting sqref="F902:H902">
    <cfRule type="cellIs" dxfId="3325" priority="4597" stopIfTrue="1" operator="equal">
      <formula>"Fail"</formula>
    </cfRule>
    <cfRule type="cellIs" dxfId="3324" priority="4598" stopIfTrue="1" operator="equal">
      <formula>"Pass"</formula>
    </cfRule>
  </conditionalFormatting>
  <conditionalFormatting sqref="F902:H902">
    <cfRule type="cellIs" dxfId="3323" priority="4595" stopIfTrue="1" operator="equal">
      <formula>"Fail"</formula>
    </cfRule>
    <cfRule type="cellIs" dxfId="3322" priority="4596" stopIfTrue="1" operator="equal">
      <formula>"Pass"</formula>
    </cfRule>
  </conditionalFormatting>
  <conditionalFormatting sqref="I902">
    <cfRule type="cellIs" dxfId="3321" priority="4589" stopIfTrue="1" operator="equal">
      <formula>"Fail"</formula>
    </cfRule>
    <cfRule type="cellIs" dxfId="3320" priority="4590" stopIfTrue="1" operator="equal">
      <formula>"Pass"</formula>
    </cfRule>
  </conditionalFormatting>
  <conditionalFormatting sqref="I902">
    <cfRule type="cellIs" dxfId="3319" priority="4593" stopIfTrue="1" operator="equal">
      <formula>"Fail"</formula>
    </cfRule>
    <cfRule type="cellIs" dxfId="3318" priority="4594" stopIfTrue="1" operator="equal">
      <formula>"Pass"</formula>
    </cfRule>
  </conditionalFormatting>
  <conditionalFormatting sqref="I902">
    <cfRule type="cellIs" dxfId="3317" priority="4591" stopIfTrue="1" operator="equal">
      <formula>"Fail"</formula>
    </cfRule>
    <cfRule type="cellIs" dxfId="3316" priority="4592" stopIfTrue="1" operator="equal">
      <formula>"Pass"</formula>
    </cfRule>
  </conditionalFormatting>
  <conditionalFormatting sqref="E902 I902">
    <cfRule type="cellIs" dxfId="3315" priority="4587" stopIfTrue="1" operator="equal">
      <formula>"Fail"</formula>
    </cfRule>
    <cfRule type="cellIs" dxfId="3314" priority="4588" stopIfTrue="1" operator="equal">
      <formula>"Pass"</formula>
    </cfRule>
  </conditionalFormatting>
  <conditionalFormatting sqref="A903 D903:I903">
    <cfRule type="cellIs" dxfId="3313" priority="4583" stopIfTrue="1" operator="equal">
      <formula>"Fail"</formula>
    </cfRule>
    <cfRule type="cellIs" dxfId="3312" priority="4584" stopIfTrue="1" operator="equal">
      <formula>"Pass"</formula>
    </cfRule>
  </conditionalFormatting>
  <conditionalFormatting sqref="A903 C903:I903">
    <cfRule type="cellIs" dxfId="3311" priority="4585" stopIfTrue="1" operator="equal">
      <formula>"Fail"</formula>
    </cfRule>
    <cfRule type="cellIs" dxfId="3310" priority="4586" stopIfTrue="1" operator="equal">
      <formula>"Pass"</formula>
    </cfRule>
  </conditionalFormatting>
  <conditionalFormatting sqref="I903">
    <cfRule type="cellIs" dxfId="3309" priority="4581" stopIfTrue="1" operator="equal">
      <formula>"Fail"</formula>
    </cfRule>
    <cfRule type="cellIs" dxfId="3308" priority="4582" stopIfTrue="1" operator="equal">
      <formula>"Pass"</formula>
    </cfRule>
  </conditionalFormatting>
  <conditionalFormatting sqref="C903">
    <cfRule type="cellIs" dxfId="3307" priority="4579" stopIfTrue="1" operator="equal">
      <formula>"Fail"</formula>
    </cfRule>
    <cfRule type="cellIs" dxfId="3306" priority="4580" stopIfTrue="1" operator="equal">
      <formula>"Pass"</formula>
    </cfRule>
  </conditionalFormatting>
  <conditionalFormatting sqref="B903">
    <cfRule type="cellIs" dxfId="3305" priority="4577" stopIfTrue="1" operator="equal">
      <formula>"Fail"</formula>
    </cfRule>
    <cfRule type="cellIs" dxfId="3304" priority="4578" stopIfTrue="1" operator="equal">
      <formula>"Pass"</formula>
    </cfRule>
  </conditionalFormatting>
  <conditionalFormatting sqref="A907 D907:I907">
    <cfRule type="cellIs" dxfId="3303" priority="4573" stopIfTrue="1" operator="equal">
      <formula>"Fail"</formula>
    </cfRule>
    <cfRule type="cellIs" dxfId="3302" priority="4574" stopIfTrue="1" operator="equal">
      <formula>"Pass"</formula>
    </cfRule>
  </conditionalFormatting>
  <conditionalFormatting sqref="A907 C907:I907">
    <cfRule type="cellIs" dxfId="3301" priority="4575" stopIfTrue="1" operator="equal">
      <formula>"Fail"</formula>
    </cfRule>
    <cfRule type="cellIs" dxfId="3300" priority="4576" stopIfTrue="1" operator="equal">
      <formula>"Pass"</formula>
    </cfRule>
  </conditionalFormatting>
  <conditionalFormatting sqref="I907">
    <cfRule type="cellIs" dxfId="3299" priority="4571" stopIfTrue="1" operator="equal">
      <formula>"Fail"</formula>
    </cfRule>
    <cfRule type="cellIs" dxfId="3298" priority="4572" stopIfTrue="1" operator="equal">
      <formula>"Pass"</formula>
    </cfRule>
  </conditionalFormatting>
  <conditionalFormatting sqref="C907">
    <cfRule type="cellIs" dxfId="3297" priority="4569" stopIfTrue="1" operator="equal">
      <formula>"Fail"</formula>
    </cfRule>
    <cfRule type="cellIs" dxfId="3296" priority="4570" stopIfTrue="1" operator="equal">
      <formula>"Pass"</formula>
    </cfRule>
  </conditionalFormatting>
  <conditionalFormatting sqref="B907">
    <cfRule type="cellIs" dxfId="3295" priority="4567" stopIfTrue="1" operator="equal">
      <formula>"Fail"</formula>
    </cfRule>
    <cfRule type="cellIs" dxfId="3294" priority="4568" stopIfTrue="1" operator="equal">
      <formula>"Pass"</formula>
    </cfRule>
  </conditionalFormatting>
  <conditionalFormatting sqref="F904:H904">
    <cfRule type="cellIs" dxfId="3293" priority="4565" stopIfTrue="1" operator="equal">
      <formula>"Fail"</formula>
    </cfRule>
    <cfRule type="cellIs" dxfId="3292" priority="4566" stopIfTrue="1" operator="equal">
      <formula>"Pass"</formula>
    </cfRule>
  </conditionalFormatting>
  <conditionalFormatting sqref="F904:H904">
    <cfRule type="cellIs" dxfId="3291" priority="4563" stopIfTrue="1" operator="equal">
      <formula>"Fail"</formula>
    </cfRule>
    <cfRule type="cellIs" dxfId="3290" priority="4564" stopIfTrue="1" operator="equal">
      <formula>"Pass"</formula>
    </cfRule>
  </conditionalFormatting>
  <conditionalFormatting sqref="I904">
    <cfRule type="cellIs" dxfId="3289" priority="4557" stopIfTrue="1" operator="equal">
      <formula>"Fail"</formula>
    </cfRule>
    <cfRule type="cellIs" dxfId="3288" priority="4558" stopIfTrue="1" operator="equal">
      <formula>"Pass"</formula>
    </cfRule>
  </conditionalFormatting>
  <conditionalFormatting sqref="I904">
    <cfRule type="cellIs" dxfId="3287" priority="4561" stopIfTrue="1" operator="equal">
      <formula>"Fail"</formula>
    </cfRule>
    <cfRule type="cellIs" dxfId="3286" priority="4562" stopIfTrue="1" operator="equal">
      <formula>"Pass"</formula>
    </cfRule>
  </conditionalFormatting>
  <conditionalFormatting sqref="I904">
    <cfRule type="cellIs" dxfId="3285" priority="4559" stopIfTrue="1" operator="equal">
      <formula>"Fail"</formula>
    </cfRule>
    <cfRule type="cellIs" dxfId="3284" priority="4560" stopIfTrue="1" operator="equal">
      <formula>"Pass"</formula>
    </cfRule>
  </conditionalFormatting>
  <conditionalFormatting sqref="E904 I904">
    <cfRule type="cellIs" dxfId="3283" priority="4555" stopIfTrue="1" operator="equal">
      <formula>"Fail"</formula>
    </cfRule>
    <cfRule type="cellIs" dxfId="3282" priority="4556" stopIfTrue="1" operator="equal">
      <formula>"Pass"</formula>
    </cfRule>
  </conditionalFormatting>
  <conditionalFormatting sqref="F908:H908">
    <cfRule type="cellIs" dxfId="3281" priority="4553" stopIfTrue="1" operator="equal">
      <formula>"Fail"</formula>
    </cfRule>
    <cfRule type="cellIs" dxfId="3280" priority="4554" stopIfTrue="1" operator="equal">
      <formula>"Pass"</formula>
    </cfRule>
  </conditionalFormatting>
  <conditionalFormatting sqref="F908:H908">
    <cfRule type="cellIs" dxfId="3279" priority="4551" stopIfTrue="1" operator="equal">
      <formula>"Fail"</formula>
    </cfRule>
    <cfRule type="cellIs" dxfId="3278" priority="4552" stopIfTrue="1" operator="equal">
      <formula>"Pass"</formula>
    </cfRule>
  </conditionalFormatting>
  <conditionalFormatting sqref="I908">
    <cfRule type="cellIs" dxfId="3277" priority="4545" stopIfTrue="1" operator="equal">
      <formula>"Fail"</formula>
    </cfRule>
    <cfRule type="cellIs" dxfId="3276" priority="4546" stopIfTrue="1" operator="equal">
      <formula>"Pass"</formula>
    </cfRule>
  </conditionalFormatting>
  <conditionalFormatting sqref="I908">
    <cfRule type="cellIs" dxfId="3275" priority="4549" stopIfTrue="1" operator="equal">
      <formula>"Fail"</formula>
    </cfRule>
    <cfRule type="cellIs" dxfId="3274" priority="4550" stopIfTrue="1" operator="equal">
      <formula>"Pass"</formula>
    </cfRule>
  </conditionalFormatting>
  <conditionalFormatting sqref="I908">
    <cfRule type="cellIs" dxfId="3273" priority="4547" stopIfTrue="1" operator="equal">
      <formula>"Fail"</formula>
    </cfRule>
    <cfRule type="cellIs" dxfId="3272" priority="4548" stopIfTrue="1" operator="equal">
      <formula>"Pass"</formula>
    </cfRule>
  </conditionalFormatting>
  <conditionalFormatting sqref="E908 I908">
    <cfRule type="cellIs" dxfId="3271" priority="4543" stopIfTrue="1" operator="equal">
      <formula>"Fail"</formula>
    </cfRule>
    <cfRule type="cellIs" dxfId="3270" priority="4544" stopIfTrue="1" operator="equal">
      <formula>"Pass"</formula>
    </cfRule>
  </conditionalFormatting>
  <conditionalFormatting sqref="B909">
    <cfRule type="cellIs" dxfId="3269" priority="4541" stopIfTrue="1" operator="equal">
      <formula>"Fail"</formula>
    </cfRule>
    <cfRule type="cellIs" dxfId="3268" priority="4542" stopIfTrue="1" operator="equal">
      <formula>"Pass"</formula>
    </cfRule>
  </conditionalFormatting>
  <conditionalFormatting sqref="F897:H897">
    <cfRule type="cellIs" dxfId="3267" priority="4531" stopIfTrue="1" operator="equal">
      <formula>"Fail"</formula>
    </cfRule>
    <cfRule type="cellIs" dxfId="3266" priority="4532" stopIfTrue="1" operator="equal">
      <formula>"Pass"</formula>
    </cfRule>
  </conditionalFormatting>
  <conditionalFormatting sqref="F897:H897">
    <cfRule type="cellIs" dxfId="3265" priority="4529" stopIfTrue="1" operator="equal">
      <formula>"Fail"</formula>
    </cfRule>
    <cfRule type="cellIs" dxfId="3264" priority="4530" stopIfTrue="1" operator="equal">
      <formula>"Pass"</formula>
    </cfRule>
  </conditionalFormatting>
  <conditionalFormatting sqref="I897">
    <cfRule type="cellIs" dxfId="3263" priority="4523" stopIfTrue="1" operator="equal">
      <formula>"Fail"</formula>
    </cfRule>
    <cfRule type="cellIs" dxfId="3262" priority="4524" stopIfTrue="1" operator="equal">
      <formula>"Pass"</formula>
    </cfRule>
  </conditionalFormatting>
  <conditionalFormatting sqref="I897">
    <cfRule type="cellIs" dxfId="3261" priority="4527" stopIfTrue="1" operator="equal">
      <formula>"Fail"</formula>
    </cfRule>
    <cfRule type="cellIs" dxfId="3260" priority="4528" stopIfTrue="1" operator="equal">
      <formula>"Pass"</formula>
    </cfRule>
  </conditionalFormatting>
  <conditionalFormatting sqref="I897">
    <cfRule type="cellIs" dxfId="3259" priority="4525" stopIfTrue="1" operator="equal">
      <formula>"Fail"</formula>
    </cfRule>
    <cfRule type="cellIs" dxfId="3258" priority="4526" stopIfTrue="1" operator="equal">
      <formula>"Pass"</formula>
    </cfRule>
  </conditionalFormatting>
  <conditionalFormatting sqref="E897 I897">
    <cfRule type="cellIs" dxfId="3257" priority="4521" stopIfTrue="1" operator="equal">
      <formula>"Fail"</formula>
    </cfRule>
    <cfRule type="cellIs" dxfId="3256" priority="4522" stopIfTrue="1" operator="equal">
      <formula>"Pass"</formula>
    </cfRule>
  </conditionalFormatting>
  <conditionalFormatting sqref="A898 D898:I898">
    <cfRule type="cellIs" dxfId="3255" priority="4517" stopIfTrue="1" operator="equal">
      <formula>"Fail"</formula>
    </cfRule>
    <cfRule type="cellIs" dxfId="3254" priority="4518" stopIfTrue="1" operator="equal">
      <formula>"Pass"</formula>
    </cfRule>
  </conditionalFormatting>
  <conditionalFormatting sqref="A898 C898:I898">
    <cfRule type="cellIs" dxfId="3253" priority="4519" stopIfTrue="1" operator="equal">
      <formula>"Fail"</formula>
    </cfRule>
    <cfRule type="cellIs" dxfId="3252" priority="4520" stopIfTrue="1" operator="equal">
      <formula>"Pass"</formula>
    </cfRule>
  </conditionalFormatting>
  <conditionalFormatting sqref="I898">
    <cfRule type="cellIs" dxfId="3251" priority="4515" stopIfTrue="1" operator="equal">
      <formula>"Fail"</formula>
    </cfRule>
    <cfRule type="cellIs" dxfId="3250" priority="4516" stopIfTrue="1" operator="equal">
      <formula>"Pass"</formula>
    </cfRule>
  </conditionalFormatting>
  <conditionalFormatting sqref="C898">
    <cfRule type="cellIs" dxfId="3249" priority="4513" stopIfTrue="1" operator="equal">
      <formula>"Fail"</formula>
    </cfRule>
    <cfRule type="cellIs" dxfId="3248" priority="4514" stopIfTrue="1" operator="equal">
      <formula>"Pass"</formula>
    </cfRule>
  </conditionalFormatting>
  <conditionalFormatting sqref="B898">
    <cfRule type="cellIs" dxfId="3247" priority="4511" stopIfTrue="1" operator="equal">
      <formula>"Fail"</formula>
    </cfRule>
    <cfRule type="cellIs" dxfId="3246" priority="4512" stopIfTrue="1" operator="equal">
      <formula>"Pass"</formula>
    </cfRule>
  </conditionalFormatting>
  <conditionalFormatting sqref="C901:I901 A901">
    <cfRule type="cellIs" dxfId="3245" priority="4509" stopIfTrue="1" operator="equal">
      <formula>"Fail"</formula>
    </cfRule>
    <cfRule type="cellIs" dxfId="3244" priority="4510" stopIfTrue="1" operator="equal">
      <formula>"Pass"</formula>
    </cfRule>
  </conditionalFormatting>
  <conditionalFormatting sqref="D901:I901 A901">
    <cfRule type="cellIs" dxfId="3243" priority="4507" stopIfTrue="1" operator="equal">
      <formula>"Fail"</formula>
    </cfRule>
    <cfRule type="cellIs" dxfId="3242" priority="4508" stopIfTrue="1" operator="equal">
      <formula>"Pass"</formula>
    </cfRule>
  </conditionalFormatting>
  <conditionalFormatting sqref="I901">
    <cfRule type="cellIs" dxfId="3241" priority="4505" stopIfTrue="1" operator="equal">
      <formula>"Fail"</formula>
    </cfRule>
    <cfRule type="cellIs" dxfId="3240" priority="4506" stopIfTrue="1" operator="equal">
      <formula>"Pass"</formula>
    </cfRule>
  </conditionalFormatting>
  <conditionalFormatting sqref="C901">
    <cfRule type="cellIs" dxfId="3239" priority="4503" stopIfTrue="1" operator="equal">
      <formula>"Fail"</formula>
    </cfRule>
    <cfRule type="cellIs" dxfId="3238" priority="4504" stopIfTrue="1" operator="equal">
      <formula>"Pass"</formula>
    </cfRule>
  </conditionalFormatting>
  <conditionalFormatting sqref="A901 D901:I901">
    <cfRule type="cellIs" dxfId="3237" priority="4491" stopIfTrue="1" operator="equal">
      <formula>"Fail"</formula>
    </cfRule>
    <cfRule type="cellIs" dxfId="3236" priority="4492" stopIfTrue="1" operator="equal">
      <formula>"Pass"</formula>
    </cfRule>
  </conditionalFormatting>
  <conditionalFormatting sqref="A901 C901:I901">
    <cfRule type="cellIs" dxfId="3235" priority="4493" stopIfTrue="1" operator="equal">
      <formula>"Fail"</formula>
    </cfRule>
    <cfRule type="cellIs" dxfId="3234" priority="4494" stopIfTrue="1" operator="equal">
      <formula>"Pass"</formula>
    </cfRule>
  </conditionalFormatting>
  <conditionalFormatting sqref="I901">
    <cfRule type="cellIs" dxfId="3233" priority="4489" stopIfTrue="1" operator="equal">
      <formula>"Fail"</formula>
    </cfRule>
    <cfRule type="cellIs" dxfId="3232" priority="4490" stopIfTrue="1" operator="equal">
      <formula>"Pass"</formula>
    </cfRule>
  </conditionalFormatting>
  <conditionalFormatting sqref="C901">
    <cfRule type="cellIs" dxfId="3231" priority="4487" stopIfTrue="1" operator="equal">
      <formula>"Fail"</formula>
    </cfRule>
    <cfRule type="cellIs" dxfId="3230" priority="4488" stopIfTrue="1" operator="equal">
      <formula>"Pass"</formula>
    </cfRule>
  </conditionalFormatting>
  <conditionalFormatting sqref="B901">
    <cfRule type="cellIs" dxfId="3229" priority="4485" stopIfTrue="1" operator="equal">
      <formula>"Fail"</formula>
    </cfRule>
    <cfRule type="cellIs" dxfId="3228" priority="4486" stopIfTrue="1" operator="equal">
      <formula>"Pass"</formula>
    </cfRule>
  </conditionalFormatting>
  <conditionalFormatting sqref="F906:H906">
    <cfRule type="cellIs" dxfId="3227" priority="4483" stopIfTrue="1" operator="equal">
      <formula>"Fail"</formula>
    </cfRule>
    <cfRule type="cellIs" dxfId="3226" priority="4484" stopIfTrue="1" operator="equal">
      <formula>"Pass"</formula>
    </cfRule>
  </conditionalFormatting>
  <conditionalFormatting sqref="F906:H906">
    <cfRule type="cellIs" dxfId="3225" priority="4481" stopIfTrue="1" operator="equal">
      <formula>"Fail"</formula>
    </cfRule>
    <cfRule type="cellIs" dxfId="3224" priority="4482" stopIfTrue="1" operator="equal">
      <formula>"Pass"</formula>
    </cfRule>
  </conditionalFormatting>
  <conditionalFormatting sqref="I906">
    <cfRule type="cellIs" dxfId="3223" priority="4475" stopIfTrue="1" operator="equal">
      <formula>"Fail"</formula>
    </cfRule>
    <cfRule type="cellIs" dxfId="3222" priority="4476" stopIfTrue="1" operator="equal">
      <formula>"Pass"</formula>
    </cfRule>
  </conditionalFormatting>
  <conditionalFormatting sqref="I906">
    <cfRule type="cellIs" dxfId="3221" priority="4479" stopIfTrue="1" operator="equal">
      <formula>"Fail"</formula>
    </cfRule>
    <cfRule type="cellIs" dxfId="3220" priority="4480" stopIfTrue="1" operator="equal">
      <formula>"Pass"</formula>
    </cfRule>
  </conditionalFormatting>
  <conditionalFormatting sqref="I906">
    <cfRule type="cellIs" dxfId="3219" priority="4477" stopIfTrue="1" operator="equal">
      <formula>"Fail"</formula>
    </cfRule>
    <cfRule type="cellIs" dxfId="3218" priority="4478" stopIfTrue="1" operator="equal">
      <formula>"Pass"</formula>
    </cfRule>
  </conditionalFormatting>
  <conditionalFormatting sqref="E906 I906">
    <cfRule type="cellIs" dxfId="3217" priority="4473" stopIfTrue="1" operator="equal">
      <formula>"Fail"</formula>
    </cfRule>
    <cfRule type="cellIs" dxfId="3216" priority="4474" stopIfTrue="1" operator="equal">
      <formula>"Pass"</formula>
    </cfRule>
  </conditionalFormatting>
  <conditionalFormatting sqref="A905 D905:I905">
    <cfRule type="cellIs" dxfId="3215" priority="4469" stopIfTrue="1" operator="equal">
      <formula>"Fail"</formula>
    </cfRule>
    <cfRule type="cellIs" dxfId="3214" priority="4470" stopIfTrue="1" operator="equal">
      <formula>"Pass"</formula>
    </cfRule>
  </conditionalFormatting>
  <conditionalFormatting sqref="A905 C905:I905">
    <cfRule type="cellIs" dxfId="3213" priority="4471" stopIfTrue="1" operator="equal">
      <formula>"Fail"</formula>
    </cfRule>
    <cfRule type="cellIs" dxfId="3212" priority="4472" stopIfTrue="1" operator="equal">
      <formula>"Pass"</formula>
    </cfRule>
  </conditionalFormatting>
  <conditionalFormatting sqref="I905">
    <cfRule type="cellIs" dxfId="3211" priority="4467" stopIfTrue="1" operator="equal">
      <formula>"Fail"</formula>
    </cfRule>
    <cfRule type="cellIs" dxfId="3210" priority="4468" stopIfTrue="1" operator="equal">
      <formula>"Pass"</formula>
    </cfRule>
  </conditionalFormatting>
  <conditionalFormatting sqref="C905">
    <cfRule type="cellIs" dxfId="3209" priority="4465" stopIfTrue="1" operator="equal">
      <formula>"Fail"</formula>
    </cfRule>
    <cfRule type="cellIs" dxfId="3208" priority="4466" stopIfTrue="1" operator="equal">
      <formula>"Pass"</formula>
    </cfRule>
  </conditionalFormatting>
  <conditionalFormatting sqref="B905">
    <cfRule type="cellIs" dxfId="3207" priority="4463" stopIfTrue="1" operator="equal">
      <formula>"Fail"</formula>
    </cfRule>
    <cfRule type="cellIs" dxfId="3206" priority="4464" stopIfTrue="1" operator="equal">
      <formula>"Pass"</formula>
    </cfRule>
  </conditionalFormatting>
  <conditionalFormatting sqref="A788 C788:I788">
    <cfRule type="cellIs" dxfId="3205" priority="4461" stopIfTrue="1" operator="equal">
      <formula>"Fail"</formula>
    </cfRule>
    <cfRule type="cellIs" dxfId="3204" priority="4462" stopIfTrue="1" operator="equal">
      <formula>"Pass"</formula>
    </cfRule>
  </conditionalFormatting>
  <conditionalFormatting sqref="I890">
    <cfRule type="cellIs" dxfId="3203" priority="4455" stopIfTrue="1" operator="equal">
      <formula>"Fail"</formula>
    </cfRule>
    <cfRule type="cellIs" dxfId="3202" priority="4456" stopIfTrue="1" operator="equal">
      <formula>"Pass"</formula>
    </cfRule>
  </conditionalFormatting>
  <conditionalFormatting sqref="C890">
    <cfRule type="cellIs" dxfId="3201" priority="4453" stopIfTrue="1" operator="equal">
      <formula>"Fail"</formula>
    </cfRule>
    <cfRule type="cellIs" dxfId="3200" priority="4454" stopIfTrue="1" operator="equal">
      <formula>"Pass"</formula>
    </cfRule>
  </conditionalFormatting>
  <conditionalFormatting sqref="C890:I890 A890">
    <cfRule type="cellIs" dxfId="3199" priority="4459" stopIfTrue="1" operator="equal">
      <formula>"Fail"</formula>
    </cfRule>
    <cfRule type="cellIs" dxfId="3198" priority="4460" stopIfTrue="1" operator="equal">
      <formula>"Pass"</formula>
    </cfRule>
  </conditionalFormatting>
  <conditionalFormatting sqref="D890:I890 A890">
    <cfRule type="cellIs" dxfId="3197" priority="4457" stopIfTrue="1" operator="equal">
      <formula>"Fail"</formula>
    </cfRule>
    <cfRule type="cellIs" dxfId="3196" priority="4458" stopIfTrue="1" operator="equal">
      <formula>"Pass"</formula>
    </cfRule>
  </conditionalFormatting>
  <conditionalFormatting sqref="C894:I894 A894">
    <cfRule type="cellIs" dxfId="3195" priority="4451" stopIfTrue="1" operator="equal">
      <formula>"Fail"</formula>
    </cfRule>
    <cfRule type="cellIs" dxfId="3194" priority="4452" stopIfTrue="1" operator="equal">
      <formula>"Pass"</formula>
    </cfRule>
  </conditionalFormatting>
  <conditionalFormatting sqref="D894:I894 A894">
    <cfRule type="cellIs" dxfId="3193" priority="4449" stopIfTrue="1" operator="equal">
      <formula>"Fail"</formula>
    </cfRule>
    <cfRule type="cellIs" dxfId="3192" priority="4450" stopIfTrue="1" operator="equal">
      <formula>"Pass"</formula>
    </cfRule>
  </conditionalFormatting>
  <conditionalFormatting sqref="I894">
    <cfRule type="cellIs" dxfId="3191" priority="4447" stopIfTrue="1" operator="equal">
      <formula>"Fail"</formula>
    </cfRule>
    <cfRule type="cellIs" dxfId="3190" priority="4448" stopIfTrue="1" operator="equal">
      <formula>"Pass"</formula>
    </cfRule>
  </conditionalFormatting>
  <conditionalFormatting sqref="C894">
    <cfRule type="cellIs" dxfId="3189" priority="4445" stopIfTrue="1" operator="equal">
      <formula>"Fail"</formula>
    </cfRule>
    <cfRule type="cellIs" dxfId="3188" priority="4446" stopIfTrue="1" operator="equal">
      <formula>"Pass"</formula>
    </cfRule>
  </conditionalFormatting>
  <conditionalFormatting sqref="I893">
    <cfRule type="cellIs" dxfId="3187" priority="4439" stopIfTrue="1" operator="equal">
      <formula>"Fail"</formula>
    </cfRule>
    <cfRule type="cellIs" dxfId="3186" priority="4440" stopIfTrue="1" operator="equal">
      <formula>"Pass"</formula>
    </cfRule>
  </conditionalFormatting>
  <conditionalFormatting sqref="C893">
    <cfRule type="cellIs" dxfId="3185" priority="4437" stopIfTrue="1" operator="equal">
      <formula>"Fail"</formula>
    </cfRule>
    <cfRule type="cellIs" dxfId="3184" priority="4438" stopIfTrue="1" operator="equal">
      <formula>"Pass"</formula>
    </cfRule>
  </conditionalFormatting>
  <conditionalFormatting sqref="C893:I893 A893">
    <cfRule type="cellIs" dxfId="3183" priority="4443" stopIfTrue="1" operator="equal">
      <formula>"Fail"</formula>
    </cfRule>
    <cfRule type="cellIs" dxfId="3182" priority="4444" stopIfTrue="1" operator="equal">
      <formula>"Pass"</formula>
    </cfRule>
  </conditionalFormatting>
  <conditionalFormatting sqref="D893:I893 A893">
    <cfRule type="cellIs" dxfId="3181" priority="4441" stopIfTrue="1" operator="equal">
      <formula>"Fail"</formula>
    </cfRule>
    <cfRule type="cellIs" dxfId="3180" priority="4442" stopIfTrue="1" operator="equal">
      <formula>"Pass"</formula>
    </cfRule>
  </conditionalFormatting>
  <conditionalFormatting sqref="I896">
    <cfRule type="cellIs" dxfId="3179" priority="4431" stopIfTrue="1" operator="equal">
      <formula>"Fail"</formula>
    </cfRule>
    <cfRule type="cellIs" dxfId="3178" priority="4432" stopIfTrue="1" operator="equal">
      <formula>"Pass"</formula>
    </cfRule>
  </conditionalFormatting>
  <conditionalFormatting sqref="C896">
    <cfRule type="cellIs" dxfId="3177" priority="4429" stopIfTrue="1" operator="equal">
      <formula>"Fail"</formula>
    </cfRule>
    <cfRule type="cellIs" dxfId="3176" priority="4430" stopIfTrue="1" operator="equal">
      <formula>"Pass"</formula>
    </cfRule>
  </conditionalFormatting>
  <conditionalFormatting sqref="C896:I896 A896">
    <cfRule type="cellIs" dxfId="3175" priority="4435" stopIfTrue="1" operator="equal">
      <formula>"Fail"</formula>
    </cfRule>
    <cfRule type="cellIs" dxfId="3174" priority="4436" stopIfTrue="1" operator="equal">
      <formula>"Pass"</formula>
    </cfRule>
  </conditionalFormatting>
  <conditionalFormatting sqref="D896:I896 A896">
    <cfRule type="cellIs" dxfId="3173" priority="4433" stopIfTrue="1" operator="equal">
      <formula>"Fail"</formula>
    </cfRule>
    <cfRule type="cellIs" dxfId="3172" priority="4434" stopIfTrue="1" operator="equal">
      <formula>"Pass"</formula>
    </cfRule>
  </conditionalFormatting>
  <conditionalFormatting sqref="I964">
    <cfRule type="cellIs" dxfId="3171" priority="4415" stopIfTrue="1" operator="equal">
      <formula>"Fail"</formula>
    </cfRule>
    <cfRule type="cellIs" dxfId="3170" priority="4416" stopIfTrue="1" operator="equal">
      <formula>"Pass"</formula>
    </cfRule>
  </conditionalFormatting>
  <conditionalFormatting sqref="C964">
    <cfRule type="cellIs" dxfId="3169" priority="4413" stopIfTrue="1" operator="equal">
      <formula>"Fail"</formula>
    </cfRule>
    <cfRule type="cellIs" dxfId="3168" priority="4414" stopIfTrue="1" operator="equal">
      <formula>"Pass"</formula>
    </cfRule>
  </conditionalFormatting>
  <conditionalFormatting sqref="C964:I964 A964">
    <cfRule type="cellIs" dxfId="3167" priority="4419" stopIfTrue="1" operator="equal">
      <formula>"Fail"</formula>
    </cfRule>
    <cfRule type="cellIs" dxfId="3166" priority="4420" stopIfTrue="1" operator="equal">
      <formula>"Pass"</formula>
    </cfRule>
  </conditionalFormatting>
  <conditionalFormatting sqref="D964:I964 A964">
    <cfRule type="cellIs" dxfId="3165" priority="4417" stopIfTrue="1" operator="equal">
      <formula>"Fail"</formula>
    </cfRule>
    <cfRule type="cellIs" dxfId="3164" priority="4418" stopIfTrue="1" operator="equal">
      <formula>"Pass"</formula>
    </cfRule>
  </conditionalFormatting>
  <conditionalFormatting sqref="A1105">
    <cfRule type="containsText" dxfId="3163" priority="4409" operator="containsText" text="CALIBRATION NUMBER(S) MISSING">
      <formula>NOT(ISERROR(SEARCH("CALIBRATION NUMBER(S) MISSING",A1105)))</formula>
    </cfRule>
    <cfRule type="containsText" dxfId="3162" priority="4410" operator="containsText" text="ENTER TESTER ID">
      <formula>NOT(ISERROR(SEARCH("ENTER TESTER ID",A1105)))</formula>
    </cfRule>
    <cfRule type="containsText" dxfId="3161" priority="4411" operator="containsText" text="NO SERIAL NUMBER">
      <formula>NOT(ISERROR(SEARCH("NO SERIAL NUMBER",A1105)))</formula>
    </cfRule>
    <cfRule type="containsText" dxfId="3160" priority="4412" operator="containsText" text="NO UNIT TYPE">
      <formula>NOT(ISERROR(SEARCH("NO UNIT TYPE",A1105)))</formula>
    </cfRule>
  </conditionalFormatting>
  <conditionalFormatting sqref="B1105">
    <cfRule type="containsText" dxfId="3159" priority="4405" operator="containsText" text="CALIBRATION NUMBER(S) MISSING">
      <formula>NOT(ISERROR(SEARCH("CALIBRATION NUMBER(S) MISSING",B1105)))</formula>
    </cfRule>
    <cfRule type="containsText" dxfId="3158" priority="4406" operator="containsText" text="ENTER TESTER ID">
      <formula>NOT(ISERROR(SEARCH("ENTER TESTER ID",B1105)))</formula>
    </cfRule>
    <cfRule type="containsText" dxfId="3157" priority="4407" operator="containsText" text="NO SERIAL NUMBER">
      <formula>NOT(ISERROR(SEARCH("NO SERIAL NUMBER",B1105)))</formula>
    </cfRule>
    <cfRule type="containsText" dxfId="3156" priority="4408" operator="containsText" text="NO UNIT TYPE">
      <formula>NOT(ISERROR(SEARCH("NO UNIT TYPE",B1105)))</formula>
    </cfRule>
  </conditionalFormatting>
  <conditionalFormatting sqref="H1106">
    <cfRule type="cellIs" dxfId="3155" priority="4399" stopIfTrue="1" operator="equal">
      <formula>"Fail"</formula>
    </cfRule>
    <cfRule type="cellIs" dxfId="3154" priority="4400" stopIfTrue="1" operator="equal">
      <formula>"Pass"</formula>
    </cfRule>
  </conditionalFormatting>
  <conditionalFormatting sqref="H1106">
    <cfRule type="cellIs" dxfId="3153" priority="4403" stopIfTrue="1" operator="equal">
      <formula>"Fail"</formula>
    </cfRule>
    <cfRule type="cellIs" dxfId="3152" priority="4404" stopIfTrue="1" operator="equal">
      <formula>"Pass"</formula>
    </cfRule>
  </conditionalFormatting>
  <conditionalFormatting sqref="H1106">
    <cfRule type="cellIs" dxfId="3151" priority="4401" stopIfTrue="1" operator="equal">
      <formula>"Fail"</formula>
    </cfRule>
    <cfRule type="cellIs" dxfId="3150" priority="4402" stopIfTrue="1" operator="equal">
      <formula>"Pass"</formula>
    </cfRule>
  </conditionalFormatting>
  <conditionalFormatting sqref="I1158">
    <cfRule type="cellIs" dxfId="3149" priority="4393" stopIfTrue="1" operator="equal">
      <formula>"Fail"</formula>
    </cfRule>
    <cfRule type="cellIs" dxfId="3148" priority="4394" stopIfTrue="1" operator="equal">
      <formula>"Pass"</formula>
    </cfRule>
  </conditionalFormatting>
  <conditionalFormatting sqref="C1158">
    <cfRule type="cellIs" dxfId="3147" priority="4391" stopIfTrue="1" operator="equal">
      <formula>"Fail"</formula>
    </cfRule>
    <cfRule type="cellIs" dxfId="3146" priority="4392" stopIfTrue="1" operator="equal">
      <formula>"Pass"</formula>
    </cfRule>
  </conditionalFormatting>
  <conditionalFormatting sqref="C1158:I1158 A1158">
    <cfRule type="cellIs" dxfId="3145" priority="4397" stopIfTrue="1" operator="equal">
      <formula>"Fail"</formula>
    </cfRule>
    <cfRule type="cellIs" dxfId="3144" priority="4398" stopIfTrue="1" operator="equal">
      <formula>"Pass"</formula>
    </cfRule>
  </conditionalFormatting>
  <conditionalFormatting sqref="D1158:I1158 A1158">
    <cfRule type="cellIs" dxfId="3143" priority="4395" stopIfTrue="1" operator="equal">
      <formula>"Fail"</formula>
    </cfRule>
    <cfRule type="cellIs" dxfId="3142" priority="4396" stopIfTrue="1" operator="equal">
      <formula>"Pass"</formula>
    </cfRule>
  </conditionalFormatting>
  <conditionalFormatting sqref="A1220">
    <cfRule type="containsText" dxfId="3141" priority="4387" operator="containsText" text="CALIBRATION NUMBER(S) MISSING">
      <formula>NOT(ISERROR(SEARCH("CALIBRATION NUMBER(S) MISSING",A1220)))</formula>
    </cfRule>
    <cfRule type="containsText" dxfId="3140" priority="4388" operator="containsText" text="ENTER TESTER ID">
      <formula>NOT(ISERROR(SEARCH("ENTER TESTER ID",A1220)))</formula>
    </cfRule>
    <cfRule type="containsText" dxfId="3139" priority="4389" operator="containsText" text="NO SERIAL NUMBER">
      <formula>NOT(ISERROR(SEARCH("NO SERIAL NUMBER",A1220)))</formula>
    </cfRule>
    <cfRule type="containsText" dxfId="3138" priority="4390" operator="containsText" text="NO UNIT TYPE">
      <formula>NOT(ISERROR(SEARCH("NO UNIT TYPE",A1220)))</formula>
    </cfRule>
  </conditionalFormatting>
  <conditionalFormatting sqref="B1220">
    <cfRule type="containsText" dxfId="3137" priority="4383" operator="containsText" text="CALIBRATION NUMBER(S) MISSING">
      <formula>NOT(ISERROR(SEARCH("CALIBRATION NUMBER(S) MISSING",B1220)))</formula>
    </cfRule>
    <cfRule type="containsText" dxfId="3136" priority="4384" operator="containsText" text="ENTER TESTER ID">
      <formula>NOT(ISERROR(SEARCH("ENTER TESTER ID",B1220)))</formula>
    </cfRule>
    <cfRule type="containsText" dxfId="3135" priority="4385" operator="containsText" text="NO SERIAL NUMBER">
      <formula>NOT(ISERROR(SEARCH("NO SERIAL NUMBER",B1220)))</formula>
    </cfRule>
    <cfRule type="containsText" dxfId="3134" priority="4386" operator="containsText" text="NO UNIT TYPE">
      <formula>NOT(ISERROR(SEARCH("NO UNIT TYPE",B1220)))</formula>
    </cfRule>
  </conditionalFormatting>
  <conditionalFormatting sqref="H1221">
    <cfRule type="cellIs" dxfId="3133" priority="4377" stopIfTrue="1" operator="equal">
      <formula>"Fail"</formula>
    </cfRule>
    <cfRule type="cellIs" dxfId="3132" priority="4378" stopIfTrue="1" operator="equal">
      <formula>"Pass"</formula>
    </cfRule>
  </conditionalFormatting>
  <conditionalFormatting sqref="H1221">
    <cfRule type="cellIs" dxfId="3131" priority="4381" stopIfTrue="1" operator="equal">
      <formula>"Fail"</formula>
    </cfRule>
    <cfRule type="cellIs" dxfId="3130" priority="4382" stopIfTrue="1" operator="equal">
      <formula>"Pass"</formula>
    </cfRule>
  </conditionalFormatting>
  <conditionalFormatting sqref="H1221">
    <cfRule type="cellIs" dxfId="3129" priority="4379" stopIfTrue="1" operator="equal">
      <formula>"Fail"</formula>
    </cfRule>
    <cfRule type="cellIs" dxfId="3128" priority="4380" stopIfTrue="1" operator="equal">
      <formula>"Pass"</formula>
    </cfRule>
  </conditionalFormatting>
  <conditionalFormatting sqref="A971 C971:I971">
    <cfRule type="cellIs" dxfId="3127" priority="4375" stopIfTrue="1" operator="equal">
      <formula>"Fail"</formula>
    </cfRule>
    <cfRule type="cellIs" dxfId="3126" priority="4376" stopIfTrue="1" operator="equal">
      <formula>"Pass"</formula>
    </cfRule>
  </conditionalFormatting>
  <conditionalFormatting sqref="I973">
    <cfRule type="cellIs" dxfId="3125" priority="4369" stopIfTrue="1" operator="equal">
      <formula>"Fail"</formula>
    </cfRule>
    <cfRule type="cellIs" dxfId="3124" priority="4370" stopIfTrue="1" operator="equal">
      <formula>"Pass"</formula>
    </cfRule>
  </conditionalFormatting>
  <conditionalFormatting sqref="C973">
    <cfRule type="cellIs" dxfId="3123" priority="4367" stopIfTrue="1" operator="equal">
      <formula>"Fail"</formula>
    </cfRule>
    <cfRule type="cellIs" dxfId="3122" priority="4368" stopIfTrue="1" operator="equal">
      <formula>"Pass"</formula>
    </cfRule>
  </conditionalFormatting>
  <conditionalFormatting sqref="C973:I973 A973">
    <cfRule type="cellIs" dxfId="3121" priority="4373" stopIfTrue="1" operator="equal">
      <formula>"Fail"</formula>
    </cfRule>
    <cfRule type="cellIs" dxfId="3120" priority="4374" stopIfTrue="1" operator="equal">
      <formula>"Pass"</formula>
    </cfRule>
  </conditionalFormatting>
  <conditionalFormatting sqref="D973:I973 A973">
    <cfRule type="cellIs" dxfId="3119" priority="4371" stopIfTrue="1" operator="equal">
      <formula>"Fail"</formula>
    </cfRule>
    <cfRule type="cellIs" dxfId="3118" priority="4372" stopIfTrue="1" operator="equal">
      <formula>"Pass"</formula>
    </cfRule>
  </conditionalFormatting>
  <conditionalFormatting sqref="A995 C995:I995">
    <cfRule type="cellIs" dxfId="3117" priority="4365" stopIfTrue="1" operator="equal">
      <formula>"Fail"</formula>
    </cfRule>
    <cfRule type="cellIs" dxfId="3116" priority="4366" stopIfTrue="1" operator="equal">
      <formula>"Pass"</formula>
    </cfRule>
  </conditionalFormatting>
  <conditionalFormatting sqref="I965">
    <cfRule type="cellIs" dxfId="3115" priority="4359" stopIfTrue="1" operator="equal">
      <formula>"Fail"</formula>
    </cfRule>
    <cfRule type="cellIs" dxfId="3114" priority="4360" stopIfTrue="1" operator="equal">
      <formula>"Pass"</formula>
    </cfRule>
  </conditionalFormatting>
  <conditionalFormatting sqref="C965">
    <cfRule type="cellIs" dxfId="3113" priority="4357" stopIfTrue="1" operator="equal">
      <formula>"Fail"</formula>
    </cfRule>
    <cfRule type="cellIs" dxfId="3112" priority="4358" stopIfTrue="1" operator="equal">
      <formula>"Pass"</formula>
    </cfRule>
  </conditionalFormatting>
  <conditionalFormatting sqref="C965:I965 A965">
    <cfRule type="cellIs" dxfId="3111" priority="4363" stopIfTrue="1" operator="equal">
      <formula>"Fail"</formula>
    </cfRule>
    <cfRule type="cellIs" dxfId="3110" priority="4364" stopIfTrue="1" operator="equal">
      <formula>"Pass"</formula>
    </cfRule>
  </conditionalFormatting>
  <conditionalFormatting sqref="D965:I965 A965">
    <cfRule type="cellIs" dxfId="3109" priority="4361" stopIfTrue="1" operator="equal">
      <formula>"Fail"</formula>
    </cfRule>
    <cfRule type="cellIs" dxfId="3108" priority="4362" stopIfTrue="1" operator="equal">
      <formula>"Pass"</formula>
    </cfRule>
  </conditionalFormatting>
  <conditionalFormatting sqref="C966:I966">
    <cfRule type="cellIs" dxfId="3107" priority="4353" stopIfTrue="1" operator="equal">
      <formula>"Fail"</formula>
    </cfRule>
    <cfRule type="cellIs" dxfId="3106" priority="4354" stopIfTrue="1" operator="equal">
      <formula>"Pass"</formula>
    </cfRule>
  </conditionalFormatting>
  <conditionalFormatting sqref="A966">
    <cfRule type="cellIs" dxfId="3105" priority="4355" stopIfTrue="1" operator="equal">
      <formula>"Fail"</formula>
    </cfRule>
    <cfRule type="cellIs" dxfId="3104" priority="4356" stopIfTrue="1" operator="equal">
      <formula>"Pass"</formula>
    </cfRule>
  </conditionalFormatting>
  <conditionalFormatting sqref="B966">
    <cfRule type="cellIs" dxfId="3103" priority="4351" stopIfTrue="1" operator="equal">
      <formula>"Fail"</formula>
    </cfRule>
    <cfRule type="cellIs" dxfId="3102" priority="4352" stopIfTrue="1" operator="equal">
      <formula>"Pass"</formula>
    </cfRule>
  </conditionalFormatting>
  <conditionalFormatting sqref="C967:I967">
    <cfRule type="cellIs" dxfId="3101" priority="4347" stopIfTrue="1" operator="equal">
      <formula>"Fail"</formula>
    </cfRule>
    <cfRule type="cellIs" dxfId="3100" priority="4348" stopIfTrue="1" operator="equal">
      <formula>"Pass"</formula>
    </cfRule>
  </conditionalFormatting>
  <conditionalFormatting sqref="A967">
    <cfRule type="cellIs" dxfId="3099" priority="4349" stopIfTrue="1" operator="equal">
      <formula>"Fail"</formula>
    </cfRule>
    <cfRule type="cellIs" dxfId="3098" priority="4350" stopIfTrue="1" operator="equal">
      <formula>"Pass"</formula>
    </cfRule>
  </conditionalFormatting>
  <conditionalFormatting sqref="B967">
    <cfRule type="cellIs" dxfId="3097" priority="4345" stopIfTrue="1" operator="equal">
      <formula>"Fail"</formula>
    </cfRule>
    <cfRule type="cellIs" dxfId="3096" priority="4346" stopIfTrue="1" operator="equal">
      <formula>"Pass"</formula>
    </cfRule>
  </conditionalFormatting>
  <conditionalFormatting sqref="A970 C970:I970">
    <cfRule type="cellIs" dxfId="3095" priority="4343" stopIfTrue="1" operator="equal">
      <formula>"Fail"</formula>
    </cfRule>
    <cfRule type="cellIs" dxfId="3094" priority="4344" stopIfTrue="1" operator="equal">
      <formula>"Pass"</formula>
    </cfRule>
  </conditionalFormatting>
  <conditionalFormatting sqref="C975:I975 A975">
    <cfRule type="cellIs" dxfId="3093" priority="4341" stopIfTrue="1" operator="equal">
      <formula>"Fail"</formula>
    </cfRule>
    <cfRule type="cellIs" dxfId="3092" priority="4342" stopIfTrue="1" operator="equal">
      <formula>"Pass"</formula>
    </cfRule>
  </conditionalFormatting>
  <conditionalFormatting sqref="D975:I975 A975">
    <cfRule type="cellIs" dxfId="3091" priority="4339" stopIfTrue="1" operator="equal">
      <formula>"Fail"</formula>
    </cfRule>
    <cfRule type="cellIs" dxfId="3090" priority="4340" stopIfTrue="1" operator="equal">
      <formula>"Pass"</formula>
    </cfRule>
  </conditionalFormatting>
  <conditionalFormatting sqref="I975">
    <cfRule type="cellIs" dxfId="3089" priority="4337" stopIfTrue="1" operator="equal">
      <formula>"Fail"</formula>
    </cfRule>
    <cfRule type="cellIs" dxfId="3088" priority="4338" stopIfTrue="1" operator="equal">
      <formula>"Pass"</formula>
    </cfRule>
  </conditionalFormatting>
  <conditionalFormatting sqref="C975">
    <cfRule type="cellIs" dxfId="3087" priority="4335" stopIfTrue="1" operator="equal">
      <formula>"Fail"</formula>
    </cfRule>
    <cfRule type="cellIs" dxfId="3086" priority="4336" stopIfTrue="1" operator="equal">
      <formula>"Pass"</formula>
    </cfRule>
  </conditionalFormatting>
  <conditionalFormatting sqref="C977:I977 A977">
    <cfRule type="cellIs" dxfId="3085" priority="4333" stopIfTrue="1" operator="equal">
      <formula>"Fail"</formula>
    </cfRule>
    <cfRule type="cellIs" dxfId="3084" priority="4334" stopIfTrue="1" operator="equal">
      <formula>"Pass"</formula>
    </cfRule>
  </conditionalFormatting>
  <conditionalFormatting sqref="D977:I977 A977">
    <cfRule type="cellIs" dxfId="3083" priority="4331" stopIfTrue="1" operator="equal">
      <formula>"Fail"</formula>
    </cfRule>
    <cfRule type="cellIs" dxfId="3082" priority="4332" stopIfTrue="1" operator="equal">
      <formula>"Pass"</formula>
    </cfRule>
  </conditionalFormatting>
  <conditionalFormatting sqref="I977">
    <cfRule type="cellIs" dxfId="3081" priority="4329" stopIfTrue="1" operator="equal">
      <formula>"Fail"</formula>
    </cfRule>
    <cfRule type="cellIs" dxfId="3080" priority="4330" stopIfTrue="1" operator="equal">
      <formula>"Pass"</formula>
    </cfRule>
  </conditionalFormatting>
  <conditionalFormatting sqref="C977">
    <cfRule type="cellIs" dxfId="3079" priority="4327" stopIfTrue="1" operator="equal">
      <formula>"Fail"</formula>
    </cfRule>
    <cfRule type="cellIs" dxfId="3078" priority="4328" stopIfTrue="1" operator="equal">
      <formula>"Pass"</formula>
    </cfRule>
  </conditionalFormatting>
  <conditionalFormatting sqref="A983">
    <cfRule type="cellIs" dxfId="3077" priority="4325" stopIfTrue="1" operator="equal">
      <formula>"Fail"</formula>
    </cfRule>
    <cfRule type="cellIs" dxfId="3076" priority="4326" stopIfTrue="1" operator="equal">
      <formula>"Pass"</formula>
    </cfRule>
  </conditionalFormatting>
  <conditionalFormatting sqref="C983">
    <cfRule type="cellIs" dxfId="3075" priority="4323" stopIfTrue="1" operator="equal">
      <formula>"Fail"</formula>
    </cfRule>
    <cfRule type="cellIs" dxfId="3074" priority="4324" stopIfTrue="1" operator="equal">
      <formula>"Pass"</formula>
    </cfRule>
  </conditionalFormatting>
  <conditionalFormatting sqref="C983">
    <cfRule type="cellIs" dxfId="3073" priority="4317" stopIfTrue="1" operator="equal">
      <formula>"Fail"</formula>
    </cfRule>
    <cfRule type="cellIs" dxfId="3072" priority="4318" stopIfTrue="1" operator="equal">
      <formula>"Pass"</formula>
    </cfRule>
  </conditionalFormatting>
  <conditionalFormatting sqref="A983 C983:D983 F983:H983">
    <cfRule type="cellIs" dxfId="3071" priority="4321" stopIfTrue="1" operator="equal">
      <formula>"Fail"</formula>
    </cfRule>
    <cfRule type="cellIs" dxfId="3070" priority="4322" stopIfTrue="1" operator="equal">
      <formula>"Pass"</formula>
    </cfRule>
  </conditionalFormatting>
  <conditionalFormatting sqref="A983 D983 F983:H983">
    <cfRule type="cellIs" dxfId="3069" priority="4319" stopIfTrue="1" operator="equal">
      <formula>"Fail"</formula>
    </cfRule>
    <cfRule type="cellIs" dxfId="3068" priority="4320" stopIfTrue="1" operator="equal">
      <formula>"Pass"</formula>
    </cfRule>
  </conditionalFormatting>
  <conditionalFormatting sqref="I983">
    <cfRule type="cellIs" dxfId="3067" priority="4311" stopIfTrue="1" operator="equal">
      <formula>"Fail"</formula>
    </cfRule>
    <cfRule type="cellIs" dxfId="3066" priority="4312" stopIfTrue="1" operator="equal">
      <formula>"Pass"</formula>
    </cfRule>
  </conditionalFormatting>
  <conditionalFormatting sqref="I983">
    <cfRule type="cellIs" dxfId="3065" priority="4315" stopIfTrue="1" operator="equal">
      <formula>"Fail"</formula>
    </cfRule>
    <cfRule type="cellIs" dxfId="3064" priority="4316" stopIfTrue="1" operator="equal">
      <formula>"Pass"</formula>
    </cfRule>
  </conditionalFormatting>
  <conditionalFormatting sqref="I983">
    <cfRule type="cellIs" dxfId="3063" priority="4313" stopIfTrue="1" operator="equal">
      <formula>"Fail"</formula>
    </cfRule>
    <cfRule type="cellIs" dxfId="3062" priority="4314" stopIfTrue="1" operator="equal">
      <formula>"Pass"</formula>
    </cfRule>
  </conditionalFormatting>
  <conditionalFormatting sqref="I982">
    <cfRule type="cellIs" dxfId="3061" priority="4305" stopIfTrue="1" operator="equal">
      <formula>"Fail"</formula>
    </cfRule>
    <cfRule type="cellIs" dxfId="3060" priority="4306" stopIfTrue="1" operator="equal">
      <formula>"Pass"</formula>
    </cfRule>
  </conditionalFormatting>
  <conditionalFormatting sqref="C982">
    <cfRule type="cellIs" dxfId="3059" priority="4303" stopIfTrue="1" operator="equal">
      <formula>"Fail"</formula>
    </cfRule>
    <cfRule type="cellIs" dxfId="3058" priority="4304" stopIfTrue="1" operator="equal">
      <formula>"Pass"</formula>
    </cfRule>
  </conditionalFormatting>
  <conditionalFormatting sqref="C982:D982 A982 F982:I982">
    <cfRule type="cellIs" dxfId="3057" priority="4309" stopIfTrue="1" operator="equal">
      <formula>"Fail"</formula>
    </cfRule>
    <cfRule type="cellIs" dxfId="3056" priority="4310" stopIfTrue="1" operator="equal">
      <formula>"Pass"</formula>
    </cfRule>
  </conditionalFormatting>
  <conditionalFormatting sqref="D982 A982 F982:I982">
    <cfRule type="cellIs" dxfId="3055" priority="4307" stopIfTrue="1" operator="equal">
      <formula>"Fail"</formula>
    </cfRule>
    <cfRule type="cellIs" dxfId="3054" priority="4308" stopIfTrue="1" operator="equal">
      <formula>"Pass"</formula>
    </cfRule>
  </conditionalFormatting>
  <conditionalFormatting sqref="E982">
    <cfRule type="cellIs" dxfId="3053" priority="4301" stopIfTrue="1" operator="equal">
      <formula>"Fail"</formula>
    </cfRule>
    <cfRule type="cellIs" dxfId="3052" priority="4302" stopIfTrue="1" operator="equal">
      <formula>"Pass"</formula>
    </cfRule>
  </conditionalFormatting>
  <conditionalFormatting sqref="I979">
    <cfRule type="cellIs" dxfId="3051" priority="4295" stopIfTrue="1" operator="equal">
      <formula>"Fail"</formula>
    </cfRule>
    <cfRule type="cellIs" dxfId="3050" priority="4296" stopIfTrue="1" operator="equal">
      <formula>"Pass"</formula>
    </cfRule>
  </conditionalFormatting>
  <conditionalFormatting sqref="C979">
    <cfRule type="cellIs" dxfId="3049" priority="4293" stopIfTrue="1" operator="equal">
      <formula>"Fail"</formula>
    </cfRule>
    <cfRule type="cellIs" dxfId="3048" priority="4294" stopIfTrue="1" operator="equal">
      <formula>"Pass"</formula>
    </cfRule>
  </conditionalFormatting>
  <conditionalFormatting sqref="A979 C979:D979 F979:I979">
    <cfRule type="cellIs" dxfId="3047" priority="4299" stopIfTrue="1" operator="equal">
      <formula>"Fail"</formula>
    </cfRule>
    <cfRule type="cellIs" dxfId="3046" priority="4300" stopIfTrue="1" operator="equal">
      <formula>"Pass"</formula>
    </cfRule>
  </conditionalFormatting>
  <conditionalFormatting sqref="A979 D979 F979:I979">
    <cfRule type="cellIs" dxfId="3045" priority="4297" stopIfTrue="1" operator="equal">
      <formula>"Fail"</formula>
    </cfRule>
    <cfRule type="cellIs" dxfId="3044" priority="4298" stopIfTrue="1" operator="equal">
      <formula>"Pass"</formula>
    </cfRule>
  </conditionalFormatting>
  <conditionalFormatting sqref="A984 C984:I984">
    <cfRule type="cellIs" dxfId="3043" priority="4291" stopIfTrue="1" operator="equal">
      <formula>"Fail"</formula>
    </cfRule>
    <cfRule type="cellIs" dxfId="3042" priority="4292" stopIfTrue="1" operator="equal">
      <formula>"Pass"</formula>
    </cfRule>
  </conditionalFormatting>
  <conditionalFormatting sqref="B984">
    <cfRule type="cellIs" dxfId="3041" priority="4289" stopIfTrue="1" operator="equal">
      <formula>"Fail"</formula>
    </cfRule>
    <cfRule type="cellIs" dxfId="3040" priority="4290" stopIfTrue="1" operator="equal">
      <formula>"Pass"</formula>
    </cfRule>
  </conditionalFormatting>
  <conditionalFormatting sqref="A980">
    <cfRule type="cellIs" dxfId="3039" priority="4287" stopIfTrue="1" operator="equal">
      <formula>"Fail"</formula>
    </cfRule>
    <cfRule type="cellIs" dxfId="3038" priority="4288" stopIfTrue="1" operator="equal">
      <formula>"Pass"</formula>
    </cfRule>
  </conditionalFormatting>
  <conditionalFormatting sqref="B980">
    <cfRule type="cellIs" dxfId="3037" priority="4285" stopIfTrue="1" operator="equal">
      <formula>"Fail"</formula>
    </cfRule>
    <cfRule type="cellIs" dxfId="3036" priority="4286" stopIfTrue="1" operator="equal">
      <formula>"Pass"</formula>
    </cfRule>
  </conditionalFormatting>
  <conditionalFormatting sqref="C980">
    <cfRule type="cellIs" dxfId="3035" priority="4283" stopIfTrue="1" operator="equal">
      <formula>"Fail"</formula>
    </cfRule>
    <cfRule type="cellIs" dxfId="3034" priority="4284" stopIfTrue="1" operator="equal">
      <formula>"Pass"</formula>
    </cfRule>
  </conditionalFormatting>
  <conditionalFormatting sqref="C980">
    <cfRule type="cellIs" dxfId="3033" priority="4277" stopIfTrue="1" operator="equal">
      <formula>"Fail"</formula>
    </cfRule>
    <cfRule type="cellIs" dxfId="3032" priority="4278" stopIfTrue="1" operator="equal">
      <formula>"Pass"</formula>
    </cfRule>
  </conditionalFormatting>
  <conditionalFormatting sqref="A980 C980:D980 F980:H980">
    <cfRule type="cellIs" dxfId="3031" priority="4281" stopIfTrue="1" operator="equal">
      <formula>"Fail"</formula>
    </cfRule>
    <cfRule type="cellIs" dxfId="3030" priority="4282" stopIfTrue="1" operator="equal">
      <formula>"Pass"</formula>
    </cfRule>
  </conditionalFormatting>
  <conditionalFormatting sqref="A980 D980 F980:H980">
    <cfRule type="cellIs" dxfId="3029" priority="4279" stopIfTrue="1" operator="equal">
      <formula>"Fail"</formula>
    </cfRule>
    <cfRule type="cellIs" dxfId="3028" priority="4280" stopIfTrue="1" operator="equal">
      <formula>"Pass"</formula>
    </cfRule>
  </conditionalFormatting>
  <conditionalFormatting sqref="I980">
    <cfRule type="cellIs" dxfId="3027" priority="4271" stopIfTrue="1" operator="equal">
      <formula>"Fail"</formula>
    </cfRule>
    <cfRule type="cellIs" dxfId="3026" priority="4272" stopIfTrue="1" operator="equal">
      <formula>"Pass"</formula>
    </cfRule>
  </conditionalFormatting>
  <conditionalFormatting sqref="I980">
    <cfRule type="cellIs" dxfId="3025" priority="4275" stopIfTrue="1" operator="equal">
      <formula>"Fail"</formula>
    </cfRule>
    <cfRule type="cellIs" dxfId="3024" priority="4276" stopIfTrue="1" operator="equal">
      <formula>"Pass"</formula>
    </cfRule>
  </conditionalFormatting>
  <conditionalFormatting sqref="I980">
    <cfRule type="cellIs" dxfId="3023" priority="4273" stopIfTrue="1" operator="equal">
      <formula>"Fail"</formula>
    </cfRule>
    <cfRule type="cellIs" dxfId="3022" priority="4274" stopIfTrue="1" operator="equal">
      <formula>"Pass"</formula>
    </cfRule>
  </conditionalFormatting>
  <conditionalFormatting sqref="A981 C981:I981">
    <cfRule type="cellIs" dxfId="3021" priority="4269" stopIfTrue="1" operator="equal">
      <formula>"Fail"</formula>
    </cfRule>
    <cfRule type="cellIs" dxfId="3020" priority="4270" stopIfTrue="1" operator="equal">
      <formula>"Pass"</formula>
    </cfRule>
  </conditionalFormatting>
  <conditionalFormatting sqref="B981">
    <cfRule type="cellIs" dxfId="3019" priority="4267" stopIfTrue="1" operator="equal">
      <formula>"Fail"</formula>
    </cfRule>
    <cfRule type="cellIs" dxfId="3018" priority="4268" stopIfTrue="1" operator="equal">
      <formula>"Pass"</formula>
    </cfRule>
  </conditionalFormatting>
  <conditionalFormatting sqref="A978:A981 D978:I981">
    <cfRule type="cellIs" dxfId="3017" priority="4263" stopIfTrue="1" operator="equal">
      <formula>"Fail"</formula>
    </cfRule>
    <cfRule type="cellIs" dxfId="3016" priority="4264" stopIfTrue="1" operator="equal">
      <formula>"Pass"</formula>
    </cfRule>
  </conditionalFormatting>
  <conditionalFormatting sqref="A978:A981 C978:I981">
    <cfRule type="cellIs" dxfId="3015" priority="4265" stopIfTrue="1" operator="equal">
      <formula>"Fail"</formula>
    </cfRule>
    <cfRule type="cellIs" dxfId="3014" priority="4266" stopIfTrue="1" operator="equal">
      <formula>"Pass"</formula>
    </cfRule>
  </conditionalFormatting>
  <conditionalFormatting sqref="I978:I981">
    <cfRule type="cellIs" dxfId="3013" priority="4261" stopIfTrue="1" operator="equal">
      <formula>"Fail"</formula>
    </cfRule>
    <cfRule type="cellIs" dxfId="3012" priority="4262" stopIfTrue="1" operator="equal">
      <formula>"Pass"</formula>
    </cfRule>
  </conditionalFormatting>
  <conditionalFormatting sqref="C978:C981">
    <cfRule type="cellIs" dxfId="3011" priority="4259" stopIfTrue="1" operator="equal">
      <formula>"Fail"</formula>
    </cfRule>
    <cfRule type="cellIs" dxfId="3010" priority="4260" stopIfTrue="1" operator="equal">
      <formula>"Pass"</formula>
    </cfRule>
  </conditionalFormatting>
  <conditionalFormatting sqref="I985">
    <cfRule type="cellIs" dxfId="3009" priority="4253" stopIfTrue="1" operator="equal">
      <formula>"Fail"</formula>
    </cfRule>
    <cfRule type="cellIs" dxfId="3008" priority="4254" stopIfTrue="1" operator="equal">
      <formula>"Pass"</formula>
    </cfRule>
  </conditionalFormatting>
  <conditionalFormatting sqref="C985">
    <cfRule type="cellIs" dxfId="3007" priority="4251" stopIfTrue="1" operator="equal">
      <formula>"Fail"</formula>
    </cfRule>
    <cfRule type="cellIs" dxfId="3006" priority="4252" stopIfTrue="1" operator="equal">
      <formula>"Pass"</formula>
    </cfRule>
  </conditionalFormatting>
  <conditionalFormatting sqref="C985:I985 A985">
    <cfRule type="cellIs" dxfId="3005" priority="4257" stopIfTrue="1" operator="equal">
      <formula>"Fail"</formula>
    </cfRule>
    <cfRule type="cellIs" dxfId="3004" priority="4258" stopIfTrue="1" operator="equal">
      <formula>"Pass"</formula>
    </cfRule>
  </conditionalFormatting>
  <conditionalFormatting sqref="D985:I985 A985">
    <cfRule type="cellIs" dxfId="3003" priority="4255" stopIfTrue="1" operator="equal">
      <formula>"Fail"</formula>
    </cfRule>
    <cfRule type="cellIs" dxfId="3002" priority="4256" stopIfTrue="1" operator="equal">
      <formula>"Pass"</formula>
    </cfRule>
  </conditionalFormatting>
  <conditionalFormatting sqref="A986 D986:I986">
    <cfRule type="cellIs" dxfId="3001" priority="4247" stopIfTrue="1" operator="equal">
      <formula>"Fail"</formula>
    </cfRule>
    <cfRule type="cellIs" dxfId="3000" priority="4248" stopIfTrue="1" operator="equal">
      <formula>"Pass"</formula>
    </cfRule>
  </conditionalFormatting>
  <conditionalFormatting sqref="A986 C986:I986">
    <cfRule type="cellIs" dxfId="2999" priority="4249" stopIfTrue="1" operator="equal">
      <formula>"Fail"</formula>
    </cfRule>
    <cfRule type="cellIs" dxfId="2998" priority="4250" stopIfTrue="1" operator="equal">
      <formula>"Pass"</formula>
    </cfRule>
  </conditionalFormatting>
  <conditionalFormatting sqref="I986">
    <cfRule type="cellIs" dxfId="2997" priority="4245" stopIfTrue="1" operator="equal">
      <formula>"Fail"</formula>
    </cfRule>
    <cfRule type="cellIs" dxfId="2996" priority="4246" stopIfTrue="1" operator="equal">
      <formula>"Pass"</formula>
    </cfRule>
  </conditionalFormatting>
  <conditionalFormatting sqref="C986">
    <cfRule type="cellIs" dxfId="2995" priority="4243" stopIfTrue="1" operator="equal">
      <formula>"Fail"</formula>
    </cfRule>
    <cfRule type="cellIs" dxfId="2994" priority="4244" stopIfTrue="1" operator="equal">
      <formula>"Pass"</formula>
    </cfRule>
  </conditionalFormatting>
  <conditionalFormatting sqref="A988">
    <cfRule type="cellIs" dxfId="2993" priority="4241" stopIfTrue="1" operator="equal">
      <formula>"Fail"</formula>
    </cfRule>
    <cfRule type="cellIs" dxfId="2992" priority="4242" stopIfTrue="1" operator="equal">
      <formula>"Pass"</formula>
    </cfRule>
  </conditionalFormatting>
  <conditionalFormatting sqref="C988">
    <cfRule type="cellIs" dxfId="2991" priority="4237" stopIfTrue="1" operator="equal">
      <formula>"Fail"</formula>
    </cfRule>
    <cfRule type="cellIs" dxfId="2990" priority="4238" stopIfTrue="1" operator="equal">
      <formula>"Pass"</formula>
    </cfRule>
  </conditionalFormatting>
  <conditionalFormatting sqref="C988">
    <cfRule type="cellIs" dxfId="2989" priority="4231" stopIfTrue="1" operator="equal">
      <formula>"Fail"</formula>
    </cfRule>
    <cfRule type="cellIs" dxfId="2988" priority="4232" stopIfTrue="1" operator="equal">
      <formula>"Pass"</formula>
    </cfRule>
  </conditionalFormatting>
  <conditionalFormatting sqref="A988 C988:D988 F988:H988">
    <cfRule type="cellIs" dxfId="2987" priority="4235" stopIfTrue="1" operator="equal">
      <formula>"Fail"</formula>
    </cfRule>
    <cfRule type="cellIs" dxfId="2986" priority="4236" stopIfTrue="1" operator="equal">
      <formula>"Pass"</formula>
    </cfRule>
  </conditionalFormatting>
  <conditionalFormatting sqref="A988 D988 F988:H988">
    <cfRule type="cellIs" dxfId="2985" priority="4233" stopIfTrue="1" operator="equal">
      <formula>"Fail"</formula>
    </cfRule>
    <cfRule type="cellIs" dxfId="2984" priority="4234" stopIfTrue="1" operator="equal">
      <formula>"Pass"</formula>
    </cfRule>
  </conditionalFormatting>
  <conditionalFormatting sqref="I988">
    <cfRule type="cellIs" dxfId="2983" priority="4225" stopIfTrue="1" operator="equal">
      <formula>"Fail"</formula>
    </cfRule>
    <cfRule type="cellIs" dxfId="2982" priority="4226" stopIfTrue="1" operator="equal">
      <formula>"Pass"</formula>
    </cfRule>
  </conditionalFormatting>
  <conditionalFormatting sqref="I988">
    <cfRule type="cellIs" dxfId="2981" priority="4229" stopIfTrue="1" operator="equal">
      <formula>"Fail"</formula>
    </cfRule>
    <cfRule type="cellIs" dxfId="2980" priority="4230" stopIfTrue="1" operator="equal">
      <formula>"Pass"</formula>
    </cfRule>
  </conditionalFormatting>
  <conditionalFormatting sqref="I988">
    <cfRule type="cellIs" dxfId="2979" priority="4227" stopIfTrue="1" operator="equal">
      <formula>"Fail"</formula>
    </cfRule>
    <cfRule type="cellIs" dxfId="2978" priority="4228" stopIfTrue="1" operator="equal">
      <formula>"Pass"</formula>
    </cfRule>
  </conditionalFormatting>
  <conditionalFormatting sqref="I987">
    <cfRule type="cellIs" dxfId="2977" priority="4219" stopIfTrue="1" operator="equal">
      <formula>"Fail"</formula>
    </cfRule>
    <cfRule type="cellIs" dxfId="2976" priority="4220" stopIfTrue="1" operator="equal">
      <formula>"Pass"</formula>
    </cfRule>
  </conditionalFormatting>
  <conditionalFormatting sqref="D987 A987 F987:I987">
    <cfRule type="cellIs" dxfId="2975" priority="4223" stopIfTrue="1" operator="equal">
      <formula>"Fail"</formula>
    </cfRule>
    <cfRule type="cellIs" dxfId="2974" priority="4224" stopIfTrue="1" operator="equal">
      <formula>"Pass"</formula>
    </cfRule>
  </conditionalFormatting>
  <conditionalFormatting sqref="D987 A987 F987:I987">
    <cfRule type="cellIs" dxfId="2973" priority="4221" stopIfTrue="1" operator="equal">
      <formula>"Fail"</formula>
    </cfRule>
    <cfRule type="cellIs" dxfId="2972" priority="4222" stopIfTrue="1" operator="equal">
      <formula>"Pass"</formula>
    </cfRule>
  </conditionalFormatting>
  <conditionalFormatting sqref="E987">
    <cfRule type="cellIs" dxfId="2971" priority="4215" stopIfTrue="1" operator="equal">
      <formula>"Fail"</formula>
    </cfRule>
    <cfRule type="cellIs" dxfId="2970" priority="4216" stopIfTrue="1" operator="equal">
      <formula>"Pass"</formula>
    </cfRule>
  </conditionalFormatting>
  <conditionalFormatting sqref="A989 C989:I989">
    <cfRule type="cellIs" dxfId="2969" priority="4213" stopIfTrue="1" operator="equal">
      <formula>"Fail"</formula>
    </cfRule>
    <cfRule type="cellIs" dxfId="2968" priority="4214" stopIfTrue="1" operator="equal">
      <formula>"Pass"</formula>
    </cfRule>
  </conditionalFormatting>
  <conditionalFormatting sqref="B989">
    <cfRule type="cellIs" dxfId="2967" priority="4211" stopIfTrue="1" operator="equal">
      <formula>"Fail"</formula>
    </cfRule>
    <cfRule type="cellIs" dxfId="2966" priority="4212" stopIfTrue="1" operator="equal">
      <formula>"Pass"</formula>
    </cfRule>
  </conditionalFormatting>
  <conditionalFormatting sqref="I990">
    <cfRule type="cellIs" dxfId="2965" priority="4197" stopIfTrue="1" operator="equal">
      <formula>"Fail"</formula>
    </cfRule>
    <cfRule type="cellIs" dxfId="2964" priority="4198" stopIfTrue="1" operator="equal">
      <formula>"Pass"</formula>
    </cfRule>
  </conditionalFormatting>
  <conditionalFormatting sqref="C990">
    <cfRule type="cellIs" dxfId="2963" priority="4195" stopIfTrue="1" operator="equal">
      <formula>"Fail"</formula>
    </cfRule>
    <cfRule type="cellIs" dxfId="2962" priority="4196" stopIfTrue="1" operator="equal">
      <formula>"Pass"</formula>
    </cfRule>
  </conditionalFormatting>
  <conditionalFormatting sqref="C990:I990 A990">
    <cfRule type="cellIs" dxfId="2961" priority="4201" stopIfTrue="1" operator="equal">
      <formula>"Fail"</formula>
    </cfRule>
    <cfRule type="cellIs" dxfId="2960" priority="4202" stopIfTrue="1" operator="equal">
      <formula>"Pass"</formula>
    </cfRule>
  </conditionalFormatting>
  <conditionalFormatting sqref="D990:I990 A990">
    <cfRule type="cellIs" dxfId="2959" priority="4199" stopIfTrue="1" operator="equal">
      <formula>"Fail"</formula>
    </cfRule>
    <cfRule type="cellIs" dxfId="2958" priority="4200" stopIfTrue="1" operator="equal">
      <formula>"Pass"</formula>
    </cfRule>
  </conditionalFormatting>
  <conditionalFormatting sqref="A991 D991:I991">
    <cfRule type="cellIs" dxfId="2957" priority="4191" stopIfTrue="1" operator="equal">
      <formula>"Fail"</formula>
    </cfRule>
    <cfRule type="cellIs" dxfId="2956" priority="4192" stopIfTrue="1" operator="equal">
      <formula>"Pass"</formula>
    </cfRule>
  </conditionalFormatting>
  <conditionalFormatting sqref="A991 D991:I991">
    <cfRule type="cellIs" dxfId="2955" priority="4193" stopIfTrue="1" operator="equal">
      <formula>"Fail"</formula>
    </cfRule>
    <cfRule type="cellIs" dxfId="2954" priority="4194" stopIfTrue="1" operator="equal">
      <formula>"Pass"</formula>
    </cfRule>
  </conditionalFormatting>
  <conditionalFormatting sqref="I991">
    <cfRule type="cellIs" dxfId="2953" priority="4189" stopIfTrue="1" operator="equal">
      <formula>"Fail"</formula>
    </cfRule>
    <cfRule type="cellIs" dxfId="2952" priority="4190" stopIfTrue="1" operator="equal">
      <formula>"Pass"</formula>
    </cfRule>
  </conditionalFormatting>
  <conditionalFormatting sqref="A993">
    <cfRule type="cellIs" dxfId="2951" priority="4185" stopIfTrue="1" operator="equal">
      <formula>"Fail"</formula>
    </cfRule>
    <cfRule type="cellIs" dxfId="2950" priority="4186" stopIfTrue="1" operator="equal">
      <formula>"Pass"</formula>
    </cfRule>
  </conditionalFormatting>
  <conditionalFormatting sqref="C993">
    <cfRule type="cellIs" dxfId="2949" priority="4181" stopIfTrue="1" operator="equal">
      <formula>"Fail"</formula>
    </cfRule>
    <cfRule type="cellIs" dxfId="2948" priority="4182" stopIfTrue="1" operator="equal">
      <formula>"Pass"</formula>
    </cfRule>
  </conditionalFormatting>
  <conditionalFormatting sqref="C993">
    <cfRule type="cellIs" dxfId="2947" priority="4175" stopIfTrue="1" operator="equal">
      <formula>"Fail"</formula>
    </cfRule>
    <cfRule type="cellIs" dxfId="2946" priority="4176" stopIfTrue="1" operator="equal">
      <formula>"Pass"</formula>
    </cfRule>
  </conditionalFormatting>
  <conditionalFormatting sqref="A993 C993:D993 F993:H993">
    <cfRule type="cellIs" dxfId="2945" priority="4179" stopIfTrue="1" operator="equal">
      <formula>"Fail"</formula>
    </cfRule>
    <cfRule type="cellIs" dxfId="2944" priority="4180" stopIfTrue="1" operator="equal">
      <formula>"Pass"</formula>
    </cfRule>
  </conditionalFormatting>
  <conditionalFormatting sqref="A993 D993 F993:H993">
    <cfRule type="cellIs" dxfId="2943" priority="4177" stopIfTrue="1" operator="equal">
      <formula>"Fail"</formula>
    </cfRule>
    <cfRule type="cellIs" dxfId="2942" priority="4178" stopIfTrue="1" operator="equal">
      <formula>"Pass"</formula>
    </cfRule>
  </conditionalFormatting>
  <conditionalFormatting sqref="I993">
    <cfRule type="cellIs" dxfId="2941" priority="4169" stopIfTrue="1" operator="equal">
      <formula>"Fail"</formula>
    </cfRule>
    <cfRule type="cellIs" dxfId="2940" priority="4170" stopIfTrue="1" operator="equal">
      <formula>"Pass"</formula>
    </cfRule>
  </conditionalFormatting>
  <conditionalFormatting sqref="I993">
    <cfRule type="cellIs" dxfId="2939" priority="4173" stopIfTrue="1" operator="equal">
      <formula>"Fail"</formula>
    </cfRule>
    <cfRule type="cellIs" dxfId="2938" priority="4174" stopIfTrue="1" operator="equal">
      <formula>"Pass"</formula>
    </cfRule>
  </conditionalFormatting>
  <conditionalFormatting sqref="I993">
    <cfRule type="cellIs" dxfId="2937" priority="4171" stopIfTrue="1" operator="equal">
      <formula>"Fail"</formula>
    </cfRule>
    <cfRule type="cellIs" dxfId="2936" priority="4172" stopIfTrue="1" operator="equal">
      <formula>"Pass"</formula>
    </cfRule>
  </conditionalFormatting>
  <conditionalFormatting sqref="I992">
    <cfRule type="cellIs" dxfId="2935" priority="4163" stopIfTrue="1" operator="equal">
      <formula>"Fail"</formula>
    </cfRule>
    <cfRule type="cellIs" dxfId="2934" priority="4164" stopIfTrue="1" operator="equal">
      <formula>"Pass"</formula>
    </cfRule>
  </conditionalFormatting>
  <conditionalFormatting sqref="D992 A992 F992:I992">
    <cfRule type="cellIs" dxfId="2933" priority="4167" stopIfTrue="1" operator="equal">
      <formula>"Fail"</formula>
    </cfRule>
    <cfRule type="cellIs" dxfId="2932" priority="4168" stopIfTrue="1" operator="equal">
      <formula>"Pass"</formula>
    </cfRule>
  </conditionalFormatting>
  <conditionalFormatting sqref="D992 A992 F992:I992">
    <cfRule type="cellIs" dxfId="2931" priority="4165" stopIfTrue="1" operator="equal">
      <formula>"Fail"</formula>
    </cfRule>
    <cfRule type="cellIs" dxfId="2930" priority="4166" stopIfTrue="1" operator="equal">
      <formula>"Pass"</formula>
    </cfRule>
  </conditionalFormatting>
  <conditionalFormatting sqref="E992">
    <cfRule type="cellIs" dxfId="2929" priority="4159" stopIfTrue="1" operator="equal">
      <formula>"Fail"</formula>
    </cfRule>
    <cfRule type="cellIs" dxfId="2928" priority="4160" stopIfTrue="1" operator="equal">
      <formula>"Pass"</formula>
    </cfRule>
  </conditionalFormatting>
  <conditionalFormatting sqref="A994 C994:I994">
    <cfRule type="cellIs" dxfId="2927" priority="4157" stopIfTrue="1" operator="equal">
      <formula>"Fail"</formula>
    </cfRule>
    <cfRule type="cellIs" dxfId="2926" priority="4158" stopIfTrue="1" operator="equal">
      <formula>"Pass"</formula>
    </cfRule>
  </conditionalFormatting>
  <conditionalFormatting sqref="B994">
    <cfRule type="cellIs" dxfId="2925" priority="4155" stopIfTrue="1" operator="equal">
      <formula>"Fail"</formula>
    </cfRule>
    <cfRule type="cellIs" dxfId="2924" priority="4156" stopIfTrue="1" operator="equal">
      <formula>"Pass"</formula>
    </cfRule>
  </conditionalFormatting>
  <conditionalFormatting sqref="I997">
    <cfRule type="cellIs" dxfId="2923" priority="4149" stopIfTrue="1" operator="equal">
      <formula>"Fail"</formula>
    </cfRule>
    <cfRule type="cellIs" dxfId="2922" priority="4150" stopIfTrue="1" operator="equal">
      <formula>"Pass"</formula>
    </cfRule>
  </conditionalFormatting>
  <conditionalFormatting sqref="C997">
    <cfRule type="cellIs" dxfId="2921" priority="4147" stopIfTrue="1" operator="equal">
      <formula>"Fail"</formula>
    </cfRule>
    <cfRule type="cellIs" dxfId="2920" priority="4148" stopIfTrue="1" operator="equal">
      <formula>"Pass"</formula>
    </cfRule>
  </conditionalFormatting>
  <conditionalFormatting sqref="C997:I997 A997">
    <cfRule type="cellIs" dxfId="2919" priority="4153" stopIfTrue="1" operator="equal">
      <formula>"Fail"</formula>
    </cfRule>
    <cfRule type="cellIs" dxfId="2918" priority="4154" stopIfTrue="1" operator="equal">
      <formula>"Pass"</formula>
    </cfRule>
  </conditionalFormatting>
  <conditionalFormatting sqref="D997:I997 A997">
    <cfRule type="cellIs" dxfId="2917" priority="4151" stopIfTrue="1" operator="equal">
      <formula>"Fail"</formula>
    </cfRule>
    <cfRule type="cellIs" dxfId="2916" priority="4152" stopIfTrue="1" operator="equal">
      <formula>"Pass"</formula>
    </cfRule>
  </conditionalFormatting>
  <conditionalFormatting sqref="C467:I467 A467">
    <cfRule type="cellIs" dxfId="2915" priority="4145" stopIfTrue="1" operator="equal">
      <formula>"Fail"</formula>
    </cfRule>
    <cfRule type="cellIs" dxfId="2914" priority="4146" stopIfTrue="1" operator="equal">
      <formula>"Pass"</formula>
    </cfRule>
  </conditionalFormatting>
  <conditionalFormatting sqref="D467:I467 A467">
    <cfRule type="cellIs" dxfId="2913" priority="4143" stopIfTrue="1" operator="equal">
      <formula>"Fail"</formula>
    </cfRule>
    <cfRule type="cellIs" dxfId="2912" priority="4144" stopIfTrue="1" operator="equal">
      <formula>"Pass"</formula>
    </cfRule>
  </conditionalFormatting>
  <conditionalFormatting sqref="I467">
    <cfRule type="cellIs" dxfId="2911" priority="4141" stopIfTrue="1" operator="equal">
      <formula>"Fail"</formula>
    </cfRule>
    <cfRule type="cellIs" dxfId="2910" priority="4142" stopIfTrue="1" operator="equal">
      <formula>"Pass"</formula>
    </cfRule>
  </conditionalFormatting>
  <conditionalFormatting sqref="C467">
    <cfRule type="cellIs" dxfId="2909" priority="4139" stopIfTrue="1" operator="equal">
      <formula>"Fail"</formula>
    </cfRule>
    <cfRule type="cellIs" dxfId="2908" priority="4140" stopIfTrue="1" operator="equal">
      <formula>"Pass"</formula>
    </cfRule>
  </conditionalFormatting>
  <conditionalFormatting sqref="C1008:I1008 A1008">
    <cfRule type="cellIs" dxfId="2907" priority="4115" stopIfTrue="1" operator="equal">
      <formula>"Fail"</formula>
    </cfRule>
    <cfRule type="cellIs" dxfId="2906" priority="4116" stopIfTrue="1" operator="equal">
      <formula>"Pass"</formula>
    </cfRule>
  </conditionalFormatting>
  <conditionalFormatting sqref="D1008:I1008 A1008">
    <cfRule type="cellIs" dxfId="2905" priority="4113" stopIfTrue="1" operator="equal">
      <formula>"Fail"</formula>
    </cfRule>
    <cfRule type="cellIs" dxfId="2904" priority="4114" stopIfTrue="1" operator="equal">
      <formula>"Pass"</formula>
    </cfRule>
  </conditionalFormatting>
  <conditionalFormatting sqref="I1008">
    <cfRule type="cellIs" dxfId="2903" priority="4111" stopIfTrue="1" operator="equal">
      <formula>"Fail"</formula>
    </cfRule>
    <cfRule type="cellIs" dxfId="2902" priority="4112" stopIfTrue="1" operator="equal">
      <formula>"Pass"</formula>
    </cfRule>
  </conditionalFormatting>
  <conditionalFormatting sqref="C1008">
    <cfRule type="cellIs" dxfId="2901" priority="4109" stopIfTrue="1" operator="equal">
      <formula>"Fail"</formula>
    </cfRule>
    <cfRule type="cellIs" dxfId="2900" priority="4110" stopIfTrue="1" operator="equal">
      <formula>"Pass"</formula>
    </cfRule>
  </conditionalFormatting>
  <conditionalFormatting sqref="I1010">
    <cfRule type="cellIs" dxfId="2899" priority="4103" stopIfTrue="1" operator="equal">
      <formula>"Fail"</formula>
    </cfRule>
    <cfRule type="cellIs" dxfId="2898" priority="4104" stopIfTrue="1" operator="equal">
      <formula>"Pass"</formula>
    </cfRule>
  </conditionalFormatting>
  <conditionalFormatting sqref="C1010">
    <cfRule type="cellIs" dxfId="2897" priority="4101" stopIfTrue="1" operator="equal">
      <formula>"Fail"</formula>
    </cfRule>
    <cfRule type="cellIs" dxfId="2896" priority="4102" stopIfTrue="1" operator="equal">
      <formula>"Pass"</formula>
    </cfRule>
  </conditionalFormatting>
  <conditionalFormatting sqref="C1010:I1010 A1010">
    <cfRule type="cellIs" dxfId="2895" priority="4107" stopIfTrue="1" operator="equal">
      <formula>"Fail"</formula>
    </cfRule>
    <cfRule type="cellIs" dxfId="2894" priority="4108" stopIfTrue="1" operator="equal">
      <formula>"Pass"</formula>
    </cfRule>
  </conditionalFormatting>
  <conditionalFormatting sqref="D1010:I1010 A1010">
    <cfRule type="cellIs" dxfId="2893" priority="4105" stopIfTrue="1" operator="equal">
      <formula>"Fail"</formula>
    </cfRule>
    <cfRule type="cellIs" dxfId="2892" priority="4106" stopIfTrue="1" operator="equal">
      <formula>"Pass"</formula>
    </cfRule>
  </conditionalFormatting>
  <conditionalFormatting sqref="I1011">
    <cfRule type="cellIs" dxfId="2891" priority="4095" stopIfTrue="1" operator="equal">
      <formula>"Fail"</formula>
    </cfRule>
    <cfRule type="cellIs" dxfId="2890" priority="4096" stopIfTrue="1" operator="equal">
      <formula>"Pass"</formula>
    </cfRule>
  </conditionalFormatting>
  <conditionalFormatting sqref="C1011">
    <cfRule type="cellIs" dxfId="2889" priority="4093" stopIfTrue="1" operator="equal">
      <formula>"Fail"</formula>
    </cfRule>
    <cfRule type="cellIs" dxfId="2888" priority="4094" stopIfTrue="1" operator="equal">
      <formula>"Pass"</formula>
    </cfRule>
  </conditionalFormatting>
  <conditionalFormatting sqref="C1011:I1011 A1011">
    <cfRule type="cellIs" dxfId="2887" priority="4099" stopIfTrue="1" operator="equal">
      <formula>"Fail"</formula>
    </cfRule>
    <cfRule type="cellIs" dxfId="2886" priority="4100" stopIfTrue="1" operator="equal">
      <formula>"Pass"</formula>
    </cfRule>
  </conditionalFormatting>
  <conditionalFormatting sqref="D1011:I1011 A1011">
    <cfRule type="cellIs" dxfId="2885" priority="4097" stopIfTrue="1" operator="equal">
      <formula>"Fail"</formula>
    </cfRule>
    <cfRule type="cellIs" dxfId="2884" priority="4098" stopIfTrue="1" operator="equal">
      <formula>"Pass"</formula>
    </cfRule>
  </conditionalFormatting>
  <conditionalFormatting sqref="A1012 D1012:I1012">
    <cfRule type="cellIs" dxfId="2883" priority="4089" stopIfTrue="1" operator="equal">
      <formula>"Fail"</formula>
    </cfRule>
    <cfRule type="cellIs" dxfId="2882" priority="4090" stopIfTrue="1" operator="equal">
      <formula>"Pass"</formula>
    </cfRule>
  </conditionalFormatting>
  <conditionalFormatting sqref="A1012 D1012:I1012">
    <cfRule type="cellIs" dxfId="2881" priority="4091" stopIfTrue="1" operator="equal">
      <formula>"Fail"</formula>
    </cfRule>
    <cfRule type="cellIs" dxfId="2880" priority="4092" stopIfTrue="1" operator="equal">
      <formula>"Pass"</formula>
    </cfRule>
  </conditionalFormatting>
  <conditionalFormatting sqref="I1012">
    <cfRule type="cellIs" dxfId="2879" priority="4087" stopIfTrue="1" operator="equal">
      <formula>"Fail"</formula>
    </cfRule>
    <cfRule type="cellIs" dxfId="2878" priority="4088" stopIfTrue="1" operator="equal">
      <formula>"Pass"</formula>
    </cfRule>
  </conditionalFormatting>
  <conditionalFormatting sqref="A1014">
    <cfRule type="cellIs" dxfId="2877" priority="4083" stopIfTrue="1" operator="equal">
      <formula>"Fail"</formula>
    </cfRule>
    <cfRule type="cellIs" dxfId="2876" priority="4084" stopIfTrue="1" operator="equal">
      <formula>"Pass"</formula>
    </cfRule>
  </conditionalFormatting>
  <conditionalFormatting sqref="C1014">
    <cfRule type="cellIs" dxfId="2875" priority="4079" stopIfTrue="1" operator="equal">
      <formula>"Fail"</formula>
    </cfRule>
    <cfRule type="cellIs" dxfId="2874" priority="4080" stopIfTrue="1" operator="equal">
      <formula>"Pass"</formula>
    </cfRule>
  </conditionalFormatting>
  <conditionalFormatting sqref="C1014">
    <cfRule type="cellIs" dxfId="2873" priority="4073" stopIfTrue="1" operator="equal">
      <formula>"Fail"</formula>
    </cfRule>
    <cfRule type="cellIs" dxfId="2872" priority="4074" stopIfTrue="1" operator="equal">
      <formula>"Pass"</formula>
    </cfRule>
  </conditionalFormatting>
  <conditionalFormatting sqref="A1014 C1014:D1014 F1014:H1014">
    <cfRule type="cellIs" dxfId="2871" priority="4077" stopIfTrue="1" operator="equal">
      <formula>"Fail"</formula>
    </cfRule>
    <cfRule type="cellIs" dxfId="2870" priority="4078" stopIfTrue="1" operator="equal">
      <formula>"Pass"</formula>
    </cfRule>
  </conditionalFormatting>
  <conditionalFormatting sqref="A1014 D1014 F1014:H1014">
    <cfRule type="cellIs" dxfId="2869" priority="4075" stopIfTrue="1" operator="equal">
      <formula>"Fail"</formula>
    </cfRule>
    <cfRule type="cellIs" dxfId="2868" priority="4076" stopIfTrue="1" operator="equal">
      <formula>"Pass"</formula>
    </cfRule>
  </conditionalFormatting>
  <conditionalFormatting sqref="I1014">
    <cfRule type="cellIs" dxfId="2867" priority="4067" stopIfTrue="1" operator="equal">
      <formula>"Fail"</formula>
    </cfRule>
    <cfRule type="cellIs" dxfId="2866" priority="4068" stopIfTrue="1" operator="equal">
      <formula>"Pass"</formula>
    </cfRule>
  </conditionalFormatting>
  <conditionalFormatting sqref="I1014">
    <cfRule type="cellIs" dxfId="2865" priority="4071" stopIfTrue="1" operator="equal">
      <formula>"Fail"</formula>
    </cfRule>
    <cfRule type="cellIs" dxfId="2864" priority="4072" stopIfTrue="1" operator="equal">
      <formula>"Pass"</formula>
    </cfRule>
  </conditionalFormatting>
  <conditionalFormatting sqref="I1014">
    <cfRule type="cellIs" dxfId="2863" priority="4069" stopIfTrue="1" operator="equal">
      <formula>"Fail"</formula>
    </cfRule>
    <cfRule type="cellIs" dxfId="2862" priority="4070" stopIfTrue="1" operator="equal">
      <formula>"Pass"</formula>
    </cfRule>
  </conditionalFormatting>
  <conditionalFormatting sqref="I1013">
    <cfRule type="cellIs" dxfId="2861" priority="4061" stopIfTrue="1" operator="equal">
      <formula>"Fail"</formula>
    </cfRule>
    <cfRule type="cellIs" dxfId="2860" priority="4062" stopIfTrue="1" operator="equal">
      <formula>"Pass"</formula>
    </cfRule>
  </conditionalFormatting>
  <conditionalFormatting sqref="D1013 A1013 F1013:I1013">
    <cfRule type="cellIs" dxfId="2859" priority="4065" stopIfTrue="1" operator="equal">
      <formula>"Fail"</formula>
    </cfRule>
    <cfRule type="cellIs" dxfId="2858" priority="4066" stopIfTrue="1" operator="equal">
      <formula>"Pass"</formula>
    </cfRule>
  </conditionalFormatting>
  <conditionalFormatting sqref="D1013 A1013 F1013:I1013">
    <cfRule type="cellIs" dxfId="2857" priority="4063" stopIfTrue="1" operator="equal">
      <formula>"Fail"</formula>
    </cfRule>
    <cfRule type="cellIs" dxfId="2856" priority="4064" stopIfTrue="1" operator="equal">
      <formula>"Pass"</formula>
    </cfRule>
  </conditionalFormatting>
  <conditionalFormatting sqref="E1013">
    <cfRule type="cellIs" dxfId="2855" priority="4057" stopIfTrue="1" operator="equal">
      <formula>"Fail"</formula>
    </cfRule>
    <cfRule type="cellIs" dxfId="2854" priority="4058" stopIfTrue="1" operator="equal">
      <formula>"Pass"</formula>
    </cfRule>
  </conditionalFormatting>
  <conditionalFormatting sqref="A1015 C1015:I1015">
    <cfRule type="cellIs" dxfId="2853" priority="4055" stopIfTrue="1" operator="equal">
      <formula>"Fail"</formula>
    </cfRule>
    <cfRule type="cellIs" dxfId="2852" priority="4056" stopIfTrue="1" operator="equal">
      <formula>"Pass"</formula>
    </cfRule>
  </conditionalFormatting>
  <conditionalFormatting sqref="B1015">
    <cfRule type="cellIs" dxfId="2851" priority="4053" stopIfTrue="1" operator="equal">
      <formula>"Fail"</formula>
    </cfRule>
    <cfRule type="cellIs" dxfId="2850" priority="4054" stopIfTrue="1" operator="equal">
      <formula>"Pass"</formula>
    </cfRule>
  </conditionalFormatting>
  <conditionalFormatting sqref="C1016">
    <cfRule type="cellIs" dxfId="2849" priority="4049" stopIfTrue="1" operator="equal">
      <formula>"Fail"</formula>
    </cfRule>
    <cfRule type="cellIs" dxfId="2848" priority="4050" stopIfTrue="1" operator="equal">
      <formula>"Pass"</formula>
    </cfRule>
  </conditionalFormatting>
  <conditionalFormatting sqref="I1017">
    <cfRule type="cellIs" dxfId="2847" priority="4041" stopIfTrue="1" operator="equal">
      <formula>"Fail"</formula>
    </cfRule>
    <cfRule type="cellIs" dxfId="2846" priority="4042" stopIfTrue="1" operator="equal">
      <formula>"Pass"</formula>
    </cfRule>
  </conditionalFormatting>
  <conditionalFormatting sqref="I1017">
    <cfRule type="cellIs" dxfId="2845" priority="4045" stopIfTrue="1" operator="equal">
      <formula>"Fail"</formula>
    </cfRule>
    <cfRule type="cellIs" dxfId="2844" priority="4046" stopIfTrue="1" operator="equal">
      <formula>"Pass"</formula>
    </cfRule>
  </conditionalFormatting>
  <conditionalFormatting sqref="I1017">
    <cfRule type="cellIs" dxfId="2843" priority="4043" stopIfTrue="1" operator="equal">
      <formula>"Fail"</formula>
    </cfRule>
    <cfRule type="cellIs" dxfId="2842" priority="4044" stopIfTrue="1" operator="equal">
      <formula>"Pass"</formula>
    </cfRule>
  </conditionalFormatting>
  <conditionalFormatting sqref="A1017">
    <cfRule type="cellIs" dxfId="2841" priority="4047" stopIfTrue="1" operator="equal">
      <formula>"Fail"</formula>
    </cfRule>
    <cfRule type="cellIs" dxfId="2840" priority="4048" stopIfTrue="1" operator="equal">
      <formula>"Pass"</formula>
    </cfRule>
  </conditionalFormatting>
  <conditionalFormatting sqref="B1017">
    <cfRule type="cellIs" dxfId="2839" priority="4039" stopIfTrue="1" operator="equal">
      <formula>"Fail"</formula>
    </cfRule>
    <cfRule type="cellIs" dxfId="2838" priority="4040" stopIfTrue="1" operator="equal">
      <formula>"Pass"</formula>
    </cfRule>
  </conditionalFormatting>
  <conditionalFormatting sqref="C1017">
    <cfRule type="cellIs" dxfId="2837" priority="4037" stopIfTrue="1" operator="equal">
      <formula>"Fail"</formula>
    </cfRule>
    <cfRule type="cellIs" dxfId="2836" priority="4038" stopIfTrue="1" operator="equal">
      <formula>"Pass"</formula>
    </cfRule>
  </conditionalFormatting>
  <conditionalFormatting sqref="A1018 C1018:I1018">
    <cfRule type="cellIs" dxfId="2835" priority="4035" stopIfTrue="1" operator="equal">
      <formula>"Fail"</formula>
    </cfRule>
    <cfRule type="cellIs" dxfId="2834" priority="4036" stopIfTrue="1" operator="equal">
      <formula>"Pass"</formula>
    </cfRule>
  </conditionalFormatting>
  <conditionalFormatting sqref="B1018">
    <cfRule type="cellIs" dxfId="2833" priority="4033" stopIfTrue="1" operator="equal">
      <formula>"Fail"</formula>
    </cfRule>
    <cfRule type="cellIs" dxfId="2832" priority="4034" stopIfTrue="1" operator="equal">
      <formula>"Pass"</formula>
    </cfRule>
  </conditionalFormatting>
  <conditionalFormatting sqref="I999">
    <cfRule type="cellIs" dxfId="2831" priority="4027" stopIfTrue="1" operator="equal">
      <formula>"Fail"</formula>
    </cfRule>
    <cfRule type="cellIs" dxfId="2830" priority="4028" stopIfTrue="1" operator="equal">
      <formula>"Pass"</formula>
    </cfRule>
  </conditionalFormatting>
  <conditionalFormatting sqref="C999">
    <cfRule type="cellIs" dxfId="2829" priority="4025" stopIfTrue="1" operator="equal">
      <formula>"Fail"</formula>
    </cfRule>
    <cfRule type="cellIs" dxfId="2828" priority="4026" stopIfTrue="1" operator="equal">
      <formula>"Pass"</formula>
    </cfRule>
  </conditionalFormatting>
  <conditionalFormatting sqref="C999:I999 A999">
    <cfRule type="cellIs" dxfId="2827" priority="4031" stopIfTrue="1" operator="equal">
      <formula>"Fail"</formula>
    </cfRule>
    <cfRule type="cellIs" dxfId="2826" priority="4032" stopIfTrue="1" operator="equal">
      <formula>"Pass"</formula>
    </cfRule>
  </conditionalFormatting>
  <conditionalFormatting sqref="D999:I999 A999">
    <cfRule type="cellIs" dxfId="2825" priority="4029" stopIfTrue="1" operator="equal">
      <formula>"Fail"</formula>
    </cfRule>
    <cfRule type="cellIs" dxfId="2824" priority="4030" stopIfTrue="1" operator="equal">
      <formula>"Pass"</formula>
    </cfRule>
  </conditionalFormatting>
  <conditionalFormatting sqref="C1000:I1000 A1000">
    <cfRule type="cellIs" dxfId="2823" priority="4023" stopIfTrue="1" operator="equal">
      <formula>"Fail"</formula>
    </cfRule>
    <cfRule type="cellIs" dxfId="2822" priority="4024" stopIfTrue="1" operator="equal">
      <formula>"Pass"</formula>
    </cfRule>
  </conditionalFormatting>
  <conditionalFormatting sqref="D1000:I1000 A1000">
    <cfRule type="cellIs" dxfId="2821" priority="4021" stopIfTrue="1" operator="equal">
      <formula>"Fail"</formula>
    </cfRule>
    <cfRule type="cellIs" dxfId="2820" priority="4022" stopIfTrue="1" operator="equal">
      <formula>"Pass"</formula>
    </cfRule>
  </conditionalFormatting>
  <conditionalFormatting sqref="I1000">
    <cfRule type="cellIs" dxfId="2819" priority="4019" stopIfTrue="1" operator="equal">
      <formula>"Fail"</formula>
    </cfRule>
    <cfRule type="cellIs" dxfId="2818" priority="4020" stopIfTrue="1" operator="equal">
      <formula>"Pass"</formula>
    </cfRule>
  </conditionalFormatting>
  <conditionalFormatting sqref="C1000">
    <cfRule type="cellIs" dxfId="2817" priority="4017" stopIfTrue="1" operator="equal">
      <formula>"Fail"</formula>
    </cfRule>
    <cfRule type="cellIs" dxfId="2816" priority="4018" stopIfTrue="1" operator="equal">
      <formula>"Pass"</formula>
    </cfRule>
  </conditionalFormatting>
  <conditionalFormatting sqref="I1001">
    <cfRule type="cellIs" dxfId="2815" priority="4011" stopIfTrue="1" operator="equal">
      <formula>"Fail"</formula>
    </cfRule>
    <cfRule type="cellIs" dxfId="2814" priority="4012" stopIfTrue="1" operator="equal">
      <formula>"Pass"</formula>
    </cfRule>
  </conditionalFormatting>
  <conditionalFormatting sqref="C1001">
    <cfRule type="cellIs" dxfId="2813" priority="4009" stopIfTrue="1" operator="equal">
      <formula>"Fail"</formula>
    </cfRule>
    <cfRule type="cellIs" dxfId="2812" priority="4010" stopIfTrue="1" operator="equal">
      <formula>"Pass"</formula>
    </cfRule>
  </conditionalFormatting>
  <conditionalFormatting sqref="C1001:I1001 A1001">
    <cfRule type="cellIs" dxfId="2811" priority="4015" stopIfTrue="1" operator="equal">
      <formula>"Fail"</formula>
    </cfRule>
    <cfRule type="cellIs" dxfId="2810" priority="4016" stopIfTrue="1" operator="equal">
      <formula>"Pass"</formula>
    </cfRule>
  </conditionalFormatting>
  <conditionalFormatting sqref="D1001:I1001 A1001">
    <cfRule type="cellIs" dxfId="2809" priority="4013" stopIfTrue="1" operator="equal">
      <formula>"Fail"</formula>
    </cfRule>
    <cfRule type="cellIs" dxfId="2808" priority="4014" stopIfTrue="1" operator="equal">
      <formula>"Pass"</formula>
    </cfRule>
  </conditionalFormatting>
  <conditionalFormatting sqref="I1002">
    <cfRule type="cellIs" dxfId="2807" priority="4003" stopIfTrue="1" operator="equal">
      <formula>"Fail"</formula>
    </cfRule>
    <cfRule type="cellIs" dxfId="2806" priority="4004" stopIfTrue="1" operator="equal">
      <formula>"Pass"</formula>
    </cfRule>
  </conditionalFormatting>
  <conditionalFormatting sqref="C1002">
    <cfRule type="cellIs" dxfId="2805" priority="4001" stopIfTrue="1" operator="equal">
      <formula>"Fail"</formula>
    </cfRule>
    <cfRule type="cellIs" dxfId="2804" priority="4002" stopIfTrue="1" operator="equal">
      <formula>"Pass"</formula>
    </cfRule>
  </conditionalFormatting>
  <conditionalFormatting sqref="C1002:I1002 A1002">
    <cfRule type="cellIs" dxfId="2803" priority="4007" stopIfTrue="1" operator="equal">
      <formula>"Fail"</formula>
    </cfRule>
    <cfRule type="cellIs" dxfId="2802" priority="4008" stopIfTrue="1" operator="equal">
      <formula>"Pass"</formula>
    </cfRule>
  </conditionalFormatting>
  <conditionalFormatting sqref="D1002:I1002 A1002">
    <cfRule type="cellIs" dxfId="2801" priority="4005" stopIfTrue="1" operator="equal">
      <formula>"Fail"</formula>
    </cfRule>
    <cfRule type="cellIs" dxfId="2800" priority="4006" stopIfTrue="1" operator="equal">
      <formula>"Pass"</formula>
    </cfRule>
  </conditionalFormatting>
  <conditionalFormatting sqref="A1003 D1003:I1003">
    <cfRule type="cellIs" dxfId="2799" priority="3989" stopIfTrue="1" operator="equal">
      <formula>"Fail"</formula>
    </cfRule>
    <cfRule type="cellIs" dxfId="2798" priority="3990" stopIfTrue="1" operator="equal">
      <formula>"Pass"</formula>
    </cfRule>
  </conditionalFormatting>
  <conditionalFormatting sqref="A1003 D1003:I1003">
    <cfRule type="cellIs" dxfId="2797" priority="3991" stopIfTrue="1" operator="equal">
      <formula>"Fail"</formula>
    </cfRule>
    <cfRule type="cellIs" dxfId="2796" priority="3992" stopIfTrue="1" operator="equal">
      <formula>"Pass"</formula>
    </cfRule>
  </conditionalFormatting>
  <conditionalFormatting sqref="I1003">
    <cfRule type="cellIs" dxfId="2795" priority="3987" stopIfTrue="1" operator="equal">
      <formula>"Fail"</formula>
    </cfRule>
    <cfRule type="cellIs" dxfId="2794" priority="3988" stopIfTrue="1" operator="equal">
      <formula>"Pass"</formula>
    </cfRule>
  </conditionalFormatting>
  <conditionalFormatting sqref="A1005 C1005:I1005">
    <cfRule type="cellIs" dxfId="2793" priority="3983" stopIfTrue="1" operator="equal">
      <formula>"Fail"</formula>
    </cfRule>
    <cfRule type="cellIs" dxfId="2792" priority="3984" stopIfTrue="1" operator="equal">
      <formula>"Pass"</formula>
    </cfRule>
  </conditionalFormatting>
  <conditionalFormatting sqref="A1005">
    <cfRule type="cellIs" dxfId="2791" priority="3979" stopIfTrue="1" operator="equal">
      <formula>"Fail"</formula>
    </cfRule>
    <cfRule type="cellIs" dxfId="2790" priority="3980" stopIfTrue="1" operator="equal">
      <formula>"Pass"</formula>
    </cfRule>
  </conditionalFormatting>
  <conditionalFormatting sqref="I1005">
    <cfRule type="cellIs" dxfId="2789" priority="3973" stopIfTrue="1" operator="equal">
      <formula>"Fail"</formula>
    </cfRule>
    <cfRule type="cellIs" dxfId="2788" priority="3974" stopIfTrue="1" operator="equal">
      <formula>"Pass"</formula>
    </cfRule>
  </conditionalFormatting>
  <conditionalFormatting sqref="I1005">
    <cfRule type="cellIs" dxfId="2787" priority="3977" stopIfTrue="1" operator="equal">
      <formula>"Fail"</formula>
    </cfRule>
    <cfRule type="cellIs" dxfId="2786" priority="3978" stopIfTrue="1" operator="equal">
      <formula>"Pass"</formula>
    </cfRule>
  </conditionalFormatting>
  <conditionalFormatting sqref="I1005">
    <cfRule type="cellIs" dxfId="2785" priority="3975" stopIfTrue="1" operator="equal">
      <formula>"Fail"</formula>
    </cfRule>
    <cfRule type="cellIs" dxfId="2784" priority="3976" stopIfTrue="1" operator="equal">
      <formula>"Pass"</formula>
    </cfRule>
  </conditionalFormatting>
  <conditionalFormatting sqref="A998">
    <cfRule type="cellIs" dxfId="2783" priority="3937" stopIfTrue="1" operator="equal">
      <formula>"Fail"</formula>
    </cfRule>
    <cfRule type="cellIs" dxfId="2782" priority="3938" stopIfTrue="1" operator="equal">
      <formula>"Pass"</formula>
    </cfRule>
  </conditionalFormatting>
  <conditionalFormatting sqref="C998:I998">
    <cfRule type="cellIs" dxfId="2781" priority="3935" stopIfTrue="1" operator="equal">
      <formula>"Fail"</formula>
    </cfRule>
    <cfRule type="cellIs" dxfId="2780" priority="3936" stopIfTrue="1" operator="equal">
      <formula>"Pass"</formula>
    </cfRule>
  </conditionalFormatting>
  <conditionalFormatting sqref="B998">
    <cfRule type="cellIs" dxfId="2779" priority="3933" stopIfTrue="1" operator="equal">
      <formula>"Fail"</formula>
    </cfRule>
    <cfRule type="cellIs" dxfId="2778" priority="3934" stopIfTrue="1" operator="equal">
      <formula>"Pass"</formula>
    </cfRule>
  </conditionalFormatting>
  <conditionalFormatting sqref="I1033">
    <cfRule type="cellIs" dxfId="2777" priority="3829" stopIfTrue="1" operator="equal">
      <formula>"Fail"</formula>
    </cfRule>
    <cfRule type="cellIs" dxfId="2776" priority="3830" stopIfTrue="1" operator="equal">
      <formula>"Pass"</formula>
    </cfRule>
  </conditionalFormatting>
  <conditionalFormatting sqref="C1033">
    <cfRule type="cellIs" dxfId="2775" priority="3827" stopIfTrue="1" operator="equal">
      <formula>"Fail"</formula>
    </cfRule>
    <cfRule type="cellIs" dxfId="2774" priority="3828" stopIfTrue="1" operator="equal">
      <formula>"Pass"</formula>
    </cfRule>
  </conditionalFormatting>
  <conditionalFormatting sqref="C1033:I1033 A1033">
    <cfRule type="cellIs" dxfId="2773" priority="3833" stopIfTrue="1" operator="equal">
      <formula>"Fail"</formula>
    </cfRule>
    <cfRule type="cellIs" dxfId="2772" priority="3834" stopIfTrue="1" operator="equal">
      <formula>"Pass"</formula>
    </cfRule>
  </conditionalFormatting>
  <conditionalFormatting sqref="D1033:I1033 A1033">
    <cfRule type="cellIs" dxfId="2771" priority="3831" stopIfTrue="1" operator="equal">
      <formula>"Fail"</formula>
    </cfRule>
    <cfRule type="cellIs" dxfId="2770" priority="3832" stopIfTrue="1" operator="equal">
      <formula>"Pass"</formula>
    </cfRule>
  </conditionalFormatting>
  <conditionalFormatting sqref="A1034">
    <cfRule type="cellIs" dxfId="2769" priority="3825" stopIfTrue="1" operator="equal">
      <formula>"Fail"</formula>
    </cfRule>
    <cfRule type="cellIs" dxfId="2768" priority="3826" stopIfTrue="1" operator="equal">
      <formula>"Pass"</formula>
    </cfRule>
  </conditionalFormatting>
  <conditionalFormatting sqref="C1034:I1034">
    <cfRule type="cellIs" dxfId="2767" priority="3823" stopIfTrue="1" operator="equal">
      <formula>"Fail"</formula>
    </cfRule>
    <cfRule type="cellIs" dxfId="2766" priority="3824" stopIfTrue="1" operator="equal">
      <formula>"Pass"</formula>
    </cfRule>
  </conditionalFormatting>
  <conditionalFormatting sqref="B1034">
    <cfRule type="cellIs" dxfId="2765" priority="3821" stopIfTrue="1" operator="equal">
      <formula>"Fail"</formula>
    </cfRule>
    <cfRule type="cellIs" dxfId="2764" priority="3822" stopIfTrue="1" operator="equal">
      <formula>"Pass"</formula>
    </cfRule>
  </conditionalFormatting>
  <conditionalFormatting sqref="I1035">
    <cfRule type="cellIs" dxfId="2763" priority="3815" stopIfTrue="1" operator="equal">
      <formula>"Fail"</formula>
    </cfRule>
    <cfRule type="cellIs" dxfId="2762" priority="3816" stopIfTrue="1" operator="equal">
      <formula>"Pass"</formula>
    </cfRule>
  </conditionalFormatting>
  <conditionalFormatting sqref="C1035">
    <cfRule type="cellIs" dxfId="2761" priority="3813" stopIfTrue="1" operator="equal">
      <formula>"Fail"</formula>
    </cfRule>
    <cfRule type="cellIs" dxfId="2760" priority="3814" stopIfTrue="1" operator="equal">
      <formula>"Pass"</formula>
    </cfRule>
  </conditionalFormatting>
  <conditionalFormatting sqref="C1035:I1035 A1035">
    <cfRule type="cellIs" dxfId="2759" priority="3819" stopIfTrue="1" operator="equal">
      <formula>"Fail"</formula>
    </cfRule>
    <cfRule type="cellIs" dxfId="2758" priority="3820" stopIfTrue="1" operator="equal">
      <formula>"Pass"</formula>
    </cfRule>
  </conditionalFormatting>
  <conditionalFormatting sqref="D1035:I1035 A1035">
    <cfRule type="cellIs" dxfId="2757" priority="3817" stopIfTrue="1" operator="equal">
      <formula>"Fail"</formula>
    </cfRule>
    <cfRule type="cellIs" dxfId="2756" priority="3818" stopIfTrue="1" operator="equal">
      <formula>"Pass"</formula>
    </cfRule>
  </conditionalFormatting>
  <conditionalFormatting sqref="C1036:I1036 A1036">
    <cfRule type="cellIs" dxfId="2755" priority="3811" stopIfTrue="1" operator="equal">
      <formula>"Fail"</formula>
    </cfRule>
    <cfRule type="cellIs" dxfId="2754" priority="3812" stopIfTrue="1" operator="equal">
      <formula>"Pass"</formula>
    </cfRule>
  </conditionalFormatting>
  <conditionalFormatting sqref="D1036:I1036 A1036">
    <cfRule type="cellIs" dxfId="2753" priority="3809" stopIfTrue="1" operator="equal">
      <formula>"Fail"</formula>
    </cfRule>
    <cfRule type="cellIs" dxfId="2752" priority="3810" stopIfTrue="1" operator="equal">
      <formula>"Pass"</formula>
    </cfRule>
  </conditionalFormatting>
  <conditionalFormatting sqref="I1036">
    <cfRule type="cellIs" dxfId="2751" priority="3807" stopIfTrue="1" operator="equal">
      <formula>"Fail"</formula>
    </cfRule>
    <cfRule type="cellIs" dxfId="2750" priority="3808" stopIfTrue="1" operator="equal">
      <formula>"Pass"</formula>
    </cfRule>
  </conditionalFormatting>
  <conditionalFormatting sqref="C1036">
    <cfRule type="cellIs" dxfId="2749" priority="3805" stopIfTrue="1" operator="equal">
      <formula>"Fail"</formula>
    </cfRule>
    <cfRule type="cellIs" dxfId="2748" priority="3806" stopIfTrue="1" operator="equal">
      <formula>"Pass"</formula>
    </cfRule>
  </conditionalFormatting>
  <conditionalFormatting sqref="I1037">
    <cfRule type="cellIs" dxfId="2747" priority="3799" stopIfTrue="1" operator="equal">
      <formula>"Fail"</formula>
    </cfRule>
    <cfRule type="cellIs" dxfId="2746" priority="3800" stopIfTrue="1" operator="equal">
      <formula>"Pass"</formula>
    </cfRule>
  </conditionalFormatting>
  <conditionalFormatting sqref="C1037">
    <cfRule type="cellIs" dxfId="2745" priority="3797" stopIfTrue="1" operator="equal">
      <formula>"Fail"</formula>
    </cfRule>
    <cfRule type="cellIs" dxfId="2744" priority="3798" stopIfTrue="1" operator="equal">
      <formula>"Pass"</formula>
    </cfRule>
  </conditionalFormatting>
  <conditionalFormatting sqref="C1037:I1037 A1037">
    <cfRule type="cellIs" dxfId="2743" priority="3803" stopIfTrue="1" operator="equal">
      <formula>"Fail"</formula>
    </cfRule>
    <cfRule type="cellIs" dxfId="2742" priority="3804" stopIfTrue="1" operator="equal">
      <formula>"Pass"</formula>
    </cfRule>
  </conditionalFormatting>
  <conditionalFormatting sqref="D1037:I1037 A1037">
    <cfRule type="cellIs" dxfId="2741" priority="3801" stopIfTrue="1" operator="equal">
      <formula>"Fail"</formula>
    </cfRule>
    <cfRule type="cellIs" dxfId="2740" priority="3802" stopIfTrue="1" operator="equal">
      <formula>"Pass"</formula>
    </cfRule>
  </conditionalFormatting>
  <conditionalFormatting sqref="I1038">
    <cfRule type="cellIs" dxfId="2739" priority="3783" stopIfTrue="1" operator="equal">
      <formula>"Fail"</formula>
    </cfRule>
    <cfRule type="cellIs" dxfId="2738" priority="3784" stopIfTrue="1" operator="equal">
      <formula>"Pass"</formula>
    </cfRule>
  </conditionalFormatting>
  <conditionalFormatting sqref="C1038">
    <cfRule type="cellIs" dxfId="2737" priority="3781" stopIfTrue="1" operator="equal">
      <formula>"Fail"</formula>
    </cfRule>
    <cfRule type="cellIs" dxfId="2736" priority="3782" stopIfTrue="1" operator="equal">
      <formula>"Pass"</formula>
    </cfRule>
  </conditionalFormatting>
  <conditionalFormatting sqref="C1038:I1038 A1038">
    <cfRule type="cellIs" dxfId="2735" priority="3787" stopIfTrue="1" operator="equal">
      <formula>"Fail"</formula>
    </cfRule>
    <cfRule type="cellIs" dxfId="2734" priority="3788" stopIfTrue="1" operator="equal">
      <formula>"Pass"</formula>
    </cfRule>
  </conditionalFormatting>
  <conditionalFormatting sqref="D1038:I1038 A1038">
    <cfRule type="cellIs" dxfId="2733" priority="3785" stopIfTrue="1" operator="equal">
      <formula>"Fail"</formula>
    </cfRule>
    <cfRule type="cellIs" dxfId="2732" priority="3786" stopIfTrue="1" operator="equal">
      <formula>"Pass"</formula>
    </cfRule>
  </conditionalFormatting>
  <conditionalFormatting sqref="A1039 D1039:I1039">
    <cfRule type="cellIs" dxfId="2731" priority="3777" stopIfTrue="1" operator="equal">
      <formula>"Fail"</formula>
    </cfRule>
    <cfRule type="cellIs" dxfId="2730" priority="3778" stopIfTrue="1" operator="equal">
      <formula>"Pass"</formula>
    </cfRule>
  </conditionalFormatting>
  <conditionalFormatting sqref="A1039 D1039:I1039">
    <cfRule type="cellIs" dxfId="2729" priority="3779" stopIfTrue="1" operator="equal">
      <formula>"Fail"</formula>
    </cfRule>
    <cfRule type="cellIs" dxfId="2728" priority="3780" stopIfTrue="1" operator="equal">
      <formula>"Pass"</formula>
    </cfRule>
  </conditionalFormatting>
  <conditionalFormatting sqref="I1039">
    <cfRule type="cellIs" dxfId="2727" priority="3775" stopIfTrue="1" operator="equal">
      <formula>"Fail"</formula>
    </cfRule>
    <cfRule type="cellIs" dxfId="2726" priority="3776" stopIfTrue="1" operator="equal">
      <formula>"Pass"</formula>
    </cfRule>
  </conditionalFormatting>
  <conditionalFormatting sqref="A1041">
    <cfRule type="cellIs" dxfId="2725" priority="3771" stopIfTrue="1" operator="equal">
      <formula>"Fail"</formula>
    </cfRule>
    <cfRule type="cellIs" dxfId="2724" priority="3772" stopIfTrue="1" operator="equal">
      <formula>"Pass"</formula>
    </cfRule>
  </conditionalFormatting>
  <conditionalFormatting sqref="C1041">
    <cfRule type="cellIs" dxfId="2723" priority="3767" stopIfTrue="1" operator="equal">
      <formula>"Fail"</formula>
    </cfRule>
    <cfRule type="cellIs" dxfId="2722" priority="3768" stopIfTrue="1" operator="equal">
      <formula>"Pass"</formula>
    </cfRule>
  </conditionalFormatting>
  <conditionalFormatting sqref="C1041">
    <cfRule type="cellIs" dxfId="2721" priority="3761" stopIfTrue="1" operator="equal">
      <formula>"Fail"</formula>
    </cfRule>
    <cfRule type="cellIs" dxfId="2720" priority="3762" stopIfTrue="1" operator="equal">
      <formula>"Pass"</formula>
    </cfRule>
  </conditionalFormatting>
  <conditionalFormatting sqref="A1041 C1041:D1041">
    <cfRule type="cellIs" dxfId="2719" priority="3765" stopIfTrue="1" operator="equal">
      <formula>"Fail"</formula>
    </cfRule>
    <cfRule type="cellIs" dxfId="2718" priority="3766" stopIfTrue="1" operator="equal">
      <formula>"Pass"</formula>
    </cfRule>
  </conditionalFormatting>
  <conditionalFormatting sqref="A1041 D1041">
    <cfRule type="cellIs" dxfId="2717" priority="3763" stopIfTrue="1" operator="equal">
      <formula>"Fail"</formula>
    </cfRule>
    <cfRule type="cellIs" dxfId="2716" priority="3764" stopIfTrue="1" operator="equal">
      <formula>"Pass"</formula>
    </cfRule>
  </conditionalFormatting>
  <conditionalFormatting sqref="I1040:I1041">
    <cfRule type="cellIs" dxfId="2715" priority="3749" stopIfTrue="1" operator="equal">
      <formula>"Fail"</formula>
    </cfRule>
    <cfRule type="cellIs" dxfId="2714" priority="3750" stopIfTrue="1" operator="equal">
      <formula>"Pass"</formula>
    </cfRule>
  </conditionalFormatting>
  <conditionalFormatting sqref="D1040 A1040 F1040:I1041">
    <cfRule type="cellIs" dxfId="2713" priority="3753" stopIfTrue="1" operator="equal">
      <formula>"Fail"</formula>
    </cfRule>
    <cfRule type="cellIs" dxfId="2712" priority="3754" stopIfTrue="1" operator="equal">
      <formula>"Pass"</formula>
    </cfRule>
  </conditionalFormatting>
  <conditionalFormatting sqref="D1040 A1040 F1040:I1041">
    <cfRule type="cellIs" dxfId="2711" priority="3751" stopIfTrue="1" operator="equal">
      <formula>"Fail"</formula>
    </cfRule>
    <cfRule type="cellIs" dxfId="2710" priority="3752" stopIfTrue="1" operator="equal">
      <formula>"Pass"</formula>
    </cfRule>
  </conditionalFormatting>
  <conditionalFormatting sqref="E1040">
    <cfRule type="cellIs" dxfId="2709" priority="3745" stopIfTrue="1" operator="equal">
      <formula>"Fail"</formula>
    </cfRule>
    <cfRule type="cellIs" dxfId="2708" priority="3746" stopIfTrue="1" operator="equal">
      <formula>"Pass"</formula>
    </cfRule>
  </conditionalFormatting>
  <conditionalFormatting sqref="C987">
    <cfRule type="cellIs" dxfId="2707" priority="3737" stopIfTrue="1" operator="equal">
      <formula>"Fail"</formula>
    </cfRule>
    <cfRule type="cellIs" dxfId="2706" priority="3738" stopIfTrue="1" operator="equal">
      <formula>"Pass"</formula>
    </cfRule>
  </conditionalFormatting>
  <conditionalFormatting sqref="C987">
    <cfRule type="cellIs" dxfId="2705" priority="3739" stopIfTrue="1" operator="equal">
      <formula>"Fail"</formula>
    </cfRule>
    <cfRule type="cellIs" dxfId="2704" priority="3740" stopIfTrue="1" operator="equal">
      <formula>"Pass"</formula>
    </cfRule>
  </conditionalFormatting>
  <conditionalFormatting sqref="C992">
    <cfRule type="cellIs" dxfId="2703" priority="3733" stopIfTrue="1" operator="equal">
      <formula>"Fail"</formula>
    </cfRule>
    <cfRule type="cellIs" dxfId="2702" priority="3734" stopIfTrue="1" operator="equal">
      <formula>"Pass"</formula>
    </cfRule>
  </conditionalFormatting>
  <conditionalFormatting sqref="C992">
    <cfRule type="cellIs" dxfId="2701" priority="3735" stopIfTrue="1" operator="equal">
      <formula>"Fail"</formula>
    </cfRule>
    <cfRule type="cellIs" dxfId="2700" priority="3736" stopIfTrue="1" operator="equal">
      <formula>"Pass"</formula>
    </cfRule>
  </conditionalFormatting>
  <conditionalFormatting sqref="C1013">
    <cfRule type="cellIs" dxfId="2699" priority="3729" stopIfTrue="1" operator="equal">
      <formula>"Fail"</formula>
    </cfRule>
    <cfRule type="cellIs" dxfId="2698" priority="3730" stopIfTrue="1" operator="equal">
      <formula>"Pass"</formula>
    </cfRule>
  </conditionalFormatting>
  <conditionalFormatting sqref="C1013">
    <cfRule type="cellIs" dxfId="2697" priority="3731" stopIfTrue="1" operator="equal">
      <formula>"Fail"</formula>
    </cfRule>
    <cfRule type="cellIs" dxfId="2696" priority="3732" stopIfTrue="1" operator="equal">
      <formula>"Pass"</formula>
    </cfRule>
  </conditionalFormatting>
  <conditionalFormatting sqref="C1040">
    <cfRule type="cellIs" dxfId="2695" priority="3725" stopIfTrue="1" operator="equal">
      <formula>"Fail"</formula>
    </cfRule>
    <cfRule type="cellIs" dxfId="2694" priority="3726" stopIfTrue="1" operator="equal">
      <formula>"Pass"</formula>
    </cfRule>
  </conditionalFormatting>
  <conditionalFormatting sqref="C1040">
    <cfRule type="cellIs" dxfId="2693" priority="3727" stopIfTrue="1" operator="equal">
      <formula>"Fail"</formula>
    </cfRule>
    <cfRule type="cellIs" dxfId="2692" priority="3728" stopIfTrue="1" operator="equal">
      <formula>"Pass"</formula>
    </cfRule>
  </conditionalFormatting>
  <conditionalFormatting sqref="I1042">
    <cfRule type="cellIs" dxfId="2691" priority="3711" stopIfTrue="1" operator="equal">
      <formula>"Fail"</formula>
    </cfRule>
    <cfRule type="cellIs" dxfId="2690" priority="3712" stopIfTrue="1" operator="equal">
      <formula>"Pass"</formula>
    </cfRule>
  </conditionalFormatting>
  <conditionalFormatting sqref="C1042">
    <cfRule type="cellIs" dxfId="2689" priority="3709" stopIfTrue="1" operator="equal">
      <formula>"Fail"</formula>
    </cfRule>
    <cfRule type="cellIs" dxfId="2688" priority="3710" stopIfTrue="1" operator="equal">
      <formula>"Pass"</formula>
    </cfRule>
  </conditionalFormatting>
  <conditionalFormatting sqref="C1042:I1042 A1042">
    <cfRule type="cellIs" dxfId="2687" priority="3715" stopIfTrue="1" operator="equal">
      <formula>"Fail"</formula>
    </cfRule>
    <cfRule type="cellIs" dxfId="2686" priority="3716" stopIfTrue="1" operator="equal">
      <formula>"Pass"</formula>
    </cfRule>
  </conditionalFormatting>
  <conditionalFormatting sqref="D1042:I1042 A1042">
    <cfRule type="cellIs" dxfId="2685" priority="3713" stopIfTrue="1" operator="equal">
      <formula>"Fail"</formula>
    </cfRule>
    <cfRule type="cellIs" dxfId="2684" priority="3714" stopIfTrue="1" operator="equal">
      <formula>"Pass"</formula>
    </cfRule>
  </conditionalFormatting>
  <conditionalFormatting sqref="A1044 D1044:I1044">
    <cfRule type="cellIs" dxfId="2683" priority="3681" stopIfTrue="1" operator="equal">
      <formula>"Fail"</formula>
    </cfRule>
    <cfRule type="cellIs" dxfId="2682" priority="3682" stopIfTrue="1" operator="equal">
      <formula>"Pass"</formula>
    </cfRule>
  </conditionalFormatting>
  <conditionalFormatting sqref="A1044 D1044:I1044">
    <cfRule type="cellIs" dxfId="2681" priority="3683" stopIfTrue="1" operator="equal">
      <formula>"Fail"</formula>
    </cfRule>
    <cfRule type="cellIs" dxfId="2680" priority="3684" stopIfTrue="1" operator="equal">
      <formula>"Pass"</formula>
    </cfRule>
  </conditionalFormatting>
  <conditionalFormatting sqref="I1044">
    <cfRule type="cellIs" dxfId="2679" priority="3679" stopIfTrue="1" operator="equal">
      <formula>"Fail"</formula>
    </cfRule>
    <cfRule type="cellIs" dxfId="2678" priority="3680" stopIfTrue="1" operator="equal">
      <formula>"Pass"</formula>
    </cfRule>
  </conditionalFormatting>
  <conditionalFormatting sqref="A1046">
    <cfRule type="cellIs" dxfId="2677" priority="3675" stopIfTrue="1" operator="equal">
      <formula>"Fail"</formula>
    </cfRule>
    <cfRule type="cellIs" dxfId="2676" priority="3676" stopIfTrue="1" operator="equal">
      <formula>"Pass"</formula>
    </cfRule>
  </conditionalFormatting>
  <conditionalFormatting sqref="C1046">
    <cfRule type="cellIs" dxfId="2675" priority="3671" stopIfTrue="1" operator="equal">
      <formula>"Fail"</formula>
    </cfRule>
    <cfRule type="cellIs" dxfId="2674" priority="3672" stopIfTrue="1" operator="equal">
      <formula>"Pass"</formula>
    </cfRule>
  </conditionalFormatting>
  <conditionalFormatting sqref="C1046">
    <cfRule type="cellIs" dxfId="2673" priority="3665" stopIfTrue="1" operator="equal">
      <formula>"Fail"</formula>
    </cfRule>
    <cfRule type="cellIs" dxfId="2672" priority="3666" stopIfTrue="1" operator="equal">
      <formula>"Pass"</formula>
    </cfRule>
  </conditionalFormatting>
  <conditionalFormatting sqref="A1046 C1046:D1046">
    <cfRule type="cellIs" dxfId="2671" priority="3669" stopIfTrue="1" operator="equal">
      <formula>"Fail"</formula>
    </cfRule>
    <cfRule type="cellIs" dxfId="2670" priority="3670" stopIfTrue="1" operator="equal">
      <formula>"Pass"</formula>
    </cfRule>
  </conditionalFormatting>
  <conditionalFormatting sqref="A1046 D1046">
    <cfRule type="cellIs" dxfId="2669" priority="3667" stopIfTrue="1" operator="equal">
      <formula>"Fail"</formula>
    </cfRule>
    <cfRule type="cellIs" dxfId="2668" priority="3668" stopIfTrue="1" operator="equal">
      <formula>"Pass"</formula>
    </cfRule>
  </conditionalFormatting>
  <conditionalFormatting sqref="I1045:I1046">
    <cfRule type="cellIs" dxfId="2667" priority="3659" stopIfTrue="1" operator="equal">
      <formula>"Fail"</formula>
    </cfRule>
    <cfRule type="cellIs" dxfId="2666" priority="3660" stopIfTrue="1" operator="equal">
      <formula>"Pass"</formula>
    </cfRule>
  </conditionalFormatting>
  <conditionalFormatting sqref="D1045 A1045 F1045:I1046">
    <cfRule type="cellIs" dxfId="2665" priority="3663" stopIfTrue="1" operator="equal">
      <formula>"Fail"</formula>
    </cfRule>
    <cfRule type="cellIs" dxfId="2664" priority="3664" stopIfTrue="1" operator="equal">
      <formula>"Pass"</formula>
    </cfRule>
  </conditionalFormatting>
  <conditionalFormatting sqref="D1045 A1045 F1045:I1046">
    <cfRule type="cellIs" dxfId="2663" priority="3661" stopIfTrue="1" operator="equal">
      <formula>"Fail"</formula>
    </cfRule>
    <cfRule type="cellIs" dxfId="2662" priority="3662" stopIfTrue="1" operator="equal">
      <formula>"Pass"</formula>
    </cfRule>
  </conditionalFormatting>
  <conditionalFormatting sqref="E1045">
    <cfRule type="cellIs" dxfId="2661" priority="3657" stopIfTrue="1" operator="equal">
      <formula>"Fail"</formula>
    </cfRule>
    <cfRule type="cellIs" dxfId="2660" priority="3658" stopIfTrue="1" operator="equal">
      <formula>"Pass"</formula>
    </cfRule>
  </conditionalFormatting>
  <conditionalFormatting sqref="A1048 C1048:I1048">
    <cfRule type="cellIs" dxfId="2659" priority="3655" stopIfTrue="1" operator="equal">
      <formula>"Fail"</formula>
    </cfRule>
    <cfRule type="cellIs" dxfId="2658" priority="3656" stopIfTrue="1" operator="equal">
      <formula>"Pass"</formula>
    </cfRule>
  </conditionalFormatting>
  <conditionalFormatting sqref="B1048">
    <cfRule type="cellIs" dxfId="2657" priority="3653" stopIfTrue="1" operator="equal">
      <formula>"Fail"</formula>
    </cfRule>
    <cfRule type="cellIs" dxfId="2656" priority="3654" stopIfTrue="1" operator="equal">
      <formula>"Pass"</formula>
    </cfRule>
  </conditionalFormatting>
  <conditionalFormatting sqref="C1045">
    <cfRule type="cellIs" dxfId="2655" priority="3649" stopIfTrue="1" operator="equal">
      <formula>"Fail"</formula>
    </cfRule>
    <cfRule type="cellIs" dxfId="2654" priority="3650" stopIfTrue="1" operator="equal">
      <formula>"Pass"</formula>
    </cfRule>
  </conditionalFormatting>
  <conditionalFormatting sqref="C1045">
    <cfRule type="cellIs" dxfId="2653" priority="3651" stopIfTrue="1" operator="equal">
      <formula>"Fail"</formula>
    </cfRule>
    <cfRule type="cellIs" dxfId="2652" priority="3652" stopIfTrue="1" operator="equal">
      <formula>"Pass"</formula>
    </cfRule>
  </conditionalFormatting>
  <conditionalFormatting sqref="B1047">
    <cfRule type="cellIs" dxfId="2651" priority="3647" stopIfTrue="1" operator="equal">
      <formula>"Fail"</formula>
    </cfRule>
    <cfRule type="cellIs" dxfId="2650" priority="3648" stopIfTrue="1" operator="equal">
      <formula>"Pass"</formula>
    </cfRule>
  </conditionalFormatting>
  <conditionalFormatting sqref="A1047">
    <cfRule type="cellIs" dxfId="2649" priority="3645" stopIfTrue="1" operator="equal">
      <formula>"Fail"</formula>
    </cfRule>
    <cfRule type="cellIs" dxfId="2648" priority="3646" stopIfTrue="1" operator="equal">
      <formula>"Pass"</formula>
    </cfRule>
  </conditionalFormatting>
  <conditionalFormatting sqref="C1047">
    <cfRule type="cellIs" dxfId="2647" priority="3643" stopIfTrue="1" operator="equal">
      <formula>"Fail"</formula>
    </cfRule>
    <cfRule type="cellIs" dxfId="2646" priority="3644" stopIfTrue="1" operator="equal">
      <formula>"Pass"</formula>
    </cfRule>
  </conditionalFormatting>
  <conditionalFormatting sqref="I1047">
    <cfRule type="cellIs" dxfId="2645" priority="3637" stopIfTrue="1" operator="equal">
      <formula>"Fail"</formula>
    </cfRule>
    <cfRule type="cellIs" dxfId="2644" priority="3638" stopIfTrue="1" operator="equal">
      <formula>"Pass"</formula>
    </cfRule>
  </conditionalFormatting>
  <conditionalFormatting sqref="I1047">
    <cfRule type="cellIs" dxfId="2643" priority="3641" stopIfTrue="1" operator="equal">
      <formula>"Fail"</formula>
    </cfRule>
    <cfRule type="cellIs" dxfId="2642" priority="3642" stopIfTrue="1" operator="equal">
      <formula>"Pass"</formula>
    </cfRule>
  </conditionalFormatting>
  <conditionalFormatting sqref="I1047">
    <cfRule type="cellIs" dxfId="2641" priority="3639" stopIfTrue="1" operator="equal">
      <formula>"Fail"</formula>
    </cfRule>
    <cfRule type="cellIs" dxfId="2640" priority="3640" stopIfTrue="1" operator="equal">
      <formula>"Pass"</formula>
    </cfRule>
  </conditionalFormatting>
  <conditionalFormatting sqref="I1049">
    <cfRule type="cellIs" dxfId="2639" priority="3631" stopIfTrue="1" operator="equal">
      <formula>"Fail"</formula>
    </cfRule>
    <cfRule type="cellIs" dxfId="2638" priority="3632" stopIfTrue="1" operator="equal">
      <formula>"Pass"</formula>
    </cfRule>
  </conditionalFormatting>
  <conditionalFormatting sqref="C1049">
    <cfRule type="cellIs" dxfId="2637" priority="3629" stopIfTrue="1" operator="equal">
      <formula>"Fail"</formula>
    </cfRule>
    <cfRule type="cellIs" dxfId="2636" priority="3630" stopIfTrue="1" operator="equal">
      <formula>"Pass"</formula>
    </cfRule>
  </conditionalFormatting>
  <conditionalFormatting sqref="C1049:I1049 A1049">
    <cfRule type="cellIs" dxfId="2635" priority="3635" stopIfTrue="1" operator="equal">
      <formula>"Fail"</formula>
    </cfRule>
    <cfRule type="cellIs" dxfId="2634" priority="3636" stopIfTrue="1" operator="equal">
      <formula>"Pass"</formula>
    </cfRule>
  </conditionalFormatting>
  <conditionalFormatting sqref="D1049:I1049 A1049">
    <cfRule type="cellIs" dxfId="2633" priority="3633" stopIfTrue="1" operator="equal">
      <formula>"Fail"</formula>
    </cfRule>
    <cfRule type="cellIs" dxfId="2632" priority="3634" stopIfTrue="1" operator="equal">
      <formula>"Pass"</formula>
    </cfRule>
  </conditionalFormatting>
  <conditionalFormatting sqref="I1051">
    <cfRule type="cellIs" dxfId="2631" priority="3623" stopIfTrue="1" operator="equal">
      <formula>"Fail"</formula>
    </cfRule>
    <cfRule type="cellIs" dxfId="2630" priority="3624" stopIfTrue="1" operator="equal">
      <formula>"Pass"</formula>
    </cfRule>
  </conditionalFormatting>
  <conditionalFormatting sqref="C1051">
    <cfRule type="cellIs" dxfId="2629" priority="3621" stopIfTrue="1" operator="equal">
      <formula>"Fail"</formula>
    </cfRule>
    <cfRule type="cellIs" dxfId="2628" priority="3622" stopIfTrue="1" operator="equal">
      <formula>"Pass"</formula>
    </cfRule>
  </conditionalFormatting>
  <conditionalFormatting sqref="C1051:I1051 A1051">
    <cfRule type="cellIs" dxfId="2627" priority="3627" stopIfTrue="1" operator="equal">
      <formula>"Fail"</formula>
    </cfRule>
    <cfRule type="cellIs" dxfId="2626" priority="3628" stopIfTrue="1" operator="equal">
      <formula>"Pass"</formula>
    </cfRule>
  </conditionalFormatting>
  <conditionalFormatting sqref="D1051:I1051 A1051">
    <cfRule type="cellIs" dxfId="2625" priority="3625" stopIfTrue="1" operator="equal">
      <formula>"Fail"</formula>
    </cfRule>
    <cfRule type="cellIs" dxfId="2624" priority="3626" stopIfTrue="1" operator="equal">
      <formula>"Pass"</formula>
    </cfRule>
  </conditionalFormatting>
  <conditionalFormatting sqref="I1063">
    <cfRule type="cellIs" dxfId="2623" priority="3615" stopIfTrue="1" operator="equal">
      <formula>"Fail"</formula>
    </cfRule>
    <cfRule type="cellIs" dxfId="2622" priority="3616" stopIfTrue="1" operator="equal">
      <formula>"Pass"</formula>
    </cfRule>
  </conditionalFormatting>
  <conditionalFormatting sqref="C1063">
    <cfRule type="cellIs" dxfId="2621" priority="3613" stopIfTrue="1" operator="equal">
      <formula>"Fail"</formula>
    </cfRule>
    <cfRule type="cellIs" dxfId="2620" priority="3614" stopIfTrue="1" operator="equal">
      <formula>"Pass"</formula>
    </cfRule>
  </conditionalFormatting>
  <conditionalFormatting sqref="C1063:I1063 A1063">
    <cfRule type="cellIs" dxfId="2619" priority="3619" stopIfTrue="1" operator="equal">
      <formula>"Fail"</formula>
    </cfRule>
    <cfRule type="cellIs" dxfId="2618" priority="3620" stopIfTrue="1" operator="equal">
      <formula>"Pass"</formula>
    </cfRule>
  </conditionalFormatting>
  <conditionalFormatting sqref="D1063:I1063 A1063">
    <cfRule type="cellIs" dxfId="2617" priority="3617" stopIfTrue="1" operator="equal">
      <formula>"Fail"</formula>
    </cfRule>
    <cfRule type="cellIs" dxfId="2616" priority="3618" stopIfTrue="1" operator="equal">
      <formula>"Pass"</formula>
    </cfRule>
  </conditionalFormatting>
  <conditionalFormatting sqref="C1064:I1064 A1064">
    <cfRule type="cellIs" dxfId="2615" priority="3603" stopIfTrue="1" operator="equal">
      <formula>"Fail"</formula>
    </cfRule>
    <cfRule type="cellIs" dxfId="2614" priority="3604" stopIfTrue="1" operator="equal">
      <formula>"Pass"</formula>
    </cfRule>
  </conditionalFormatting>
  <conditionalFormatting sqref="D1064:I1064 A1064">
    <cfRule type="cellIs" dxfId="2613" priority="3601" stopIfTrue="1" operator="equal">
      <formula>"Fail"</formula>
    </cfRule>
    <cfRule type="cellIs" dxfId="2612" priority="3602" stopIfTrue="1" operator="equal">
      <formula>"Pass"</formula>
    </cfRule>
  </conditionalFormatting>
  <conditionalFormatting sqref="I1064">
    <cfRule type="cellIs" dxfId="2611" priority="3599" stopIfTrue="1" operator="equal">
      <formula>"Fail"</formula>
    </cfRule>
    <cfRule type="cellIs" dxfId="2610" priority="3600" stopIfTrue="1" operator="equal">
      <formula>"Pass"</formula>
    </cfRule>
  </conditionalFormatting>
  <conditionalFormatting sqref="C1064">
    <cfRule type="cellIs" dxfId="2609" priority="3597" stopIfTrue="1" operator="equal">
      <formula>"Fail"</formula>
    </cfRule>
    <cfRule type="cellIs" dxfId="2608" priority="3598" stopIfTrue="1" operator="equal">
      <formula>"Pass"</formula>
    </cfRule>
  </conditionalFormatting>
  <conditionalFormatting sqref="I1065">
    <cfRule type="cellIs" dxfId="2607" priority="3591" stopIfTrue="1" operator="equal">
      <formula>"Fail"</formula>
    </cfRule>
    <cfRule type="cellIs" dxfId="2606" priority="3592" stopIfTrue="1" operator="equal">
      <formula>"Pass"</formula>
    </cfRule>
  </conditionalFormatting>
  <conditionalFormatting sqref="C1065">
    <cfRule type="cellIs" dxfId="2605" priority="3589" stopIfTrue="1" operator="equal">
      <formula>"Fail"</formula>
    </cfRule>
    <cfRule type="cellIs" dxfId="2604" priority="3590" stopIfTrue="1" operator="equal">
      <formula>"Pass"</formula>
    </cfRule>
  </conditionalFormatting>
  <conditionalFormatting sqref="C1065:I1065 A1065">
    <cfRule type="cellIs" dxfId="2603" priority="3595" stopIfTrue="1" operator="equal">
      <formula>"Fail"</formula>
    </cfRule>
    <cfRule type="cellIs" dxfId="2602" priority="3596" stopIfTrue="1" operator="equal">
      <formula>"Pass"</formula>
    </cfRule>
  </conditionalFormatting>
  <conditionalFormatting sqref="D1065:I1065 A1065">
    <cfRule type="cellIs" dxfId="2601" priority="3593" stopIfTrue="1" operator="equal">
      <formula>"Fail"</formula>
    </cfRule>
    <cfRule type="cellIs" dxfId="2600" priority="3594" stopIfTrue="1" operator="equal">
      <formula>"Pass"</formula>
    </cfRule>
  </conditionalFormatting>
  <conditionalFormatting sqref="I1066">
    <cfRule type="cellIs" dxfId="2599" priority="3583" stopIfTrue="1" operator="equal">
      <formula>"Fail"</formula>
    </cfRule>
    <cfRule type="cellIs" dxfId="2598" priority="3584" stopIfTrue="1" operator="equal">
      <formula>"Pass"</formula>
    </cfRule>
  </conditionalFormatting>
  <conditionalFormatting sqref="C1066">
    <cfRule type="cellIs" dxfId="2597" priority="3581" stopIfTrue="1" operator="equal">
      <formula>"Fail"</formula>
    </cfRule>
    <cfRule type="cellIs" dxfId="2596" priority="3582" stopIfTrue="1" operator="equal">
      <formula>"Pass"</formula>
    </cfRule>
  </conditionalFormatting>
  <conditionalFormatting sqref="C1066:I1066 A1066">
    <cfRule type="cellIs" dxfId="2595" priority="3587" stopIfTrue="1" operator="equal">
      <formula>"Fail"</formula>
    </cfRule>
    <cfRule type="cellIs" dxfId="2594" priority="3588" stopIfTrue="1" operator="equal">
      <formula>"Pass"</formula>
    </cfRule>
  </conditionalFormatting>
  <conditionalFormatting sqref="D1066:I1066 A1066">
    <cfRule type="cellIs" dxfId="2593" priority="3585" stopIfTrue="1" operator="equal">
      <formula>"Fail"</formula>
    </cfRule>
    <cfRule type="cellIs" dxfId="2592" priority="3586" stopIfTrue="1" operator="equal">
      <formula>"Pass"</formula>
    </cfRule>
  </conditionalFormatting>
  <conditionalFormatting sqref="A1067 D1067:I1067">
    <cfRule type="cellIs" dxfId="2591" priority="3577" stopIfTrue="1" operator="equal">
      <formula>"Fail"</formula>
    </cfRule>
    <cfRule type="cellIs" dxfId="2590" priority="3578" stopIfTrue="1" operator="equal">
      <formula>"Pass"</formula>
    </cfRule>
  </conditionalFormatting>
  <conditionalFormatting sqref="A1067 D1067:I1067">
    <cfRule type="cellIs" dxfId="2589" priority="3579" stopIfTrue="1" operator="equal">
      <formula>"Fail"</formula>
    </cfRule>
    <cfRule type="cellIs" dxfId="2588" priority="3580" stopIfTrue="1" operator="equal">
      <formula>"Pass"</formula>
    </cfRule>
  </conditionalFormatting>
  <conditionalFormatting sqref="I1067">
    <cfRule type="cellIs" dxfId="2587" priority="3575" stopIfTrue="1" operator="equal">
      <formula>"Fail"</formula>
    </cfRule>
    <cfRule type="cellIs" dxfId="2586" priority="3576" stopIfTrue="1" operator="equal">
      <formula>"Pass"</formula>
    </cfRule>
  </conditionalFormatting>
  <conditionalFormatting sqref="A1069">
    <cfRule type="cellIs" dxfId="2585" priority="3571" stopIfTrue="1" operator="equal">
      <formula>"Fail"</formula>
    </cfRule>
    <cfRule type="cellIs" dxfId="2584" priority="3572" stopIfTrue="1" operator="equal">
      <formula>"Pass"</formula>
    </cfRule>
  </conditionalFormatting>
  <conditionalFormatting sqref="C1069">
    <cfRule type="cellIs" dxfId="2583" priority="3567" stopIfTrue="1" operator="equal">
      <formula>"Fail"</formula>
    </cfRule>
    <cfRule type="cellIs" dxfId="2582" priority="3568" stopIfTrue="1" operator="equal">
      <formula>"Pass"</formula>
    </cfRule>
  </conditionalFormatting>
  <conditionalFormatting sqref="C1069">
    <cfRule type="cellIs" dxfId="2581" priority="3561" stopIfTrue="1" operator="equal">
      <formula>"Fail"</formula>
    </cfRule>
    <cfRule type="cellIs" dxfId="2580" priority="3562" stopIfTrue="1" operator="equal">
      <formula>"Pass"</formula>
    </cfRule>
  </conditionalFormatting>
  <conditionalFormatting sqref="A1069 C1069:D1069 F1069:H1069">
    <cfRule type="cellIs" dxfId="2579" priority="3565" stopIfTrue="1" operator="equal">
      <formula>"Fail"</formula>
    </cfRule>
    <cfRule type="cellIs" dxfId="2578" priority="3566" stopIfTrue="1" operator="equal">
      <formula>"Pass"</formula>
    </cfRule>
  </conditionalFormatting>
  <conditionalFormatting sqref="A1069 D1069 F1069:H1069">
    <cfRule type="cellIs" dxfId="2577" priority="3563" stopIfTrue="1" operator="equal">
      <formula>"Fail"</formula>
    </cfRule>
    <cfRule type="cellIs" dxfId="2576" priority="3564" stopIfTrue="1" operator="equal">
      <formula>"Pass"</formula>
    </cfRule>
  </conditionalFormatting>
  <conditionalFormatting sqref="I1069">
    <cfRule type="cellIs" dxfId="2575" priority="3555" stopIfTrue="1" operator="equal">
      <formula>"Fail"</formula>
    </cfRule>
    <cfRule type="cellIs" dxfId="2574" priority="3556" stopIfTrue="1" operator="equal">
      <formula>"Pass"</formula>
    </cfRule>
  </conditionalFormatting>
  <conditionalFormatting sqref="I1069">
    <cfRule type="cellIs" dxfId="2573" priority="3559" stopIfTrue="1" operator="equal">
      <formula>"Fail"</formula>
    </cfRule>
    <cfRule type="cellIs" dxfId="2572" priority="3560" stopIfTrue="1" operator="equal">
      <formula>"Pass"</formula>
    </cfRule>
  </conditionalFormatting>
  <conditionalFormatting sqref="I1069">
    <cfRule type="cellIs" dxfId="2571" priority="3557" stopIfTrue="1" operator="equal">
      <formula>"Fail"</formula>
    </cfRule>
    <cfRule type="cellIs" dxfId="2570" priority="3558" stopIfTrue="1" operator="equal">
      <formula>"Pass"</formula>
    </cfRule>
  </conditionalFormatting>
  <conditionalFormatting sqref="I1068">
    <cfRule type="cellIs" dxfId="2569" priority="3549" stopIfTrue="1" operator="equal">
      <formula>"Fail"</formula>
    </cfRule>
    <cfRule type="cellIs" dxfId="2568" priority="3550" stopIfTrue="1" operator="equal">
      <formula>"Pass"</formula>
    </cfRule>
  </conditionalFormatting>
  <conditionalFormatting sqref="D1068 A1068 F1068:I1068">
    <cfRule type="cellIs" dxfId="2567" priority="3553" stopIfTrue="1" operator="equal">
      <formula>"Fail"</formula>
    </cfRule>
    <cfRule type="cellIs" dxfId="2566" priority="3554" stopIfTrue="1" operator="equal">
      <formula>"Pass"</formula>
    </cfRule>
  </conditionalFormatting>
  <conditionalFormatting sqref="D1068 A1068 F1068:I1068">
    <cfRule type="cellIs" dxfId="2565" priority="3551" stopIfTrue="1" operator="equal">
      <formula>"Fail"</formula>
    </cfRule>
    <cfRule type="cellIs" dxfId="2564" priority="3552" stopIfTrue="1" operator="equal">
      <formula>"Pass"</formula>
    </cfRule>
  </conditionalFormatting>
  <conditionalFormatting sqref="E1068">
    <cfRule type="cellIs" dxfId="2563" priority="3547" stopIfTrue="1" operator="equal">
      <formula>"Fail"</formula>
    </cfRule>
    <cfRule type="cellIs" dxfId="2562" priority="3548" stopIfTrue="1" operator="equal">
      <formula>"Pass"</formula>
    </cfRule>
  </conditionalFormatting>
  <conditionalFormatting sqref="A1070 C1070:I1070">
    <cfRule type="cellIs" dxfId="2561" priority="3545" stopIfTrue="1" operator="equal">
      <formula>"Fail"</formula>
    </cfRule>
    <cfRule type="cellIs" dxfId="2560" priority="3546" stopIfTrue="1" operator="equal">
      <formula>"Pass"</formula>
    </cfRule>
  </conditionalFormatting>
  <conditionalFormatting sqref="B1070">
    <cfRule type="cellIs" dxfId="2559" priority="3543" stopIfTrue="1" operator="equal">
      <formula>"Fail"</formula>
    </cfRule>
    <cfRule type="cellIs" dxfId="2558" priority="3544" stopIfTrue="1" operator="equal">
      <formula>"Pass"</formula>
    </cfRule>
  </conditionalFormatting>
  <conditionalFormatting sqref="C1071">
    <cfRule type="cellIs" dxfId="2557" priority="3539" stopIfTrue="1" operator="equal">
      <formula>"Fail"</formula>
    </cfRule>
    <cfRule type="cellIs" dxfId="2556" priority="3540" stopIfTrue="1" operator="equal">
      <formula>"Pass"</formula>
    </cfRule>
  </conditionalFormatting>
  <conditionalFormatting sqref="I1072">
    <cfRule type="cellIs" dxfId="2555" priority="3531" stopIfTrue="1" operator="equal">
      <formula>"Fail"</formula>
    </cfRule>
    <cfRule type="cellIs" dxfId="2554" priority="3532" stopIfTrue="1" operator="equal">
      <formula>"Pass"</formula>
    </cfRule>
  </conditionalFormatting>
  <conditionalFormatting sqref="I1072">
    <cfRule type="cellIs" dxfId="2553" priority="3535" stopIfTrue="1" operator="equal">
      <formula>"Fail"</formula>
    </cfRule>
    <cfRule type="cellIs" dxfId="2552" priority="3536" stopIfTrue="1" operator="equal">
      <formula>"Pass"</formula>
    </cfRule>
  </conditionalFormatting>
  <conditionalFormatting sqref="I1072">
    <cfRule type="cellIs" dxfId="2551" priority="3533" stopIfTrue="1" operator="equal">
      <formula>"Fail"</formula>
    </cfRule>
    <cfRule type="cellIs" dxfId="2550" priority="3534" stopIfTrue="1" operator="equal">
      <formula>"Pass"</formula>
    </cfRule>
  </conditionalFormatting>
  <conditionalFormatting sqref="A1072">
    <cfRule type="cellIs" dxfId="2549" priority="3537" stopIfTrue="1" operator="equal">
      <formula>"Fail"</formula>
    </cfRule>
    <cfRule type="cellIs" dxfId="2548" priority="3538" stopIfTrue="1" operator="equal">
      <formula>"Pass"</formula>
    </cfRule>
  </conditionalFormatting>
  <conditionalFormatting sqref="B1072">
    <cfRule type="cellIs" dxfId="2547" priority="3529" stopIfTrue="1" operator="equal">
      <formula>"Fail"</formula>
    </cfRule>
    <cfRule type="cellIs" dxfId="2546" priority="3530" stopIfTrue="1" operator="equal">
      <formula>"Pass"</formula>
    </cfRule>
  </conditionalFormatting>
  <conditionalFormatting sqref="C1072">
    <cfRule type="cellIs" dxfId="2545" priority="3527" stopIfTrue="1" operator="equal">
      <formula>"Fail"</formula>
    </cfRule>
    <cfRule type="cellIs" dxfId="2544" priority="3528" stopIfTrue="1" operator="equal">
      <formula>"Pass"</formula>
    </cfRule>
  </conditionalFormatting>
  <conditionalFormatting sqref="A1073 C1073:I1073">
    <cfRule type="cellIs" dxfId="2543" priority="3525" stopIfTrue="1" operator="equal">
      <formula>"Fail"</formula>
    </cfRule>
    <cfRule type="cellIs" dxfId="2542" priority="3526" stopIfTrue="1" operator="equal">
      <formula>"Pass"</formula>
    </cfRule>
  </conditionalFormatting>
  <conditionalFormatting sqref="B1073">
    <cfRule type="cellIs" dxfId="2541" priority="3523" stopIfTrue="1" operator="equal">
      <formula>"Fail"</formula>
    </cfRule>
    <cfRule type="cellIs" dxfId="2540" priority="3524" stopIfTrue="1" operator="equal">
      <formula>"Pass"</formula>
    </cfRule>
  </conditionalFormatting>
  <conditionalFormatting sqref="I1088">
    <cfRule type="cellIs" dxfId="2539" priority="3335" stopIfTrue="1" operator="equal">
      <formula>"Fail"</formula>
    </cfRule>
    <cfRule type="cellIs" dxfId="2538" priority="3336" stopIfTrue="1" operator="equal">
      <formula>"Pass"</formula>
    </cfRule>
  </conditionalFormatting>
  <conditionalFormatting sqref="C1088">
    <cfRule type="cellIs" dxfId="2537" priority="3333" stopIfTrue="1" operator="equal">
      <formula>"Fail"</formula>
    </cfRule>
    <cfRule type="cellIs" dxfId="2536" priority="3334" stopIfTrue="1" operator="equal">
      <formula>"Pass"</formula>
    </cfRule>
  </conditionalFormatting>
  <conditionalFormatting sqref="C1088:I1088 A1088">
    <cfRule type="cellIs" dxfId="2535" priority="3339" stopIfTrue="1" operator="equal">
      <formula>"Fail"</formula>
    </cfRule>
    <cfRule type="cellIs" dxfId="2534" priority="3340" stopIfTrue="1" operator="equal">
      <formula>"Pass"</formula>
    </cfRule>
  </conditionalFormatting>
  <conditionalFormatting sqref="D1088:I1088 A1088">
    <cfRule type="cellIs" dxfId="2533" priority="3337" stopIfTrue="1" operator="equal">
      <formula>"Fail"</formula>
    </cfRule>
    <cfRule type="cellIs" dxfId="2532" priority="3338" stopIfTrue="1" operator="equal">
      <formula>"Pass"</formula>
    </cfRule>
  </conditionalFormatting>
  <conditionalFormatting sqref="A1089">
    <cfRule type="cellIs" dxfId="2531" priority="3331" stopIfTrue="1" operator="equal">
      <formula>"Fail"</formula>
    </cfRule>
    <cfRule type="cellIs" dxfId="2530" priority="3332" stopIfTrue="1" operator="equal">
      <formula>"Pass"</formula>
    </cfRule>
  </conditionalFormatting>
  <conditionalFormatting sqref="C1089:I1089">
    <cfRule type="cellIs" dxfId="2529" priority="3329" stopIfTrue="1" operator="equal">
      <formula>"Fail"</formula>
    </cfRule>
    <cfRule type="cellIs" dxfId="2528" priority="3330" stopIfTrue="1" operator="equal">
      <formula>"Pass"</formula>
    </cfRule>
  </conditionalFormatting>
  <conditionalFormatting sqref="B1089">
    <cfRule type="cellIs" dxfId="2527" priority="3327" stopIfTrue="1" operator="equal">
      <formula>"Fail"</formula>
    </cfRule>
    <cfRule type="cellIs" dxfId="2526" priority="3328" stopIfTrue="1" operator="equal">
      <formula>"Pass"</formula>
    </cfRule>
  </conditionalFormatting>
  <conditionalFormatting sqref="I1090">
    <cfRule type="cellIs" dxfId="2525" priority="3321" stopIfTrue="1" operator="equal">
      <formula>"Fail"</formula>
    </cfRule>
    <cfRule type="cellIs" dxfId="2524" priority="3322" stopIfTrue="1" operator="equal">
      <formula>"Pass"</formula>
    </cfRule>
  </conditionalFormatting>
  <conditionalFormatting sqref="C1090">
    <cfRule type="cellIs" dxfId="2523" priority="3319" stopIfTrue="1" operator="equal">
      <formula>"Fail"</formula>
    </cfRule>
    <cfRule type="cellIs" dxfId="2522" priority="3320" stopIfTrue="1" operator="equal">
      <formula>"Pass"</formula>
    </cfRule>
  </conditionalFormatting>
  <conditionalFormatting sqref="C1090:I1090 A1090">
    <cfRule type="cellIs" dxfId="2521" priority="3325" stopIfTrue="1" operator="equal">
      <formula>"Fail"</formula>
    </cfRule>
    <cfRule type="cellIs" dxfId="2520" priority="3326" stopIfTrue="1" operator="equal">
      <formula>"Pass"</formula>
    </cfRule>
  </conditionalFormatting>
  <conditionalFormatting sqref="D1090:I1090 A1090">
    <cfRule type="cellIs" dxfId="2519" priority="3323" stopIfTrue="1" operator="equal">
      <formula>"Fail"</formula>
    </cfRule>
    <cfRule type="cellIs" dxfId="2518" priority="3324" stopIfTrue="1" operator="equal">
      <formula>"Pass"</formula>
    </cfRule>
  </conditionalFormatting>
  <conditionalFormatting sqref="C1091:I1091 A1091">
    <cfRule type="cellIs" dxfId="2517" priority="3317" stopIfTrue="1" operator="equal">
      <formula>"Fail"</formula>
    </cfRule>
    <cfRule type="cellIs" dxfId="2516" priority="3318" stopIfTrue="1" operator="equal">
      <formula>"Pass"</formula>
    </cfRule>
  </conditionalFormatting>
  <conditionalFormatting sqref="D1091:I1091 A1091">
    <cfRule type="cellIs" dxfId="2515" priority="3315" stopIfTrue="1" operator="equal">
      <formula>"Fail"</formula>
    </cfRule>
    <cfRule type="cellIs" dxfId="2514" priority="3316" stopIfTrue="1" operator="equal">
      <formula>"Pass"</formula>
    </cfRule>
  </conditionalFormatting>
  <conditionalFormatting sqref="I1091">
    <cfRule type="cellIs" dxfId="2513" priority="3313" stopIfTrue="1" operator="equal">
      <formula>"Fail"</formula>
    </cfRule>
    <cfRule type="cellIs" dxfId="2512" priority="3314" stopIfTrue="1" operator="equal">
      <formula>"Pass"</formula>
    </cfRule>
  </conditionalFormatting>
  <conditionalFormatting sqref="C1091">
    <cfRule type="cellIs" dxfId="2511" priority="3311" stopIfTrue="1" operator="equal">
      <formula>"Fail"</formula>
    </cfRule>
    <cfRule type="cellIs" dxfId="2510" priority="3312" stopIfTrue="1" operator="equal">
      <formula>"Pass"</formula>
    </cfRule>
  </conditionalFormatting>
  <conditionalFormatting sqref="I1092">
    <cfRule type="cellIs" dxfId="2509" priority="3305" stopIfTrue="1" operator="equal">
      <formula>"Fail"</formula>
    </cfRule>
    <cfRule type="cellIs" dxfId="2508" priority="3306" stopIfTrue="1" operator="equal">
      <formula>"Pass"</formula>
    </cfRule>
  </conditionalFormatting>
  <conditionalFormatting sqref="C1092">
    <cfRule type="cellIs" dxfId="2507" priority="3303" stopIfTrue="1" operator="equal">
      <formula>"Fail"</formula>
    </cfRule>
    <cfRule type="cellIs" dxfId="2506" priority="3304" stopIfTrue="1" operator="equal">
      <formula>"Pass"</formula>
    </cfRule>
  </conditionalFormatting>
  <conditionalFormatting sqref="C1092:I1092 A1092">
    <cfRule type="cellIs" dxfId="2505" priority="3309" stopIfTrue="1" operator="equal">
      <formula>"Fail"</formula>
    </cfRule>
    <cfRule type="cellIs" dxfId="2504" priority="3310" stopIfTrue="1" operator="equal">
      <formula>"Pass"</formula>
    </cfRule>
  </conditionalFormatting>
  <conditionalFormatting sqref="D1092:I1092 A1092">
    <cfRule type="cellIs" dxfId="2503" priority="3307" stopIfTrue="1" operator="equal">
      <formula>"Fail"</formula>
    </cfRule>
    <cfRule type="cellIs" dxfId="2502" priority="3308" stopIfTrue="1" operator="equal">
      <formula>"Pass"</formula>
    </cfRule>
  </conditionalFormatting>
  <conditionalFormatting sqref="I1093">
    <cfRule type="cellIs" dxfId="2501" priority="3297" stopIfTrue="1" operator="equal">
      <formula>"Fail"</formula>
    </cfRule>
    <cfRule type="cellIs" dxfId="2500" priority="3298" stopIfTrue="1" operator="equal">
      <formula>"Pass"</formula>
    </cfRule>
  </conditionalFormatting>
  <conditionalFormatting sqref="D1093:I1093 A1093">
    <cfRule type="cellIs" dxfId="2499" priority="3301" stopIfTrue="1" operator="equal">
      <formula>"Fail"</formula>
    </cfRule>
    <cfRule type="cellIs" dxfId="2498" priority="3302" stopIfTrue="1" operator="equal">
      <formula>"Pass"</formula>
    </cfRule>
  </conditionalFormatting>
  <conditionalFormatting sqref="D1093:I1093 A1093">
    <cfRule type="cellIs" dxfId="2497" priority="3299" stopIfTrue="1" operator="equal">
      <formula>"Fail"</formula>
    </cfRule>
    <cfRule type="cellIs" dxfId="2496" priority="3300" stopIfTrue="1" operator="equal">
      <formula>"Pass"</formula>
    </cfRule>
  </conditionalFormatting>
  <conditionalFormatting sqref="A1094 D1094:I1094">
    <cfRule type="cellIs" dxfId="2495" priority="3291" stopIfTrue="1" operator="equal">
      <formula>"Fail"</formula>
    </cfRule>
    <cfRule type="cellIs" dxfId="2494" priority="3292" stopIfTrue="1" operator="equal">
      <formula>"Pass"</formula>
    </cfRule>
  </conditionalFormatting>
  <conditionalFormatting sqref="A1094 D1094:I1094">
    <cfRule type="cellIs" dxfId="2493" priority="3293" stopIfTrue="1" operator="equal">
      <formula>"Fail"</formula>
    </cfRule>
    <cfRule type="cellIs" dxfId="2492" priority="3294" stopIfTrue="1" operator="equal">
      <formula>"Pass"</formula>
    </cfRule>
  </conditionalFormatting>
  <conditionalFormatting sqref="I1094">
    <cfRule type="cellIs" dxfId="2491" priority="3289" stopIfTrue="1" operator="equal">
      <formula>"Fail"</formula>
    </cfRule>
    <cfRule type="cellIs" dxfId="2490" priority="3290" stopIfTrue="1" operator="equal">
      <formula>"Pass"</formula>
    </cfRule>
  </conditionalFormatting>
  <conditionalFormatting sqref="A1096">
    <cfRule type="cellIs" dxfId="2489" priority="3285" stopIfTrue="1" operator="equal">
      <formula>"Fail"</formula>
    </cfRule>
    <cfRule type="cellIs" dxfId="2488" priority="3286" stopIfTrue="1" operator="equal">
      <formula>"Pass"</formula>
    </cfRule>
  </conditionalFormatting>
  <conditionalFormatting sqref="C1096">
    <cfRule type="cellIs" dxfId="2487" priority="3281" stopIfTrue="1" operator="equal">
      <formula>"Fail"</formula>
    </cfRule>
    <cfRule type="cellIs" dxfId="2486" priority="3282" stopIfTrue="1" operator="equal">
      <formula>"Pass"</formula>
    </cfRule>
  </conditionalFormatting>
  <conditionalFormatting sqref="C1096">
    <cfRule type="cellIs" dxfId="2485" priority="3275" stopIfTrue="1" operator="equal">
      <formula>"Fail"</formula>
    </cfRule>
    <cfRule type="cellIs" dxfId="2484" priority="3276" stopIfTrue="1" operator="equal">
      <formula>"Pass"</formula>
    </cfRule>
  </conditionalFormatting>
  <conditionalFormatting sqref="A1096 C1096:D1096">
    <cfRule type="cellIs" dxfId="2483" priority="3279" stopIfTrue="1" operator="equal">
      <formula>"Fail"</formula>
    </cfRule>
    <cfRule type="cellIs" dxfId="2482" priority="3280" stopIfTrue="1" operator="equal">
      <formula>"Pass"</formula>
    </cfRule>
  </conditionalFormatting>
  <conditionalFormatting sqref="A1096 D1096">
    <cfRule type="cellIs" dxfId="2481" priority="3277" stopIfTrue="1" operator="equal">
      <formula>"Fail"</formula>
    </cfRule>
    <cfRule type="cellIs" dxfId="2480" priority="3278" stopIfTrue="1" operator="equal">
      <formula>"Pass"</formula>
    </cfRule>
  </conditionalFormatting>
  <conditionalFormatting sqref="I1095:I1096">
    <cfRule type="cellIs" dxfId="2479" priority="3269" stopIfTrue="1" operator="equal">
      <formula>"Fail"</formula>
    </cfRule>
    <cfRule type="cellIs" dxfId="2478" priority="3270" stopIfTrue="1" operator="equal">
      <formula>"Pass"</formula>
    </cfRule>
  </conditionalFormatting>
  <conditionalFormatting sqref="D1095 A1095 F1095:I1096">
    <cfRule type="cellIs" dxfId="2477" priority="3273" stopIfTrue="1" operator="equal">
      <formula>"Fail"</formula>
    </cfRule>
    <cfRule type="cellIs" dxfId="2476" priority="3274" stopIfTrue="1" operator="equal">
      <formula>"Pass"</formula>
    </cfRule>
  </conditionalFormatting>
  <conditionalFormatting sqref="D1095 A1095 F1095:I1096">
    <cfRule type="cellIs" dxfId="2475" priority="3271" stopIfTrue="1" operator="equal">
      <formula>"Fail"</formula>
    </cfRule>
    <cfRule type="cellIs" dxfId="2474" priority="3272" stopIfTrue="1" operator="equal">
      <formula>"Pass"</formula>
    </cfRule>
  </conditionalFormatting>
  <conditionalFormatting sqref="E1095">
    <cfRule type="cellIs" dxfId="2473" priority="3267" stopIfTrue="1" operator="equal">
      <formula>"Fail"</formula>
    </cfRule>
    <cfRule type="cellIs" dxfId="2472" priority="3268" stopIfTrue="1" operator="equal">
      <formula>"Pass"</formula>
    </cfRule>
  </conditionalFormatting>
  <conditionalFormatting sqref="C1068">
    <cfRule type="cellIs" dxfId="2471" priority="3263" stopIfTrue="1" operator="equal">
      <formula>"Fail"</formula>
    </cfRule>
    <cfRule type="cellIs" dxfId="2470" priority="3264" stopIfTrue="1" operator="equal">
      <formula>"Pass"</formula>
    </cfRule>
  </conditionalFormatting>
  <conditionalFormatting sqref="C1068">
    <cfRule type="cellIs" dxfId="2469" priority="3265" stopIfTrue="1" operator="equal">
      <formula>"Fail"</formula>
    </cfRule>
    <cfRule type="cellIs" dxfId="2468" priority="3266" stopIfTrue="1" operator="equal">
      <formula>"Pass"</formula>
    </cfRule>
  </conditionalFormatting>
  <conditionalFormatting sqref="C1095">
    <cfRule type="cellIs" dxfId="2467" priority="3259" stopIfTrue="1" operator="equal">
      <formula>"Fail"</formula>
    </cfRule>
    <cfRule type="cellIs" dxfId="2466" priority="3260" stopIfTrue="1" operator="equal">
      <formula>"Pass"</formula>
    </cfRule>
  </conditionalFormatting>
  <conditionalFormatting sqref="C1095">
    <cfRule type="cellIs" dxfId="2465" priority="3261" stopIfTrue="1" operator="equal">
      <formula>"Fail"</formula>
    </cfRule>
    <cfRule type="cellIs" dxfId="2464" priority="3262" stopIfTrue="1" operator="equal">
      <formula>"Pass"</formula>
    </cfRule>
  </conditionalFormatting>
  <conditionalFormatting sqref="I1097">
    <cfRule type="cellIs" dxfId="2463" priority="3245" stopIfTrue="1" operator="equal">
      <formula>"Fail"</formula>
    </cfRule>
    <cfRule type="cellIs" dxfId="2462" priority="3246" stopIfTrue="1" operator="equal">
      <formula>"Pass"</formula>
    </cfRule>
  </conditionalFormatting>
  <conditionalFormatting sqref="C1097">
    <cfRule type="cellIs" dxfId="2461" priority="3243" stopIfTrue="1" operator="equal">
      <formula>"Fail"</formula>
    </cfRule>
    <cfRule type="cellIs" dxfId="2460" priority="3244" stopIfTrue="1" operator="equal">
      <formula>"Pass"</formula>
    </cfRule>
  </conditionalFormatting>
  <conditionalFormatting sqref="C1097:I1097 A1097">
    <cfRule type="cellIs" dxfId="2459" priority="3249" stopIfTrue="1" operator="equal">
      <formula>"Fail"</formula>
    </cfRule>
    <cfRule type="cellIs" dxfId="2458" priority="3250" stopIfTrue="1" operator="equal">
      <formula>"Pass"</formula>
    </cfRule>
  </conditionalFormatting>
  <conditionalFormatting sqref="D1097:I1097 A1097">
    <cfRule type="cellIs" dxfId="2457" priority="3247" stopIfTrue="1" operator="equal">
      <formula>"Fail"</formula>
    </cfRule>
    <cfRule type="cellIs" dxfId="2456" priority="3248" stopIfTrue="1" operator="equal">
      <formula>"Pass"</formula>
    </cfRule>
  </conditionalFormatting>
  <conditionalFormatting sqref="A1099 D1099:I1099">
    <cfRule type="cellIs" dxfId="2455" priority="3215" stopIfTrue="1" operator="equal">
      <formula>"Fail"</formula>
    </cfRule>
    <cfRule type="cellIs" dxfId="2454" priority="3216" stopIfTrue="1" operator="equal">
      <formula>"Pass"</formula>
    </cfRule>
  </conditionalFormatting>
  <conditionalFormatting sqref="A1099 D1099:I1099">
    <cfRule type="cellIs" dxfId="2453" priority="3217" stopIfTrue="1" operator="equal">
      <formula>"Fail"</formula>
    </cfRule>
    <cfRule type="cellIs" dxfId="2452" priority="3218" stopIfTrue="1" operator="equal">
      <formula>"Pass"</formula>
    </cfRule>
  </conditionalFormatting>
  <conditionalFormatting sqref="I1099">
    <cfRule type="cellIs" dxfId="2451" priority="3213" stopIfTrue="1" operator="equal">
      <formula>"Fail"</formula>
    </cfRule>
    <cfRule type="cellIs" dxfId="2450" priority="3214" stopIfTrue="1" operator="equal">
      <formula>"Pass"</formula>
    </cfRule>
  </conditionalFormatting>
  <conditionalFormatting sqref="A1101">
    <cfRule type="cellIs" dxfId="2449" priority="3209" stopIfTrue="1" operator="equal">
      <formula>"Fail"</formula>
    </cfRule>
    <cfRule type="cellIs" dxfId="2448" priority="3210" stopIfTrue="1" operator="equal">
      <formula>"Pass"</formula>
    </cfRule>
  </conditionalFormatting>
  <conditionalFormatting sqref="C1101">
    <cfRule type="cellIs" dxfId="2447" priority="3205" stopIfTrue="1" operator="equal">
      <formula>"Fail"</formula>
    </cfRule>
    <cfRule type="cellIs" dxfId="2446" priority="3206" stopIfTrue="1" operator="equal">
      <formula>"Pass"</formula>
    </cfRule>
  </conditionalFormatting>
  <conditionalFormatting sqref="C1101">
    <cfRule type="cellIs" dxfId="2445" priority="3199" stopIfTrue="1" operator="equal">
      <formula>"Fail"</formula>
    </cfRule>
    <cfRule type="cellIs" dxfId="2444" priority="3200" stopIfTrue="1" operator="equal">
      <formula>"Pass"</formula>
    </cfRule>
  </conditionalFormatting>
  <conditionalFormatting sqref="A1101 C1101:D1101">
    <cfRule type="cellIs" dxfId="2443" priority="3203" stopIfTrue="1" operator="equal">
      <formula>"Fail"</formula>
    </cfRule>
    <cfRule type="cellIs" dxfId="2442" priority="3204" stopIfTrue="1" operator="equal">
      <formula>"Pass"</formula>
    </cfRule>
  </conditionalFormatting>
  <conditionalFormatting sqref="A1101 D1101">
    <cfRule type="cellIs" dxfId="2441" priority="3201" stopIfTrue="1" operator="equal">
      <formula>"Fail"</formula>
    </cfRule>
    <cfRule type="cellIs" dxfId="2440" priority="3202" stopIfTrue="1" operator="equal">
      <formula>"Pass"</formula>
    </cfRule>
  </conditionalFormatting>
  <conditionalFormatting sqref="I1100:I1101">
    <cfRule type="cellIs" dxfId="2439" priority="3193" stopIfTrue="1" operator="equal">
      <formula>"Fail"</formula>
    </cfRule>
    <cfRule type="cellIs" dxfId="2438" priority="3194" stopIfTrue="1" operator="equal">
      <formula>"Pass"</formula>
    </cfRule>
  </conditionalFormatting>
  <conditionalFormatting sqref="D1100 A1100 F1100:I1101">
    <cfRule type="cellIs" dxfId="2437" priority="3197" stopIfTrue="1" operator="equal">
      <formula>"Fail"</formula>
    </cfRule>
    <cfRule type="cellIs" dxfId="2436" priority="3198" stopIfTrue="1" operator="equal">
      <formula>"Pass"</formula>
    </cfRule>
  </conditionalFormatting>
  <conditionalFormatting sqref="D1100 A1100 F1100:I1101">
    <cfRule type="cellIs" dxfId="2435" priority="3195" stopIfTrue="1" operator="equal">
      <formula>"Fail"</formula>
    </cfRule>
    <cfRule type="cellIs" dxfId="2434" priority="3196" stopIfTrue="1" operator="equal">
      <formula>"Pass"</formula>
    </cfRule>
  </conditionalFormatting>
  <conditionalFormatting sqref="E1100">
    <cfRule type="cellIs" dxfId="2433" priority="3191" stopIfTrue="1" operator="equal">
      <formula>"Fail"</formula>
    </cfRule>
    <cfRule type="cellIs" dxfId="2432" priority="3192" stopIfTrue="1" operator="equal">
      <formula>"Pass"</formula>
    </cfRule>
  </conditionalFormatting>
  <conditionalFormatting sqref="A1103 C1103:I1103">
    <cfRule type="cellIs" dxfId="2431" priority="3189" stopIfTrue="1" operator="equal">
      <formula>"Fail"</formula>
    </cfRule>
    <cfRule type="cellIs" dxfId="2430" priority="3190" stopIfTrue="1" operator="equal">
      <formula>"Pass"</formula>
    </cfRule>
  </conditionalFormatting>
  <conditionalFormatting sqref="B1103">
    <cfRule type="cellIs" dxfId="2429" priority="3187" stopIfTrue="1" operator="equal">
      <formula>"Fail"</formula>
    </cfRule>
    <cfRule type="cellIs" dxfId="2428" priority="3188" stopIfTrue="1" operator="equal">
      <formula>"Pass"</formula>
    </cfRule>
  </conditionalFormatting>
  <conditionalFormatting sqref="C1100">
    <cfRule type="cellIs" dxfId="2427" priority="3183" stopIfTrue="1" operator="equal">
      <formula>"Fail"</formula>
    </cfRule>
    <cfRule type="cellIs" dxfId="2426" priority="3184" stopIfTrue="1" operator="equal">
      <formula>"Pass"</formula>
    </cfRule>
  </conditionalFormatting>
  <conditionalFormatting sqref="C1100">
    <cfRule type="cellIs" dxfId="2425" priority="3185" stopIfTrue="1" operator="equal">
      <formula>"Fail"</formula>
    </cfRule>
    <cfRule type="cellIs" dxfId="2424" priority="3186" stopIfTrue="1" operator="equal">
      <formula>"Pass"</formula>
    </cfRule>
  </conditionalFormatting>
  <conditionalFormatting sqref="B1102">
    <cfRule type="cellIs" dxfId="2423" priority="3181" stopIfTrue="1" operator="equal">
      <formula>"Fail"</formula>
    </cfRule>
    <cfRule type="cellIs" dxfId="2422" priority="3182" stopIfTrue="1" operator="equal">
      <formula>"Pass"</formula>
    </cfRule>
  </conditionalFormatting>
  <conditionalFormatting sqref="A1102">
    <cfRule type="cellIs" dxfId="2421" priority="3179" stopIfTrue="1" operator="equal">
      <formula>"Fail"</formula>
    </cfRule>
    <cfRule type="cellIs" dxfId="2420" priority="3180" stopIfTrue="1" operator="equal">
      <formula>"Pass"</formula>
    </cfRule>
  </conditionalFormatting>
  <conditionalFormatting sqref="C1102">
    <cfRule type="cellIs" dxfId="2419" priority="3177" stopIfTrue="1" operator="equal">
      <formula>"Fail"</formula>
    </cfRule>
    <cfRule type="cellIs" dxfId="2418" priority="3178" stopIfTrue="1" operator="equal">
      <formula>"Pass"</formula>
    </cfRule>
  </conditionalFormatting>
  <conditionalFormatting sqref="I1102">
    <cfRule type="cellIs" dxfId="2417" priority="3171" stopIfTrue="1" operator="equal">
      <formula>"Fail"</formula>
    </cfRule>
    <cfRule type="cellIs" dxfId="2416" priority="3172" stopIfTrue="1" operator="equal">
      <formula>"Pass"</formula>
    </cfRule>
  </conditionalFormatting>
  <conditionalFormatting sqref="I1102">
    <cfRule type="cellIs" dxfId="2415" priority="3175" stopIfTrue="1" operator="equal">
      <formula>"Fail"</formula>
    </cfRule>
    <cfRule type="cellIs" dxfId="2414" priority="3176" stopIfTrue="1" operator="equal">
      <formula>"Pass"</formula>
    </cfRule>
  </conditionalFormatting>
  <conditionalFormatting sqref="I1102">
    <cfRule type="cellIs" dxfId="2413" priority="3173" stopIfTrue="1" operator="equal">
      <formula>"Fail"</formula>
    </cfRule>
    <cfRule type="cellIs" dxfId="2412" priority="3174" stopIfTrue="1" operator="equal">
      <formula>"Pass"</formula>
    </cfRule>
  </conditionalFormatting>
  <conditionalFormatting sqref="I1104">
    <cfRule type="cellIs" dxfId="2411" priority="3165" stopIfTrue="1" operator="equal">
      <formula>"Fail"</formula>
    </cfRule>
    <cfRule type="cellIs" dxfId="2410" priority="3166" stopIfTrue="1" operator="equal">
      <formula>"Pass"</formula>
    </cfRule>
  </conditionalFormatting>
  <conditionalFormatting sqref="C1104">
    <cfRule type="cellIs" dxfId="2409" priority="3163" stopIfTrue="1" operator="equal">
      <formula>"Fail"</formula>
    </cfRule>
    <cfRule type="cellIs" dxfId="2408" priority="3164" stopIfTrue="1" operator="equal">
      <formula>"Pass"</formula>
    </cfRule>
  </conditionalFormatting>
  <conditionalFormatting sqref="C1104:I1104 A1104">
    <cfRule type="cellIs" dxfId="2407" priority="3169" stopIfTrue="1" operator="equal">
      <formula>"Fail"</formula>
    </cfRule>
    <cfRule type="cellIs" dxfId="2406" priority="3170" stopIfTrue="1" operator="equal">
      <formula>"Pass"</formula>
    </cfRule>
  </conditionalFormatting>
  <conditionalFormatting sqref="D1104:I1104 A1104">
    <cfRule type="cellIs" dxfId="2405" priority="3167" stopIfTrue="1" operator="equal">
      <formula>"Fail"</formula>
    </cfRule>
    <cfRule type="cellIs" dxfId="2404" priority="3168" stopIfTrue="1" operator="equal">
      <formula>"Pass"</formula>
    </cfRule>
  </conditionalFormatting>
  <conditionalFormatting sqref="C1093">
    <cfRule type="cellIs" dxfId="2403" priority="3139" stopIfTrue="1" operator="equal">
      <formula>"Fail"</formula>
    </cfRule>
    <cfRule type="cellIs" dxfId="2402" priority="3140" stopIfTrue="1" operator="equal">
      <formula>"Pass"</formula>
    </cfRule>
  </conditionalFormatting>
  <conditionalFormatting sqref="C1093">
    <cfRule type="cellIs" dxfId="2401" priority="3141" stopIfTrue="1" operator="equal">
      <formula>"Fail"</formula>
    </cfRule>
    <cfRule type="cellIs" dxfId="2400" priority="3142" stopIfTrue="1" operator="equal">
      <formula>"Pass"</formula>
    </cfRule>
  </conditionalFormatting>
  <conditionalFormatting sqref="C1159:I1159">
    <cfRule type="cellIs" dxfId="2399" priority="3127" stopIfTrue="1" operator="equal">
      <formula>"Fail"</formula>
    </cfRule>
    <cfRule type="cellIs" dxfId="2398" priority="3128" stopIfTrue="1" operator="equal">
      <formula>"Pass"</formula>
    </cfRule>
  </conditionalFormatting>
  <conditionalFormatting sqref="A1159">
    <cfRule type="cellIs" dxfId="2397" priority="3129" stopIfTrue="1" operator="equal">
      <formula>"Fail"</formula>
    </cfRule>
    <cfRule type="cellIs" dxfId="2396" priority="3130" stopIfTrue="1" operator="equal">
      <formula>"Pass"</formula>
    </cfRule>
  </conditionalFormatting>
  <conditionalFormatting sqref="B1159">
    <cfRule type="cellIs" dxfId="2395" priority="3125" stopIfTrue="1" operator="equal">
      <formula>"Fail"</formula>
    </cfRule>
    <cfRule type="cellIs" dxfId="2394" priority="3126" stopIfTrue="1" operator="equal">
      <formula>"Pass"</formula>
    </cfRule>
  </conditionalFormatting>
  <conditionalFormatting sqref="C1160:I1160">
    <cfRule type="cellIs" dxfId="2393" priority="3121" stopIfTrue="1" operator="equal">
      <formula>"Fail"</formula>
    </cfRule>
    <cfRule type="cellIs" dxfId="2392" priority="3122" stopIfTrue="1" operator="equal">
      <formula>"Pass"</formula>
    </cfRule>
  </conditionalFormatting>
  <conditionalFormatting sqref="A1160">
    <cfRule type="cellIs" dxfId="2391" priority="3123" stopIfTrue="1" operator="equal">
      <formula>"Fail"</formula>
    </cfRule>
    <cfRule type="cellIs" dxfId="2390" priority="3124" stopIfTrue="1" operator="equal">
      <formula>"Pass"</formula>
    </cfRule>
  </conditionalFormatting>
  <conditionalFormatting sqref="B1160">
    <cfRule type="cellIs" dxfId="2389" priority="3119" stopIfTrue="1" operator="equal">
      <formula>"Fail"</formula>
    </cfRule>
    <cfRule type="cellIs" dxfId="2388" priority="3120" stopIfTrue="1" operator="equal">
      <formula>"Pass"</formula>
    </cfRule>
  </conditionalFormatting>
  <conditionalFormatting sqref="I1165">
    <cfRule type="cellIs" dxfId="2387" priority="3113" stopIfTrue="1" operator="equal">
      <formula>"Fail"</formula>
    </cfRule>
    <cfRule type="cellIs" dxfId="2386" priority="3114" stopIfTrue="1" operator="equal">
      <formula>"Pass"</formula>
    </cfRule>
  </conditionalFormatting>
  <conditionalFormatting sqref="C1165">
    <cfRule type="cellIs" dxfId="2385" priority="3111" stopIfTrue="1" operator="equal">
      <formula>"Fail"</formula>
    </cfRule>
    <cfRule type="cellIs" dxfId="2384" priority="3112" stopIfTrue="1" operator="equal">
      <formula>"Pass"</formula>
    </cfRule>
  </conditionalFormatting>
  <conditionalFormatting sqref="C1165:I1165 A1165">
    <cfRule type="cellIs" dxfId="2383" priority="3117" stopIfTrue="1" operator="equal">
      <formula>"Fail"</formula>
    </cfRule>
    <cfRule type="cellIs" dxfId="2382" priority="3118" stopIfTrue="1" operator="equal">
      <formula>"Pass"</formula>
    </cfRule>
  </conditionalFormatting>
  <conditionalFormatting sqref="D1165:I1165 A1165">
    <cfRule type="cellIs" dxfId="2381" priority="3115" stopIfTrue="1" operator="equal">
      <formula>"Fail"</formula>
    </cfRule>
    <cfRule type="cellIs" dxfId="2380" priority="3116" stopIfTrue="1" operator="equal">
      <formula>"Pass"</formula>
    </cfRule>
  </conditionalFormatting>
  <conditionalFormatting sqref="I1163">
    <cfRule type="cellIs" dxfId="2379" priority="3105" stopIfTrue="1" operator="equal">
      <formula>"Fail"</formula>
    </cfRule>
    <cfRule type="cellIs" dxfId="2378" priority="3106" stopIfTrue="1" operator="equal">
      <formula>"Pass"</formula>
    </cfRule>
  </conditionalFormatting>
  <conditionalFormatting sqref="C1163">
    <cfRule type="cellIs" dxfId="2377" priority="3103" stopIfTrue="1" operator="equal">
      <formula>"Fail"</formula>
    </cfRule>
    <cfRule type="cellIs" dxfId="2376" priority="3104" stopIfTrue="1" operator="equal">
      <formula>"Pass"</formula>
    </cfRule>
  </conditionalFormatting>
  <conditionalFormatting sqref="C1163:I1163 A1163">
    <cfRule type="cellIs" dxfId="2375" priority="3109" stopIfTrue="1" operator="equal">
      <formula>"Fail"</formula>
    </cfRule>
    <cfRule type="cellIs" dxfId="2374" priority="3110" stopIfTrue="1" operator="equal">
      <formula>"Pass"</formula>
    </cfRule>
  </conditionalFormatting>
  <conditionalFormatting sqref="D1163:I1163 A1163">
    <cfRule type="cellIs" dxfId="2373" priority="3107" stopIfTrue="1" operator="equal">
      <formula>"Fail"</formula>
    </cfRule>
    <cfRule type="cellIs" dxfId="2372" priority="3108" stopIfTrue="1" operator="equal">
      <formula>"Pass"</formula>
    </cfRule>
  </conditionalFormatting>
  <conditionalFormatting sqref="I1181">
    <cfRule type="cellIs" dxfId="2371" priority="3097" stopIfTrue="1" operator="equal">
      <formula>"Fail"</formula>
    </cfRule>
    <cfRule type="cellIs" dxfId="2370" priority="3098" stopIfTrue="1" operator="equal">
      <formula>"Pass"</formula>
    </cfRule>
  </conditionalFormatting>
  <conditionalFormatting sqref="C1181">
    <cfRule type="cellIs" dxfId="2369" priority="3095" stopIfTrue="1" operator="equal">
      <formula>"Fail"</formula>
    </cfRule>
    <cfRule type="cellIs" dxfId="2368" priority="3096" stopIfTrue="1" operator="equal">
      <formula>"Pass"</formula>
    </cfRule>
  </conditionalFormatting>
  <conditionalFormatting sqref="C1181:I1181 A1181">
    <cfRule type="cellIs" dxfId="2367" priority="3101" stopIfTrue="1" operator="equal">
      <formula>"Fail"</formula>
    </cfRule>
    <cfRule type="cellIs" dxfId="2366" priority="3102" stopIfTrue="1" operator="equal">
      <formula>"Pass"</formula>
    </cfRule>
  </conditionalFormatting>
  <conditionalFormatting sqref="D1181:I1181 A1181">
    <cfRule type="cellIs" dxfId="2365" priority="3099" stopIfTrue="1" operator="equal">
      <formula>"Fail"</formula>
    </cfRule>
    <cfRule type="cellIs" dxfId="2364" priority="3100" stopIfTrue="1" operator="equal">
      <formula>"Pass"</formula>
    </cfRule>
  </conditionalFormatting>
  <conditionalFormatting sqref="C1166:I1166 A1166">
    <cfRule type="cellIs" dxfId="2363" priority="3085" stopIfTrue="1" operator="equal">
      <formula>"Fail"</formula>
    </cfRule>
    <cfRule type="cellIs" dxfId="2362" priority="3086" stopIfTrue="1" operator="equal">
      <formula>"Pass"</formula>
    </cfRule>
  </conditionalFormatting>
  <conditionalFormatting sqref="D1166:I1166 A1166">
    <cfRule type="cellIs" dxfId="2361" priority="3083" stopIfTrue="1" operator="equal">
      <formula>"Fail"</formula>
    </cfRule>
    <cfRule type="cellIs" dxfId="2360" priority="3084" stopIfTrue="1" operator="equal">
      <formula>"Pass"</formula>
    </cfRule>
  </conditionalFormatting>
  <conditionalFormatting sqref="I1166">
    <cfRule type="cellIs" dxfId="2359" priority="3081" stopIfTrue="1" operator="equal">
      <formula>"Fail"</formula>
    </cfRule>
    <cfRule type="cellIs" dxfId="2358" priority="3082" stopIfTrue="1" operator="equal">
      <formula>"Pass"</formula>
    </cfRule>
  </conditionalFormatting>
  <conditionalFormatting sqref="C1166">
    <cfRule type="cellIs" dxfId="2357" priority="3079" stopIfTrue="1" operator="equal">
      <formula>"Fail"</formula>
    </cfRule>
    <cfRule type="cellIs" dxfId="2356" priority="3080" stopIfTrue="1" operator="equal">
      <formula>"Pass"</formula>
    </cfRule>
  </conditionalFormatting>
  <conditionalFormatting sqref="C1168:I1168 A1168">
    <cfRule type="cellIs" dxfId="2355" priority="3077" stopIfTrue="1" operator="equal">
      <formula>"Fail"</formula>
    </cfRule>
    <cfRule type="cellIs" dxfId="2354" priority="3078" stopIfTrue="1" operator="equal">
      <formula>"Pass"</formula>
    </cfRule>
  </conditionalFormatting>
  <conditionalFormatting sqref="D1168:I1168 A1168">
    <cfRule type="cellIs" dxfId="2353" priority="3075" stopIfTrue="1" operator="equal">
      <formula>"Fail"</formula>
    </cfRule>
    <cfRule type="cellIs" dxfId="2352" priority="3076" stopIfTrue="1" operator="equal">
      <formula>"Pass"</formula>
    </cfRule>
  </conditionalFormatting>
  <conditionalFormatting sqref="I1168">
    <cfRule type="cellIs" dxfId="2351" priority="3073" stopIfTrue="1" operator="equal">
      <formula>"Fail"</formula>
    </cfRule>
    <cfRule type="cellIs" dxfId="2350" priority="3074" stopIfTrue="1" operator="equal">
      <formula>"Pass"</formula>
    </cfRule>
  </conditionalFormatting>
  <conditionalFormatting sqref="C1168">
    <cfRule type="cellIs" dxfId="2349" priority="3071" stopIfTrue="1" operator="equal">
      <formula>"Fail"</formula>
    </cfRule>
    <cfRule type="cellIs" dxfId="2348" priority="3072" stopIfTrue="1" operator="equal">
      <formula>"Pass"</formula>
    </cfRule>
  </conditionalFormatting>
  <conditionalFormatting sqref="I1167">
    <cfRule type="cellIs" dxfId="2347" priority="3065" stopIfTrue="1" operator="equal">
      <formula>"Fail"</formula>
    </cfRule>
    <cfRule type="cellIs" dxfId="2346" priority="3066" stopIfTrue="1" operator="equal">
      <formula>"Pass"</formula>
    </cfRule>
  </conditionalFormatting>
  <conditionalFormatting sqref="C1167">
    <cfRule type="cellIs" dxfId="2345" priority="3063" stopIfTrue="1" operator="equal">
      <formula>"Fail"</formula>
    </cfRule>
    <cfRule type="cellIs" dxfId="2344" priority="3064" stopIfTrue="1" operator="equal">
      <formula>"Pass"</formula>
    </cfRule>
  </conditionalFormatting>
  <conditionalFormatting sqref="C1167:I1167 A1167">
    <cfRule type="cellIs" dxfId="2343" priority="3069" stopIfTrue="1" operator="equal">
      <formula>"Fail"</formula>
    </cfRule>
    <cfRule type="cellIs" dxfId="2342" priority="3070" stopIfTrue="1" operator="equal">
      <formula>"Pass"</formula>
    </cfRule>
  </conditionalFormatting>
  <conditionalFormatting sqref="D1167:I1167 A1167">
    <cfRule type="cellIs" dxfId="2341" priority="3067" stopIfTrue="1" operator="equal">
      <formula>"Fail"</formula>
    </cfRule>
    <cfRule type="cellIs" dxfId="2340" priority="3068" stopIfTrue="1" operator="equal">
      <formula>"Pass"</formula>
    </cfRule>
  </conditionalFormatting>
  <conditionalFormatting sqref="I1169">
    <cfRule type="cellIs" dxfId="2339" priority="3057" stopIfTrue="1" operator="equal">
      <formula>"Fail"</formula>
    </cfRule>
    <cfRule type="cellIs" dxfId="2338" priority="3058" stopIfTrue="1" operator="equal">
      <formula>"Pass"</formula>
    </cfRule>
  </conditionalFormatting>
  <conditionalFormatting sqref="C1169">
    <cfRule type="cellIs" dxfId="2337" priority="3055" stopIfTrue="1" operator="equal">
      <formula>"Fail"</formula>
    </cfRule>
    <cfRule type="cellIs" dxfId="2336" priority="3056" stopIfTrue="1" operator="equal">
      <formula>"Pass"</formula>
    </cfRule>
  </conditionalFormatting>
  <conditionalFormatting sqref="C1169:I1169 A1169">
    <cfRule type="cellIs" dxfId="2335" priority="3061" stopIfTrue="1" operator="equal">
      <formula>"Fail"</formula>
    </cfRule>
    <cfRule type="cellIs" dxfId="2334" priority="3062" stopIfTrue="1" operator="equal">
      <formula>"Pass"</formula>
    </cfRule>
  </conditionalFormatting>
  <conditionalFormatting sqref="D1169:I1169 A1169">
    <cfRule type="cellIs" dxfId="2333" priority="3059" stopIfTrue="1" operator="equal">
      <formula>"Fail"</formula>
    </cfRule>
    <cfRule type="cellIs" dxfId="2332" priority="3060" stopIfTrue="1" operator="equal">
      <formula>"Pass"</formula>
    </cfRule>
  </conditionalFormatting>
  <conditionalFormatting sqref="A1170 D1170:I1170">
    <cfRule type="cellIs" dxfId="2331" priority="3051" stopIfTrue="1" operator="equal">
      <formula>"Fail"</formula>
    </cfRule>
    <cfRule type="cellIs" dxfId="2330" priority="3052" stopIfTrue="1" operator="equal">
      <formula>"Pass"</formula>
    </cfRule>
  </conditionalFormatting>
  <conditionalFormatting sqref="A1170 C1170:I1170">
    <cfRule type="cellIs" dxfId="2329" priority="3053" stopIfTrue="1" operator="equal">
      <formula>"Fail"</formula>
    </cfRule>
    <cfRule type="cellIs" dxfId="2328" priority="3054" stopIfTrue="1" operator="equal">
      <formula>"Pass"</formula>
    </cfRule>
  </conditionalFormatting>
  <conditionalFormatting sqref="I1170">
    <cfRule type="cellIs" dxfId="2327" priority="3049" stopIfTrue="1" operator="equal">
      <formula>"Fail"</formula>
    </cfRule>
    <cfRule type="cellIs" dxfId="2326" priority="3050" stopIfTrue="1" operator="equal">
      <formula>"Pass"</formula>
    </cfRule>
  </conditionalFormatting>
  <conditionalFormatting sqref="C1170">
    <cfRule type="cellIs" dxfId="2325" priority="3047" stopIfTrue="1" operator="equal">
      <formula>"Fail"</formula>
    </cfRule>
    <cfRule type="cellIs" dxfId="2324" priority="3048" stopIfTrue="1" operator="equal">
      <formula>"Pass"</formula>
    </cfRule>
  </conditionalFormatting>
  <conditionalFormatting sqref="A1171">
    <cfRule type="cellIs" dxfId="2323" priority="3039" stopIfTrue="1" operator="equal">
      <formula>"Fail"</formula>
    </cfRule>
    <cfRule type="cellIs" dxfId="2322" priority="3040" stopIfTrue="1" operator="equal">
      <formula>"Pass"</formula>
    </cfRule>
  </conditionalFormatting>
  <conditionalFormatting sqref="C1171">
    <cfRule type="cellIs" dxfId="2321" priority="3037" stopIfTrue="1" operator="equal">
      <formula>"Fail"</formula>
    </cfRule>
    <cfRule type="cellIs" dxfId="2320" priority="3038" stopIfTrue="1" operator="equal">
      <formula>"Pass"</formula>
    </cfRule>
  </conditionalFormatting>
  <conditionalFormatting sqref="C1171">
    <cfRule type="cellIs" dxfId="2319" priority="3031" stopIfTrue="1" operator="equal">
      <formula>"Fail"</formula>
    </cfRule>
    <cfRule type="cellIs" dxfId="2318" priority="3032" stopIfTrue="1" operator="equal">
      <formula>"Pass"</formula>
    </cfRule>
  </conditionalFormatting>
  <conditionalFormatting sqref="C1171:D1171 A1171">
    <cfRule type="cellIs" dxfId="2317" priority="3035" stopIfTrue="1" operator="equal">
      <formula>"Fail"</formula>
    </cfRule>
    <cfRule type="cellIs" dxfId="2316" priority="3036" stopIfTrue="1" operator="equal">
      <formula>"Pass"</formula>
    </cfRule>
  </conditionalFormatting>
  <conditionalFormatting sqref="D1171 A1171">
    <cfRule type="cellIs" dxfId="2315" priority="3033" stopIfTrue="1" operator="equal">
      <formula>"Fail"</formula>
    </cfRule>
    <cfRule type="cellIs" dxfId="2314" priority="3034" stopIfTrue="1" operator="equal">
      <formula>"Pass"</formula>
    </cfRule>
  </conditionalFormatting>
  <conditionalFormatting sqref="D1171 A1171">
    <cfRule type="cellIs" dxfId="2313" priority="3021" stopIfTrue="1" operator="equal">
      <formula>"Fail"</formula>
    </cfRule>
    <cfRule type="cellIs" dxfId="2312" priority="3022" stopIfTrue="1" operator="equal">
      <formula>"Pass"</formula>
    </cfRule>
  </conditionalFormatting>
  <conditionalFormatting sqref="C1171:D1171 A1171">
    <cfRule type="cellIs" dxfId="2311" priority="3023" stopIfTrue="1" operator="equal">
      <formula>"Fail"</formula>
    </cfRule>
    <cfRule type="cellIs" dxfId="2310" priority="3024" stopIfTrue="1" operator="equal">
      <formula>"Pass"</formula>
    </cfRule>
  </conditionalFormatting>
  <conditionalFormatting sqref="C1171">
    <cfRule type="cellIs" dxfId="2309" priority="3017" stopIfTrue="1" operator="equal">
      <formula>"Fail"</formula>
    </cfRule>
    <cfRule type="cellIs" dxfId="2308" priority="3018" stopIfTrue="1" operator="equal">
      <formula>"Pass"</formula>
    </cfRule>
  </conditionalFormatting>
  <conditionalFormatting sqref="A1173">
    <cfRule type="cellIs" dxfId="2307" priority="3013" stopIfTrue="1" operator="equal">
      <formula>"Fail"</formula>
    </cfRule>
    <cfRule type="cellIs" dxfId="2306" priority="3014" stopIfTrue="1" operator="equal">
      <formula>"Pass"</formula>
    </cfRule>
  </conditionalFormatting>
  <conditionalFormatting sqref="C1173">
    <cfRule type="cellIs" dxfId="2305" priority="3009" stopIfTrue="1" operator="equal">
      <formula>"Fail"</formula>
    </cfRule>
    <cfRule type="cellIs" dxfId="2304" priority="3010" stopIfTrue="1" operator="equal">
      <formula>"Pass"</formula>
    </cfRule>
  </conditionalFormatting>
  <conditionalFormatting sqref="C1173">
    <cfRule type="cellIs" dxfId="2303" priority="3003" stopIfTrue="1" operator="equal">
      <formula>"Fail"</formula>
    </cfRule>
    <cfRule type="cellIs" dxfId="2302" priority="3004" stopIfTrue="1" operator="equal">
      <formula>"Pass"</formula>
    </cfRule>
  </conditionalFormatting>
  <conditionalFormatting sqref="A1173 C1173:D1173 F1173:H1173">
    <cfRule type="cellIs" dxfId="2301" priority="3007" stopIfTrue="1" operator="equal">
      <formula>"Fail"</formula>
    </cfRule>
    <cfRule type="cellIs" dxfId="2300" priority="3008" stopIfTrue="1" operator="equal">
      <formula>"Pass"</formula>
    </cfRule>
  </conditionalFormatting>
  <conditionalFormatting sqref="A1173 D1173 F1173:H1173">
    <cfRule type="cellIs" dxfId="2299" priority="3005" stopIfTrue="1" operator="equal">
      <formula>"Fail"</formula>
    </cfRule>
    <cfRule type="cellIs" dxfId="2298" priority="3006" stopIfTrue="1" operator="equal">
      <formula>"Pass"</formula>
    </cfRule>
  </conditionalFormatting>
  <conditionalFormatting sqref="I1173">
    <cfRule type="cellIs" dxfId="2297" priority="2997" stopIfTrue="1" operator="equal">
      <formula>"Fail"</formula>
    </cfRule>
    <cfRule type="cellIs" dxfId="2296" priority="2998" stopIfTrue="1" operator="equal">
      <formula>"Pass"</formula>
    </cfRule>
  </conditionalFormatting>
  <conditionalFormatting sqref="I1173">
    <cfRule type="cellIs" dxfId="2295" priority="3001" stopIfTrue="1" operator="equal">
      <formula>"Fail"</formula>
    </cfRule>
    <cfRule type="cellIs" dxfId="2294" priority="3002" stopIfTrue="1" operator="equal">
      <formula>"Pass"</formula>
    </cfRule>
  </conditionalFormatting>
  <conditionalFormatting sqref="I1173">
    <cfRule type="cellIs" dxfId="2293" priority="2999" stopIfTrue="1" operator="equal">
      <formula>"Fail"</formula>
    </cfRule>
    <cfRule type="cellIs" dxfId="2292" priority="3000" stopIfTrue="1" operator="equal">
      <formula>"Pass"</formula>
    </cfRule>
  </conditionalFormatting>
  <conditionalFormatting sqref="I1172">
    <cfRule type="cellIs" dxfId="2291" priority="2991" stopIfTrue="1" operator="equal">
      <formula>"Fail"</formula>
    </cfRule>
    <cfRule type="cellIs" dxfId="2290" priority="2992" stopIfTrue="1" operator="equal">
      <formula>"Pass"</formula>
    </cfRule>
  </conditionalFormatting>
  <conditionalFormatting sqref="C1172">
    <cfRule type="cellIs" dxfId="2289" priority="2989" stopIfTrue="1" operator="equal">
      <formula>"Fail"</formula>
    </cfRule>
    <cfRule type="cellIs" dxfId="2288" priority="2990" stopIfTrue="1" operator="equal">
      <formula>"Pass"</formula>
    </cfRule>
  </conditionalFormatting>
  <conditionalFormatting sqref="C1172:D1172 A1172 F1172:I1172">
    <cfRule type="cellIs" dxfId="2287" priority="2995" stopIfTrue="1" operator="equal">
      <formula>"Fail"</formula>
    </cfRule>
    <cfRule type="cellIs" dxfId="2286" priority="2996" stopIfTrue="1" operator="equal">
      <formula>"Pass"</formula>
    </cfRule>
  </conditionalFormatting>
  <conditionalFormatting sqref="D1172 A1172 F1172:I1172">
    <cfRule type="cellIs" dxfId="2285" priority="2993" stopIfTrue="1" operator="equal">
      <formula>"Fail"</formula>
    </cfRule>
    <cfRule type="cellIs" dxfId="2284" priority="2994" stopIfTrue="1" operator="equal">
      <formula>"Pass"</formula>
    </cfRule>
  </conditionalFormatting>
  <conditionalFormatting sqref="E1172">
    <cfRule type="cellIs" dxfId="2283" priority="2987" stopIfTrue="1" operator="equal">
      <formula>"Fail"</formula>
    </cfRule>
    <cfRule type="cellIs" dxfId="2282" priority="2988" stopIfTrue="1" operator="equal">
      <formula>"Pass"</formula>
    </cfRule>
  </conditionalFormatting>
  <conditionalFormatting sqref="I1174">
    <cfRule type="cellIs" dxfId="2281" priority="2979" stopIfTrue="1" operator="equal">
      <formula>"Fail"</formula>
    </cfRule>
    <cfRule type="cellIs" dxfId="2280" priority="2980" stopIfTrue="1" operator="equal">
      <formula>"Pass"</formula>
    </cfRule>
  </conditionalFormatting>
  <conditionalFormatting sqref="I1174">
    <cfRule type="cellIs" dxfId="2279" priority="2983" stopIfTrue="1" operator="equal">
      <formula>"Fail"</formula>
    </cfRule>
    <cfRule type="cellIs" dxfId="2278" priority="2984" stopIfTrue="1" operator="equal">
      <formula>"Pass"</formula>
    </cfRule>
  </conditionalFormatting>
  <conditionalFormatting sqref="I1174">
    <cfRule type="cellIs" dxfId="2277" priority="2981" stopIfTrue="1" operator="equal">
      <formula>"Fail"</formula>
    </cfRule>
    <cfRule type="cellIs" dxfId="2276" priority="2982" stopIfTrue="1" operator="equal">
      <formula>"Pass"</formula>
    </cfRule>
  </conditionalFormatting>
  <conditionalFormatting sqref="A1174">
    <cfRule type="cellIs" dxfId="2275" priority="2985" stopIfTrue="1" operator="equal">
      <formula>"Fail"</formula>
    </cfRule>
    <cfRule type="cellIs" dxfId="2274" priority="2986" stopIfTrue="1" operator="equal">
      <formula>"Pass"</formula>
    </cfRule>
  </conditionalFormatting>
  <conditionalFormatting sqref="B1173:B1174">
    <cfRule type="cellIs" dxfId="2273" priority="2977" stopIfTrue="1" operator="equal">
      <formula>"Fail"</formula>
    </cfRule>
    <cfRule type="cellIs" dxfId="2272" priority="2978" stopIfTrue="1" operator="equal">
      <formula>"Pass"</formula>
    </cfRule>
  </conditionalFormatting>
  <conditionalFormatting sqref="C1174">
    <cfRule type="cellIs" dxfId="2271" priority="2975" stopIfTrue="1" operator="equal">
      <formula>"Fail"</formula>
    </cfRule>
    <cfRule type="cellIs" dxfId="2270" priority="2976" stopIfTrue="1" operator="equal">
      <formula>"Pass"</formula>
    </cfRule>
  </conditionalFormatting>
  <conditionalFormatting sqref="C1176:C1177">
    <cfRule type="cellIs" dxfId="2269" priority="2949" stopIfTrue="1" operator="equal">
      <formula>"Fail"</formula>
    </cfRule>
    <cfRule type="cellIs" dxfId="2268" priority="2950" stopIfTrue="1" operator="equal">
      <formula>"Pass"</formula>
    </cfRule>
  </conditionalFormatting>
  <conditionalFormatting sqref="C1176:D1176 A1176:A1177 C1177">
    <cfRule type="cellIs" dxfId="2267" priority="2955" stopIfTrue="1" operator="equal">
      <formula>"Fail"</formula>
    </cfRule>
    <cfRule type="cellIs" dxfId="2266" priority="2956" stopIfTrue="1" operator="equal">
      <formula>"Pass"</formula>
    </cfRule>
  </conditionalFormatting>
  <conditionalFormatting sqref="D1176 A1176:A1177">
    <cfRule type="cellIs" dxfId="2265" priority="2953" stopIfTrue="1" operator="equal">
      <formula>"Fail"</formula>
    </cfRule>
    <cfRule type="cellIs" dxfId="2264" priority="2954" stopIfTrue="1" operator="equal">
      <formula>"Pass"</formula>
    </cfRule>
  </conditionalFormatting>
  <conditionalFormatting sqref="E1176">
    <cfRule type="cellIs" dxfId="2263" priority="2947" stopIfTrue="1" operator="equal">
      <formula>"Fail"</formula>
    </cfRule>
    <cfRule type="cellIs" dxfId="2262" priority="2948" stopIfTrue="1" operator="equal">
      <formula>"Pass"</formula>
    </cfRule>
  </conditionalFormatting>
  <conditionalFormatting sqref="A1178">
    <cfRule type="cellIs" dxfId="2261" priority="2927" stopIfTrue="1" operator="equal">
      <formula>"Fail"</formula>
    </cfRule>
    <cfRule type="cellIs" dxfId="2260" priority="2928" stopIfTrue="1" operator="equal">
      <formula>"Pass"</formula>
    </cfRule>
  </conditionalFormatting>
  <conditionalFormatting sqref="C1178">
    <cfRule type="cellIs" dxfId="2259" priority="2925" stopIfTrue="1" operator="equal">
      <formula>"Fail"</formula>
    </cfRule>
    <cfRule type="cellIs" dxfId="2258" priority="2926" stopIfTrue="1" operator="equal">
      <formula>"Pass"</formula>
    </cfRule>
  </conditionalFormatting>
  <conditionalFormatting sqref="C1178">
    <cfRule type="cellIs" dxfId="2257" priority="2919" stopIfTrue="1" operator="equal">
      <formula>"Fail"</formula>
    </cfRule>
    <cfRule type="cellIs" dxfId="2256" priority="2920" stopIfTrue="1" operator="equal">
      <formula>"Pass"</formula>
    </cfRule>
  </conditionalFormatting>
  <conditionalFormatting sqref="C1178:D1178 A1178">
    <cfRule type="cellIs" dxfId="2255" priority="2923" stopIfTrue="1" operator="equal">
      <formula>"Fail"</formula>
    </cfRule>
    <cfRule type="cellIs" dxfId="2254" priority="2924" stopIfTrue="1" operator="equal">
      <formula>"Pass"</formula>
    </cfRule>
  </conditionalFormatting>
  <conditionalFormatting sqref="D1178 A1178">
    <cfRule type="cellIs" dxfId="2253" priority="2921" stopIfTrue="1" operator="equal">
      <formula>"Fail"</formula>
    </cfRule>
    <cfRule type="cellIs" dxfId="2252" priority="2922" stopIfTrue="1" operator="equal">
      <formula>"Pass"</formula>
    </cfRule>
  </conditionalFormatting>
  <conditionalFormatting sqref="D1178 A1178">
    <cfRule type="cellIs" dxfId="2251" priority="2909" stopIfTrue="1" operator="equal">
      <formula>"Fail"</formula>
    </cfRule>
    <cfRule type="cellIs" dxfId="2250" priority="2910" stopIfTrue="1" operator="equal">
      <formula>"Pass"</formula>
    </cfRule>
  </conditionalFormatting>
  <conditionalFormatting sqref="C1178:D1178 A1178">
    <cfRule type="cellIs" dxfId="2249" priority="2911" stopIfTrue="1" operator="equal">
      <formula>"Fail"</formula>
    </cfRule>
    <cfRule type="cellIs" dxfId="2248" priority="2912" stopIfTrue="1" operator="equal">
      <formula>"Pass"</formula>
    </cfRule>
  </conditionalFormatting>
  <conditionalFormatting sqref="C1178">
    <cfRule type="cellIs" dxfId="2247" priority="2905" stopIfTrue="1" operator="equal">
      <formula>"Fail"</formula>
    </cfRule>
    <cfRule type="cellIs" dxfId="2246" priority="2906" stopIfTrue="1" operator="equal">
      <formula>"Pass"</formula>
    </cfRule>
  </conditionalFormatting>
  <conditionalFormatting sqref="I1179">
    <cfRule type="cellIs" dxfId="2245" priority="2895" stopIfTrue="1" operator="equal">
      <formula>"Fail"</formula>
    </cfRule>
    <cfRule type="cellIs" dxfId="2244" priority="2896" stopIfTrue="1" operator="equal">
      <formula>"Pass"</formula>
    </cfRule>
  </conditionalFormatting>
  <conditionalFormatting sqref="I1179">
    <cfRule type="cellIs" dxfId="2243" priority="2899" stopIfTrue="1" operator="equal">
      <formula>"Fail"</formula>
    </cfRule>
    <cfRule type="cellIs" dxfId="2242" priority="2900" stopIfTrue="1" operator="equal">
      <formula>"Pass"</formula>
    </cfRule>
  </conditionalFormatting>
  <conditionalFormatting sqref="I1179">
    <cfRule type="cellIs" dxfId="2241" priority="2897" stopIfTrue="1" operator="equal">
      <formula>"Fail"</formula>
    </cfRule>
    <cfRule type="cellIs" dxfId="2240" priority="2898" stopIfTrue="1" operator="equal">
      <formula>"Pass"</formula>
    </cfRule>
  </conditionalFormatting>
  <conditionalFormatting sqref="A1179">
    <cfRule type="cellIs" dxfId="2239" priority="2901" stopIfTrue="1" operator="equal">
      <formula>"Fail"</formula>
    </cfRule>
    <cfRule type="cellIs" dxfId="2238" priority="2902" stopIfTrue="1" operator="equal">
      <formula>"Pass"</formula>
    </cfRule>
  </conditionalFormatting>
  <conditionalFormatting sqref="B1179">
    <cfRule type="cellIs" dxfId="2237" priority="2893" stopIfTrue="1" operator="equal">
      <formula>"Fail"</formula>
    </cfRule>
    <cfRule type="cellIs" dxfId="2236" priority="2894" stopIfTrue="1" operator="equal">
      <formula>"Pass"</formula>
    </cfRule>
  </conditionalFormatting>
  <conditionalFormatting sqref="C1179">
    <cfRule type="cellIs" dxfId="2235" priority="2891" stopIfTrue="1" operator="equal">
      <formula>"Fail"</formula>
    </cfRule>
    <cfRule type="cellIs" dxfId="2234" priority="2892" stopIfTrue="1" operator="equal">
      <formula>"Pass"</formula>
    </cfRule>
  </conditionalFormatting>
  <conditionalFormatting sqref="A1175 C1175:I1175">
    <cfRule type="cellIs" dxfId="2233" priority="2889" stopIfTrue="1" operator="equal">
      <formula>"Fail"</formula>
    </cfRule>
    <cfRule type="cellIs" dxfId="2232" priority="2890" stopIfTrue="1" operator="equal">
      <formula>"Pass"</formula>
    </cfRule>
  </conditionalFormatting>
  <conditionalFormatting sqref="B1175">
    <cfRule type="cellIs" dxfId="2231" priority="2887" stopIfTrue="1" operator="equal">
      <formula>"Fail"</formula>
    </cfRule>
    <cfRule type="cellIs" dxfId="2230" priority="2888" stopIfTrue="1" operator="equal">
      <formula>"Pass"</formula>
    </cfRule>
  </conditionalFormatting>
  <conditionalFormatting sqref="A1180 C1180:I1180">
    <cfRule type="cellIs" dxfId="2229" priority="2885" stopIfTrue="1" operator="equal">
      <formula>"Fail"</formula>
    </cfRule>
    <cfRule type="cellIs" dxfId="2228" priority="2886" stopIfTrue="1" operator="equal">
      <formula>"Pass"</formula>
    </cfRule>
  </conditionalFormatting>
  <conditionalFormatting sqref="B1180">
    <cfRule type="cellIs" dxfId="2227" priority="2883" stopIfTrue="1" operator="equal">
      <formula>"Fail"</formula>
    </cfRule>
    <cfRule type="cellIs" dxfId="2226" priority="2884" stopIfTrue="1" operator="equal">
      <formula>"Pass"</formula>
    </cfRule>
  </conditionalFormatting>
  <conditionalFormatting sqref="I1183">
    <cfRule type="cellIs" dxfId="2225" priority="2861" stopIfTrue="1" operator="equal">
      <formula>"Fail"</formula>
    </cfRule>
    <cfRule type="cellIs" dxfId="2224" priority="2862" stopIfTrue="1" operator="equal">
      <formula>"Pass"</formula>
    </cfRule>
  </conditionalFormatting>
  <conditionalFormatting sqref="C1183">
    <cfRule type="cellIs" dxfId="2223" priority="2859" stopIfTrue="1" operator="equal">
      <formula>"Fail"</formula>
    </cfRule>
    <cfRule type="cellIs" dxfId="2222" priority="2860" stopIfTrue="1" operator="equal">
      <formula>"Pass"</formula>
    </cfRule>
  </conditionalFormatting>
  <conditionalFormatting sqref="C1183:I1183 A1183">
    <cfRule type="cellIs" dxfId="2221" priority="2865" stopIfTrue="1" operator="equal">
      <formula>"Fail"</formula>
    </cfRule>
    <cfRule type="cellIs" dxfId="2220" priority="2866" stopIfTrue="1" operator="equal">
      <formula>"Pass"</formula>
    </cfRule>
  </conditionalFormatting>
  <conditionalFormatting sqref="D1183:I1183 A1183">
    <cfRule type="cellIs" dxfId="2219" priority="2863" stopIfTrue="1" operator="equal">
      <formula>"Fail"</formula>
    </cfRule>
    <cfRule type="cellIs" dxfId="2218" priority="2864" stopIfTrue="1" operator="equal">
      <formula>"Pass"</formula>
    </cfRule>
  </conditionalFormatting>
  <conditionalFormatting sqref="I1200">
    <cfRule type="cellIs" dxfId="2217" priority="2853" stopIfTrue="1" operator="equal">
      <formula>"Fail"</formula>
    </cfRule>
    <cfRule type="cellIs" dxfId="2216" priority="2854" stopIfTrue="1" operator="equal">
      <formula>"Pass"</formula>
    </cfRule>
  </conditionalFormatting>
  <conditionalFormatting sqref="C1200">
    <cfRule type="cellIs" dxfId="2215" priority="2851" stopIfTrue="1" operator="equal">
      <formula>"Fail"</formula>
    </cfRule>
    <cfRule type="cellIs" dxfId="2214" priority="2852" stopIfTrue="1" operator="equal">
      <formula>"Pass"</formula>
    </cfRule>
  </conditionalFormatting>
  <conditionalFormatting sqref="C1200:I1200 A1200">
    <cfRule type="cellIs" dxfId="2213" priority="2857" stopIfTrue="1" operator="equal">
      <formula>"Fail"</formula>
    </cfRule>
    <cfRule type="cellIs" dxfId="2212" priority="2858" stopIfTrue="1" operator="equal">
      <formula>"Pass"</formula>
    </cfRule>
  </conditionalFormatting>
  <conditionalFormatting sqref="D1200:I1200 A1200">
    <cfRule type="cellIs" dxfId="2211" priority="2855" stopIfTrue="1" operator="equal">
      <formula>"Fail"</formula>
    </cfRule>
    <cfRule type="cellIs" dxfId="2210" priority="2856" stopIfTrue="1" operator="equal">
      <formula>"Pass"</formula>
    </cfRule>
  </conditionalFormatting>
  <conditionalFormatting sqref="I1184">
    <cfRule type="cellIs" dxfId="2209" priority="2821" stopIfTrue="1" operator="equal">
      <formula>"Fail"</formula>
    </cfRule>
    <cfRule type="cellIs" dxfId="2208" priority="2822" stopIfTrue="1" operator="equal">
      <formula>"Pass"</formula>
    </cfRule>
  </conditionalFormatting>
  <conditionalFormatting sqref="C1184">
    <cfRule type="cellIs" dxfId="2207" priority="2819" stopIfTrue="1" operator="equal">
      <formula>"Fail"</formula>
    </cfRule>
    <cfRule type="cellIs" dxfId="2206" priority="2820" stopIfTrue="1" operator="equal">
      <formula>"Pass"</formula>
    </cfRule>
  </conditionalFormatting>
  <conditionalFormatting sqref="C1184:I1184 A1184">
    <cfRule type="cellIs" dxfId="2205" priority="2825" stopIfTrue="1" operator="equal">
      <formula>"Fail"</formula>
    </cfRule>
    <cfRule type="cellIs" dxfId="2204" priority="2826" stopIfTrue="1" operator="equal">
      <formula>"Pass"</formula>
    </cfRule>
  </conditionalFormatting>
  <conditionalFormatting sqref="D1184:I1184 A1184">
    <cfRule type="cellIs" dxfId="2203" priority="2823" stopIfTrue="1" operator="equal">
      <formula>"Fail"</formula>
    </cfRule>
    <cfRule type="cellIs" dxfId="2202" priority="2824" stopIfTrue="1" operator="equal">
      <formula>"Pass"</formula>
    </cfRule>
  </conditionalFormatting>
  <conditionalFormatting sqref="A1185 D1185:I1185">
    <cfRule type="cellIs" dxfId="2201" priority="2815" stopIfTrue="1" operator="equal">
      <formula>"Fail"</formula>
    </cfRule>
    <cfRule type="cellIs" dxfId="2200" priority="2816" stopIfTrue="1" operator="equal">
      <formula>"Pass"</formula>
    </cfRule>
  </conditionalFormatting>
  <conditionalFormatting sqref="A1185 C1185:I1185">
    <cfRule type="cellIs" dxfId="2199" priority="2817" stopIfTrue="1" operator="equal">
      <formula>"Fail"</formula>
    </cfRule>
    <cfRule type="cellIs" dxfId="2198" priority="2818" stopIfTrue="1" operator="equal">
      <formula>"Pass"</formula>
    </cfRule>
  </conditionalFormatting>
  <conditionalFormatting sqref="I1185">
    <cfRule type="cellIs" dxfId="2197" priority="2813" stopIfTrue="1" operator="equal">
      <formula>"Fail"</formula>
    </cfRule>
    <cfRule type="cellIs" dxfId="2196" priority="2814" stopIfTrue="1" operator="equal">
      <formula>"Pass"</formula>
    </cfRule>
  </conditionalFormatting>
  <conditionalFormatting sqref="C1185">
    <cfRule type="cellIs" dxfId="2195" priority="2811" stopIfTrue="1" operator="equal">
      <formula>"Fail"</formula>
    </cfRule>
    <cfRule type="cellIs" dxfId="2194" priority="2812" stopIfTrue="1" operator="equal">
      <formula>"Pass"</formula>
    </cfRule>
  </conditionalFormatting>
  <conditionalFormatting sqref="A1186">
    <cfRule type="cellIs" dxfId="2193" priority="2803" stopIfTrue="1" operator="equal">
      <formula>"Fail"</formula>
    </cfRule>
    <cfRule type="cellIs" dxfId="2192" priority="2804" stopIfTrue="1" operator="equal">
      <formula>"Pass"</formula>
    </cfRule>
  </conditionalFormatting>
  <conditionalFormatting sqref="C1186">
    <cfRule type="cellIs" dxfId="2191" priority="2801" stopIfTrue="1" operator="equal">
      <formula>"Fail"</formula>
    </cfRule>
    <cfRule type="cellIs" dxfId="2190" priority="2802" stopIfTrue="1" operator="equal">
      <formula>"Pass"</formula>
    </cfRule>
  </conditionalFormatting>
  <conditionalFormatting sqref="C1186">
    <cfRule type="cellIs" dxfId="2189" priority="2795" stopIfTrue="1" operator="equal">
      <formula>"Fail"</formula>
    </cfRule>
    <cfRule type="cellIs" dxfId="2188" priority="2796" stopIfTrue="1" operator="equal">
      <formula>"Pass"</formula>
    </cfRule>
  </conditionalFormatting>
  <conditionalFormatting sqref="C1186:D1186 A1186">
    <cfRule type="cellIs" dxfId="2187" priority="2799" stopIfTrue="1" operator="equal">
      <formula>"Fail"</formula>
    </cfRule>
    <cfRule type="cellIs" dxfId="2186" priority="2800" stopIfTrue="1" operator="equal">
      <formula>"Pass"</formula>
    </cfRule>
  </conditionalFormatting>
  <conditionalFormatting sqref="D1186 A1186">
    <cfRule type="cellIs" dxfId="2185" priority="2797" stopIfTrue="1" operator="equal">
      <formula>"Fail"</formula>
    </cfRule>
    <cfRule type="cellIs" dxfId="2184" priority="2798" stopIfTrue="1" operator="equal">
      <formula>"Pass"</formula>
    </cfRule>
  </conditionalFormatting>
  <conditionalFormatting sqref="D1186 A1186">
    <cfRule type="cellIs" dxfId="2183" priority="2785" stopIfTrue="1" operator="equal">
      <formula>"Fail"</formula>
    </cfRule>
    <cfRule type="cellIs" dxfId="2182" priority="2786" stopIfTrue="1" operator="equal">
      <formula>"Pass"</formula>
    </cfRule>
  </conditionalFormatting>
  <conditionalFormatting sqref="C1186:D1186 A1186">
    <cfRule type="cellIs" dxfId="2181" priority="2787" stopIfTrue="1" operator="equal">
      <formula>"Fail"</formula>
    </cfRule>
    <cfRule type="cellIs" dxfId="2180" priority="2788" stopIfTrue="1" operator="equal">
      <formula>"Pass"</formula>
    </cfRule>
  </conditionalFormatting>
  <conditionalFormatting sqref="C1186">
    <cfRule type="cellIs" dxfId="2179" priority="2781" stopIfTrue="1" operator="equal">
      <formula>"Fail"</formula>
    </cfRule>
    <cfRule type="cellIs" dxfId="2178" priority="2782" stopIfTrue="1" operator="equal">
      <formula>"Pass"</formula>
    </cfRule>
  </conditionalFormatting>
  <conditionalFormatting sqref="A1188">
    <cfRule type="cellIs" dxfId="2177" priority="2777" stopIfTrue="1" operator="equal">
      <formula>"Fail"</formula>
    </cfRule>
    <cfRule type="cellIs" dxfId="2176" priority="2778" stopIfTrue="1" operator="equal">
      <formula>"Pass"</formula>
    </cfRule>
  </conditionalFormatting>
  <conditionalFormatting sqref="C1188">
    <cfRule type="cellIs" dxfId="2175" priority="2773" stopIfTrue="1" operator="equal">
      <formula>"Fail"</formula>
    </cfRule>
    <cfRule type="cellIs" dxfId="2174" priority="2774" stopIfTrue="1" operator="equal">
      <formula>"Pass"</formula>
    </cfRule>
  </conditionalFormatting>
  <conditionalFormatting sqref="C1188">
    <cfRule type="cellIs" dxfId="2173" priority="2767" stopIfTrue="1" operator="equal">
      <formula>"Fail"</formula>
    </cfRule>
    <cfRule type="cellIs" dxfId="2172" priority="2768" stopIfTrue="1" operator="equal">
      <formula>"Pass"</formula>
    </cfRule>
  </conditionalFormatting>
  <conditionalFormatting sqref="A1188 C1188:D1188 F1188:H1188">
    <cfRule type="cellIs" dxfId="2171" priority="2771" stopIfTrue="1" operator="equal">
      <formula>"Fail"</formula>
    </cfRule>
    <cfRule type="cellIs" dxfId="2170" priority="2772" stopIfTrue="1" operator="equal">
      <formula>"Pass"</formula>
    </cfRule>
  </conditionalFormatting>
  <conditionalFormatting sqref="A1188 D1188 F1188:H1188">
    <cfRule type="cellIs" dxfId="2169" priority="2769" stopIfTrue="1" operator="equal">
      <formula>"Fail"</formula>
    </cfRule>
    <cfRule type="cellIs" dxfId="2168" priority="2770" stopIfTrue="1" operator="equal">
      <formula>"Pass"</formula>
    </cfRule>
  </conditionalFormatting>
  <conditionalFormatting sqref="I1188">
    <cfRule type="cellIs" dxfId="2167" priority="2761" stopIfTrue="1" operator="equal">
      <formula>"Fail"</formula>
    </cfRule>
    <cfRule type="cellIs" dxfId="2166" priority="2762" stopIfTrue="1" operator="equal">
      <formula>"Pass"</formula>
    </cfRule>
  </conditionalFormatting>
  <conditionalFormatting sqref="I1188">
    <cfRule type="cellIs" dxfId="2165" priority="2765" stopIfTrue="1" operator="equal">
      <formula>"Fail"</formula>
    </cfRule>
    <cfRule type="cellIs" dxfId="2164" priority="2766" stopIfTrue="1" operator="equal">
      <formula>"Pass"</formula>
    </cfRule>
  </conditionalFormatting>
  <conditionalFormatting sqref="I1188">
    <cfRule type="cellIs" dxfId="2163" priority="2763" stopIfTrue="1" operator="equal">
      <formula>"Fail"</formula>
    </cfRule>
    <cfRule type="cellIs" dxfId="2162" priority="2764" stopIfTrue="1" operator="equal">
      <formula>"Pass"</formula>
    </cfRule>
  </conditionalFormatting>
  <conditionalFormatting sqref="I1187">
    <cfRule type="cellIs" dxfId="2161" priority="2755" stopIfTrue="1" operator="equal">
      <formula>"Fail"</formula>
    </cfRule>
    <cfRule type="cellIs" dxfId="2160" priority="2756" stopIfTrue="1" operator="equal">
      <formula>"Pass"</formula>
    </cfRule>
  </conditionalFormatting>
  <conditionalFormatting sqref="C1187">
    <cfRule type="cellIs" dxfId="2159" priority="2753" stopIfTrue="1" operator="equal">
      <formula>"Fail"</formula>
    </cfRule>
    <cfRule type="cellIs" dxfId="2158" priority="2754" stopIfTrue="1" operator="equal">
      <formula>"Pass"</formula>
    </cfRule>
  </conditionalFormatting>
  <conditionalFormatting sqref="C1187:D1187 A1187 F1187:I1187">
    <cfRule type="cellIs" dxfId="2157" priority="2759" stopIfTrue="1" operator="equal">
      <formula>"Fail"</formula>
    </cfRule>
    <cfRule type="cellIs" dxfId="2156" priority="2760" stopIfTrue="1" operator="equal">
      <formula>"Pass"</formula>
    </cfRule>
  </conditionalFormatting>
  <conditionalFormatting sqref="D1187 A1187 F1187:I1187">
    <cfRule type="cellIs" dxfId="2155" priority="2757" stopIfTrue="1" operator="equal">
      <formula>"Fail"</formula>
    </cfRule>
    <cfRule type="cellIs" dxfId="2154" priority="2758" stopIfTrue="1" operator="equal">
      <formula>"Pass"</formula>
    </cfRule>
  </conditionalFormatting>
  <conditionalFormatting sqref="E1187">
    <cfRule type="cellIs" dxfId="2153" priority="2751" stopIfTrue="1" operator="equal">
      <formula>"Fail"</formula>
    </cfRule>
    <cfRule type="cellIs" dxfId="2152" priority="2752" stopIfTrue="1" operator="equal">
      <formula>"Pass"</formula>
    </cfRule>
  </conditionalFormatting>
  <conditionalFormatting sqref="I1189">
    <cfRule type="cellIs" dxfId="2151" priority="2743" stopIfTrue="1" operator="equal">
      <formula>"Fail"</formula>
    </cfRule>
    <cfRule type="cellIs" dxfId="2150" priority="2744" stopIfTrue="1" operator="equal">
      <formula>"Pass"</formula>
    </cfRule>
  </conditionalFormatting>
  <conditionalFormatting sqref="I1189">
    <cfRule type="cellIs" dxfId="2149" priority="2747" stopIfTrue="1" operator="equal">
      <formula>"Fail"</formula>
    </cfRule>
    <cfRule type="cellIs" dxfId="2148" priority="2748" stopIfTrue="1" operator="equal">
      <formula>"Pass"</formula>
    </cfRule>
  </conditionalFormatting>
  <conditionalFormatting sqref="I1189">
    <cfRule type="cellIs" dxfId="2147" priority="2745" stopIfTrue="1" operator="equal">
      <formula>"Fail"</formula>
    </cfRule>
    <cfRule type="cellIs" dxfId="2146" priority="2746" stopIfTrue="1" operator="equal">
      <formula>"Pass"</formula>
    </cfRule>
  </conditionalFormatting>
  <conditionalFormatting sqref="A1189">
    <cfRule type="cellIs" dxfId="2145" priority="2749" stopIfTrue="1" operator="equal">
      <formula>"Fail"</formula>
    </cfRule>
    <cfRule type="cellIs" dxfId="2144" priority="2750" stopIfTrue="1" operator="equal">
      <formula>"Pass"</formula>
    </cfRule>
  </conditionalFormatting>
  <conditionalFormatting sqref="C1189">
    <cfRule type="cellIs" dxfId="2143" priority="2739" stopIfTrue="1" operator="equal">
      <formula>"Fail"</formula>
    </cfRule>
    <cfRule type="cellIs" dxfId="2142" priority="2740" stopIfTrue="1" operator="equal">
      <formula>"Pass"</formula>
    </cfRule>
  </conditionalFormatting>
  <conditionalFormatting sqref="C1191">
    <cfRule type="cellIs" dxfId="2141" priority="2713" stopIfTrue="1" operator="equal">
      <formula>"Fail"</formula>
    </cfRule>
    <cfRule type="cellIs" dxfId="2140" priority="2714" stopIfTrue="1" operator="equal">
      <formula>"Pass"</formula>
    </cfRule>
  </conditionalFormatting>
  <conditionalFormatting sqref="C1191:D1191 A1191">
    <cfRule type="cellIs" dxfId="2139" priority="2719" stopIfTrue="1" operator="equal">
      <formula>"Fail"</formula>
    </cfRule>
    <cfRule type="cellIs" dxfId="2138" priority="2720" stopIfTrue="1" operator="equal">
      <formula>"Pass"</formula>
    </cfRule>
  </conditionalFormatting>
  <conditionalFormatting sqref="D1191 A1191">
    <cfRule type="cellIs" dxfId="2137" priority="2717" stopIfTrue="1" operator="equal">
      <formula>"Fail"</formula>
    </cfRule>
    <cfRule type="cellIs" dxfId="2136" priority="2718" stopIfTrue="1" operator="equal">
      <formula>"Pass"</formula>
    </cfRule>
  </conditionalFormatting>
  <conditionalFormatting sqref="E1191">
    <cfRule type="cellIs" dxfId="2135" priority="2711" stopIfTrue="1" operator="equal">
      <formula>"Fail"</formula>
    </cfRule>
    <cfRule type="cellIs" dxfId="2134" priority="2712" stopIfTrue="1" operator="equal">
      <formula>"Pass"</formula>
    </cfRule>
  </conditionalFormatting>
  <conditionalFormatting sqref="A1193">
    <cfRule type="cellIs" dxfId="2133" priority="2703" stopIfTrue="1" operator="equal">
      <formula>"Fail"</formula>
    </cfRule>
    <cfRule type="cellIs" dxfId="2132" priority="2704" stopIfTrue="1" operator="equal">
      <formula>"Pass"</formula>
    </cfRule>
  </conditionalFormatting>
  <conditionalFormatting sqref="C1193">
    <cfRule type="cellIs" dxfId="2131" priority="2701" stopIfTrue="1" operator="equal">
      <formula>"Fail"</formula>
    </cfRule>
    <cfRule type="cellIs" dxfId="2130" priority="2702" stopIfTrue="1" operator="equal">
      <formula>"Pass"</formula>
    </cfRule>
  </conditionalFormatting>
  <conditionalFormatting sqref="C1193">
    <cfRule type="cellIs" dxfId="2129" priority="2695" stopIfTrue="1" operator="equal">
      <formula>"Fail"</formula>
    </cfRule>
    <cfRule type="cellIs" dxfId="2128" priority="2696" stopIfTrue="1" operator="equal">
      <formula>"Pass"</formula>
    </cfRule>
  </conditionalFormatting>
  <conditionalFormatting sqref="C1193:D1193 A1193">
    <cfRule type="cellIs" dxfId="2127" priority="2699" stopIfTrue="1" operator="equal">
      <formula>"Fail"</formula>
    </cfRule>
    <cfRule type="cellIs" dxfId="2126" priority="2700" stopIfTrue="1" operator="equal">
      <formula>"Pass"</formula>
    </cfRule>
  </conditionalFormatting>
  <conditionalFormatting sqref="D1193 A1193">
    <cfRule type="cellIs" dxfId="2125" priority="2697" stopIfTrue="1" operator="equal">
      <formula>"Fail"</formula>
    </cfRule>
    <cfRule type="cellIs" dxfId="2124" priority="2698" stopIfTrue="1" operator="equal">
      <formula>"Pass"</formula>
    </cfRule>
  </conditionalFormatting>
  <conditionalFormatting sqref="D1193 A1193">
    <cfRule type="cellIs" dxfId="2123" priority="2685" stopIfTrue="1" operator="equal">
      <formula>"Fail"</formula>
    </cfRule>
    <cfRule type="cellIs" dxfId="2122" priority="2686" stopIfTrue="1" operator="equal">
      <formula>"Pass"</formula>
    </cfRule>
  </conditionalFormatting>
  <conditionalFormatting sqref="C1193:D1193 A1193">
    <cfRule type="cellIs" dxfId="2121" priority="2687" stopIfTrue="1" operator="equal">
      <formula>"Fail"</formula>
    </cfRule>
    <cfRule type="cellIs" dxfId="2120" priority="2688" stopIfTrue="1" operator="equal">
      <formula>"Pass"</formula>
    </cfRule>
  </conditionalFormatting>
  <conditionalFormatting sqref="C1193">
    <cfRule type="cellIs" dxfId="2119" priority="2681" stopIfTrue="1" operator="equal">
      <formula>"Fail"</formula>
    </cfRule>
    <cfRule type="cellIs" dxfId="2118" priority="2682" stopIfTrue="1" operator="equal">
      <formula>"Pass"</formula>
    </cfRule>
  </conditionalFormatting>
  <conditionalFormatting sqref="I1194">
    <cfRule type="cellIs" dxfId="2117" priority="2671" stopIfTrue="1" operator="equal">
      <formula>"Fail"</formula>
    </cfRule>
    <cfRule type="cellIs" dxfId="2116" priority="2672" stopIfTrue="1" operator="equal">
      <formula>"Pass"</formula>
    </cfRule>
  </conditionalFormatting>
  <conditionalFormatting sqref="I1194">
    <cfRule type="cellIs" dxfId="2115" priority="2675" stopIfTrue="1" operator="equal">
      <formula>"Fail"</formula>
    </cfRule>
    <cfRule type="cellIs" dxfId="2114" priority="2676" stopIfTrue="1" operator="equal">
      <formula>"Pass"</formula>
    </cfRule>
  </conditionalFormatting>
  <conditionalFormatting sqref="I1194">
    <cfRule type="cellIs" dxfId="2113" priority="2673" stopIfTrue="1" operator="equal">
      <formula>"Fail"</formula>
    </cfRule>
    <cfRule type="cellIs" dxfId="2112" priority="2674" stopIfTrue="1" operator="equal">
      <formula>"Pass"</formula>
    </cfRule>
  </conditionalFormatting>
  <conditionalFormatting sqref="A1194">
    <cfRule type="cellIs" dxfId="2111" priority="2677" stopIfTrue="1" operator="equal">
      <formula>"Fail"</formula>
    </cfRule>
    <cfRule type="cellIs" dxfId="2110" priority="2678" stopIfTrue="1" operator="equal">
      <formula>"Pass"</formula>
    </cfRule>
  </conditionalFormatting>
  <conditionalFormatting sqref="C1194">
    <cfRule type="cellIs" dxfId="2109" priority="2667" stopIfTrue="1" operator="equal">
      <formula>"Fail"</formula>
    </cfRule>
    <cfRule type="cellIs" dxfId="2108" priority="2668" stopIfTrue="1" operator="equal">
      <formula>"Pass"</formula>
    </cfRule>
  </conditionalFormatting>
  <conditionalFormatting sqref="A1190 C1190:I1190">
    <cfRule type="cellIs" dxfId="2107" priority="2665" stopIfTrue="1" operator="equal">
      <formula>"Fail"</formula>
    </cfRule>
    <cfRule type="cellIs" dxfId="2106" priority="2666" stopIfTrue="1" operator="equal">
      <formula>"Pass"</formula>
    </cfRule>
  </conditionalFormatting>
  <conditionalFormatting sqref="B1190">
    <cfRule type="cellIs" dxfId="2105" priority="2663" stopIfTrue="1" operator="equal">
      <formula>"Fail"</formula>
    </cfRule>
    <cfRule type="cellIs" dxfId="2104" priority="2664" stopIfTrue="1" operator="equal">
      <formula>"Pass"</formula>
    </cfRule>
  </conditionalFormatting>
  <conditionalFormatting sqref="A1195 C1195:I1195">
    <cfRule type="cellIs" dxfId="2103" priority="2661" stopIfTrue="1" operator="equal">
      <formula>"Fail"</formula>
    </cfRule>
    <cfRule type="cellIs" dxfId="2102" priority="2662" stopIfTrue="1" operator="equal">
      <formula>"Pass"</formula>
    </cfRule>
  </conditionalFormatting>
  <conditionalFormatting sqref="B1195">
    <cfRule type="cellIs" dxfId="2101" priority="2659" stopIfTrue="1" operator="equal">
      <formula>"Fail"</formula>
    </cfRule>
    <cfRule type="cellIs" dxfId="2100" priority="2660" stopIfTrue="1" operator="equal">
      <formula>"Pass"</formula>
    </cfRule>
  </conditionalFormatting>
  <conditionalFormatting sqref="I1196">
    <cfRule type="cellIs" dxfId="2099" priority="2653" stopIfTrue="1" operator="equal">
      <formula>"Fail"</formula>
    </cfRule>
    <cfRule type="cellIs" dxfId="2098" priority="2654" stopIfTrue="1" operator="equal">
      <formula>"Pass"</formula>
    </cfRule>
  </conditionalFormatting>
  <conditionalFormatting sqref="C1196">
    <cfRule type="cellIs" dxfId="2097" priority="2651" stopIfTrue="1" operator="equal">
      <formula>"Fail"</formula>
    </cfRule>
    <cfRule type="cellIs" dxfId="2096" priority="2652" stopIfTrue="1" operator="equal">
      <formula>"Pass"</formula>
    </cfRule>
  </conditionalFormatting>
  <conditionalFormatting sqref="C1196:I1196 A1196">
    <cfRule type="cellIs" dxfId="2095" priority="2657" stopIfTrue="1" operator="equal">
      <formula>"Fail"</formula>
    </cfRule>
    <cfRule type="cellIs" dxfId="2094" priority="2658" stopIfTrue="1" operator="equal">
      <formula>"Pass"</formula>
    </cfRule>
  </conditionalFormatting>
  <conditionalFormatting sqref="D1196:I1196 A1196">
    <cfRule type="cellIs" dxfId="2093" priority="2655" stopIfTrue="1" operator="equal">
      <formula>"Fail"</formula>
    </cfRule>
    <cfRule type="cellIs" dxfId="2092" priority="2656" stopIfTrue="1" operator="equal">
      <formula>"Pass"</formula>
    </cfRule>
  </conditionalFormatting>
  <conditionalFormatting sqref="C1197:I1197 A1197">
    <cfRule type="cellIs" dxfId="2091" priority="2649" stopIfTrue="1" operator="equal">
      <formula>"Fail"</formula>
    </cfRule>
    <cfRule type="cellIs" dxfId="2090" priority="2650" stopIfTrue="1" operator="equal">
      <formula>"Pass"</formula>
    </cfRule>
  </conditionalFormatting>
  <conditionalFormatting sqref="D1197:I1197 A1197">
    <cfRule type="cellIs" dxfId="2089" priority="2647" stopIfTrue="1" operator="equal">
      <formula>"Fail"</formula>
    </cfRule>
    <cfRule type="cellIs" dxfId="2088" priority="2648" stopIfTrue="1" operator="equal">
      <formula>"Pass"</formula>
    </cfRule>
  </conditionalFormatting>
  <conditionalFormatting sqref="I1197">
    <cfRule type="cellIs" dxfId="2087" priority="2645" stopIfTrue="1" operator="equal">
      <formula>"Fail"</formula>
    </cfRule>
    <cfRule type="cellIs" dxfId="2086" priority="2646" stopIfTrue="1" operator="equal">
      <formula>"Pass"</formula>
    </cfRule>
  </conditionalFormatting>
  <conditionalFormatting sqref="C1197">
    <cfRule type="cellIs" dxfId="2085" priority="2643" stopIfTrue="1" operator="equal">
      <formula>"Fail"</formula>
    </cfRule>
    <cfRule type="cellIs" dxfId="2084" priority="2644" stopIfTrue="1" operator="equal">
      <formula>"Pass"</formula>
    </cfRule>
  </conditionalFormatting>
  <conditionalFormatting sqref="A1198 D1198:I1198">
    <cfRule type="cellIs" dxfId="2083" priority="2639" stopIfTrue="1" operator="equal">
      <formula>"Fail"</formula>
    </cfRule>
    <cfRule type="cellIs" dxfId="2082" priority="2640" stopIfTrue="1" operator="equal">
      <formula>"Pass"</formula>
    </cfRule>
  </conditionalFormatting>
  <conditionalFormatting sqref="A1198 C1198:I1198">
    <cfRule type="cellIs" dxfId="2081" priority="2641" stopIfTrue="1" operator="equal">
      <formula>"Fail"</formula>
    </cfRule>
    <cfRule type="cellIs" dxfId="2080" priority="2642" stopIfTrue="1" operator="equal">
      <formula>"Pass"</formula>
    </cfRule>
  </conditionalFormatting>
  <conditionalFormatting sqref="I1198">
    <cfRule type="cellIs" dxfId="2079" priority="2637" stopIfTrue="1" operator="equal">
      <formula>"Fail"</formula>
    </cfRule>
    <cfRule type="cellIs" dxfId="2078" priority="2638" stopIfTrue="1" operator="equal">
      <formula>"Pass"</formula>
    </cfRule>
  </conditionalFormatting>
  <conditionalFormatting sqref="C1198">
    <cfRule type="cellIs" dxfId="2077" priority="2635" stopIfTrue="1" operator="equal">
      <formula>"Fail"</formula>
    </cfRule>
    <cfRule type="cellIs" dxfId="2076" priority="2636" stopIfTrue="1" operator="equal">
      <formula>"Pass"</formula>
    </cfRule>
  </conditionalFormatting>
  <conditionalFormatting sqref="C1199:I1199 A1199">
    <cfRule type="cellIs" dxfId="2075" priority="2633" stopIfTrue="1" operator="equal">
      <formula>"Fail"</formula>
    </cfRule>
    <cfRule type="cellIs" dxfId="2074" priority="2634" stopIfTrue="1" operator="equal">
      <formula>"Pass"</formula>
    </cfRule>
  </conditionalFormatting>
  <conditionalFormatting sqref="D1199:I1199 A1199">
    <cfRule type="cellIs" dxfId="2073" priority="2631" stopIfTrue="1" operator="equal">
      <formula>"Fail"</formula>
    </cfRule>
    <cfRule type="cellIs" dxfId="2072" priority="2632" stopIfTrue="1" operator="equal">
      <formula>"Pass"</formula>
    </cfRule>
  </conditionalFormatting>
  <conditionalFormatting sqref="I1199">
    <cfRule type="cellIs" dxfId="2071" priority="2629" stopIfTrue="1" operator="equal">
      <formula>"Fail"</formula>
    </cfRule>
    <cfRule type="cellIs" dxfId="2070" priority="2630" stopIfTrue="1" operator="equal">
      <formula>"Pass"</formula>
    </cfRule>
  </conditionalFormatting>
  <conditionalFormatting sqref="C1199">
    <cfRule type="cellIs" dxfId="2069" priority="2627" stopIfTrue="1" operator="equal">
      <formula>"Fail"</formula>
    </cfRule>
    <cfRule type="cellIs" dxfId="2068" priority="2628" stopIfTrue="1" operator="equal">
      <formula>"Pass"</formula>
    </cfRule>
  </conditionalFormatting>
  <conditionalFormatting sqref="I1219">
    <cfRule type="cellIs" dxfId="2067" priority="2621" stopIfTrue="1" operator="equal">
      <formula>"Fail"</formula>
    </cfRule>
    <cfRule type="cellIs" dxfId="2066" priority="2622" stopIfTrue="1" operator="equal">
      <formula>"Pass"</formula>
    </cfRule>
  </conditionalFormatting>
  <conditionalFormatting sqref="C1219">
    <cfRule type="cellIs" dxfId="2065" priority="2619" stopIfTrue="1" operator="equal">
      <formula>"Fail"</formula>
    </cfRule>
    <cfRule type="cellIs" dxfId="2064" priority="2620" stopIfTrue="1" operator="equal">
      <formula>"Pass"</formula>
    </cfRule>
  </conditionalFormatting>
  <conditionalFormatting sqref="C1219:I1219 A1219">
    <cfRule type="cellIs" dxfId="2063" priority="2625" stopIfTrue="1" operator="equal">
      <formula>"Fail"</formula>
    </cfRule>
    <cfRule type="cellIs" dxfId="2062" priority="2626" stopIfTrue="1" operator="equal">
      <formula>"Pass"</formula>
    </cfRule>
  </conditionalFormatting>
  <conditionalFormatting sqref="D1219:I1219 A1219">
    <cfRule type="cellIs" dxfId="2061" priority="2623" stopIfTrue="1" operator="equal">
      <formula>"Fail"</formula>
    </cfRule>
    <cfRule type="cellIs" dxfId="2060" priority="2624" stopIfTrue="1" operator="equal">
      <formula>"Pass"</formula>
    </cfRule>
  </conditionalFormatting>
  <conditionalFormatting sqref="I1202">
    <cfRule type="cellIs" dxfId="2059" priority="2613" stopIfTrue="1" operator="equal">
      <formula>"Fail"</formula>
    </cfRule>
    <cfRule type="cellIs" dxfId="2058" priority="2614" stopIfTrue="1" operator="equal">
      <formula>"Pass"</formula>
    </cfRule>
  </conditionalFormatting>
  <conditionalFormatting sqref="C1202">
    <cfRule type="cellIs" dxfId="2057" priority="2611" stopIfTrue="1" operator="equal">
      <formula>"Fail"</formula>
    </cfRule>
    <cfRule type="cellIs" dxfId="2056" priority="2612" stopIfTrue="1" operator="equal">
      <formula>"Pass"</formula>
    </cfRule>
  </conditionalFormatting>
  <conditionalFormatting sqref="C1202:I1202 A1202">
    <cfRule type="cellIs" dxfId="2055" priority="2617" stopIfTrue="1" operator="equal">
      <formula>"Fail"</formula>
    </cfRule>
    <cfRule type="cellIs" dxfId="2054" priority="2618" stopIfTrue="1" operator="equal">
      <formula>"Pass"</formula>
    </cfRule>
  </conditionalFormatting>
  <conditionalFormatting sqref="D1202:I1202 A1202">
    <cfRule type="cellIs" dxfId="2053" priority="2615" stopIfTrue="1" operator="equal">
      <formula>"Fail"</formula>
    </cfRule>
    <cfRule type="cellIs" dxfId="2052" priority="2616" stopIfTrue="1" operator="equal">
      <formula>"Pass"</formula>
    </cfRule>
  </conditionalFormatting>
  <conditionalFormatting sqref="I1210">
    <cfRule type="cellIs" dxfId="2051" priority="2605" stopIfTrue="1" operator="equal">
      <formula>"Fail"</formula>
    </cfRule>
    <cfRule type="cellIs" dxfId="2050" priority="2606" stopIfTrue="1" operator="equal">
      <formula>"Pass"</formula>
    </cfRule>
  </conditionalFormatting>
  <conditionalFormatting sqref="C1210">
    <cfRule type="cellIs" dxfId="2049" priority="2603" stopIfTrue="1" operator="equal">
      <formula>"Fail"</formula>
    </cfRule>
    <cfRule type="cellIs" dxfId="2048" priority="2604" stopIfTrue="1" operator="equal">
      <formula>"Pass"</formula>
    </cfRule>
  </conditionalFormatting>
  <conditionalFormatting sqref="C1210:I1210 A1210">
    <cfRule type="cellIs" dxfId="2047" priority="2609" stopIfTrue="1" operator="equal">
      <formula>"Fail"</formula>
    </cfRule>
    <cfRule type="cellIs" dxfId="2046" priority="2610" stopIfTrue="1" operator="equal">
      <formula>"Pass"</formula>
    </cfRule>
  </conditionalFormatting>
  <conditionalFormatting sqref="D1210:I1210 A1210">
    <cfRule type="cellIs" dxfId="2045" priority="2607" stopIfTrue="1" operator="equal">
      <formula>"Fail"</formula>
    </cfRule>
    <cfRule type="cellIs" dxfId="2044" priority="2608" stopIfTrue="1" operator="equal">
      <formula>"Pass"</formula>
    </cfRule>
  </conditionalFormatting>
  <conditionalFormatting sqref="C1206:I1206 A1206">
    <cfRule type="cellIs" dxfId="2043" priority="2593" stopIfTrue="1" operator="equal">
      <formula>"Fail"</formula>
    </cfRule>
    <cfRule type="cellIs" dxfId="2042" priority="2594" stopIfTrue="1" operator="equal">
      <formula>"Pass"</formula>
    </cfRule>
  </conditionalFormatting>
  <conditionalFormatting sqref="D1206:I1206 A1206">
    <cfRule type="cellIs" dxfId="2041" priority="2591" stopIfTrue="1" operator="equal">
      <formula>"Fail"</formula>
    </cfRule>
    <cfRule type="cellIs" dxfId="2040" priority="2592" stopIfTrue="1" operator="equal">
      <formula>"Pass"</formula>
    </cfRule>
  </conditionalFormatting>
  <conditionalFormatting sqref="I1206">
    <cfRule type="cellIs" dxfId="2039" priority="2589" stopIfTrue="1" operator="equal">
      <formula>"Fail"</formula>
    </cfRule>
    <cfRule type="cellIs" dxfId="2038" priority="2590" stopIfTrue="1" operator="equal">
      <formula>"Pass"</formula>
    </cfRule>
  </conditionalFormatting>
  <conditionalFormatting sqref="C1206">
    <cfRule type="cellIs" dxfId="2037" priority="2587" stopIfTrue="1" operator="equal">
      <formula>"Fail"</formula>
    </cfRule>
    <cfRule type="cellIs" dxfId="2036" priority="2588" stopIfTrue="1" operator="equal">
      <formula>"Pass"</formula>
    </cfRule>
  </conditionalFormatting>
  <conditionalFormatting sqref="I1205">
    <cfRule type="cellIs" dxfId="2035" priority="2581" stopIfTrue="1" operator="equal">
      <formula>"Fail"</formula>
    </cfRule>
    <cfRule type="cellIs" dxfId="2034" priority="2582" stopIfTrue="1" operator="equal">
      <formula>"Pass"</formula>
    </cfRule>
  </conditionalFormatting>
  <conditionalFormatting sqref="C1205">
    <cfRule type="cellIs" dxfId="2033" priority="2579" stopIfTrue="1" operator="equal">
      <formula>"Fail"</formula>
    </cfRule>
    <cfRule type="cellIs" dxfId="2032" priority="2580" stopIfTrue="1" operator="equal">
      <formula>"Pass"</formula>
    </cfRule>
  </conditionalFormatting>
  <conditionalFormatting sqref="C1205:I1205 A1205">
    <cfRule type="cellIs" dxfId="2031" priority="2585" stopIfTrue="1" operator="equal">
      <formula>"Fail"</formula>
    </cfRule>
    <cfRule type="cellIs" dxfId="2030" priority="2586" stopIfTrue="1" operator="equal">
      <formula>"Pass"</formula>
    </cfRule>
  </conditionalFormatting>
  <conditionalFormatting sqref="D1205:I1205 A1205">
    <cfRule type="cellIs" dxfId="2029" priority="2583" stopIfTrue="1" operator="equal">
      <formula>"Fail"</formula>
    </cfRule>
    <cfRule type="cellIs" dxfId="2028" priority="2584" stopIfTrue="1" operator="equal">
      <formula>"Pass"</formula>
    </cfRule>
  </conditionalFormatting>
  <conditionalFormatting sqref="I1207">
    <cfRule type="cellIs" dxfId="2027" priority="2573" stopIfTrue="1" operator="equal">
      <formula>"Fail"</formula>
    </cfRule>
    <cfRule type="cellIs" dxfId="2026" priority="2574" stopIfTrue="1" operator="equal">
      <formula>"Pass"</formula>
    </cfRule>
  </conditionalFormatting>
  <conditionalFormatting sqref="C1207">
    <cfRule type="cellIs" dxfId="2025" priority="2571" stopIfTrue="1" operator="equal">
      <formula>"Fail"</formula>
    </cfRule>
    <cfRule type="cellIs" dxfId="2024" priority="2572" stopIfTrue="1" operator="equal">
      <formula>"Pass"</formula>
    </cfRule>
  </conditionalFormatting>
  <conditionalFormatting sqref="C1207:I1207 A1207">
    <cfRule type="cellIs" dxfId="2023" priority="2577" stopIfTrue="1" operator="equal">
      <formula>"Fail"</formula>
    </cfRule>
    <cfRule type="cellIs" dxfId="2022" priority="2578" stopIfTrue="1" operator="equal">
      <formula>"Pass"</formula>
    </cfRule>
  </conditionalFormatting>
  <conditionalFormatting sqref="D1207:I1207 A1207">
    <cfRule type="cellIs" dxfId="2021" priority="2575" stopIfTrue="1" operator="equal">
      <formula>"Fail"</formula>
    </cfRule>
    <cfRule type="cellIs" dxfId="2020" priority="2576" stopIfTrue="1" operator="equal">
      <formula>"Pass"</formula>
    </cfRule>
  </conditionalFormatting>
  <conditionalFormatting sqref="A1208 D1208:I1208">
    <cfRule type="cellIs" dxfId="2019" priority="2567" stopIfTrue="1" operator="equal">
      <formula>"Fail"</formula>
    </cfRule>
    <cfRule type="cellIs" dxfId="2018" priority="2568" stopIfTrue="1" operator="equal">
      <formula>"Pass"</formula>
    </cfRule>
  </conditionalFormatting>
  <conditionalFormatting sqref="A1208 C1208:I1208">
    <cfRule type="cellIs" dxfId="2017" priority="2569" stopIfTrue="1" operator="equal">
      <formula>"Fail"</formula>
    </cfRule>
    <cfRule type="cellIs" dxfId="2016" priority="2570" stopIfTrue="1" operator="equal">
      <formula>"Pass"</formula>
    </cfRule>
  </conditionalFormatting>
  <conditionalFormatting sqref="I1208">
    <cfRule type="cellIs" dxfId="2015" priority="2565" stopIfTrue="1" operator="equal">
      <formula>"Fail"</formula>
    </cfRule>
    <cfRule type="cellIs" dxfId="2014" priority="2566" stopIfTrue="1" operator="equal">
      <formula>"Pass"</formula>
    </cfRule>
  </conditionalFormatting>
  <conditionalFormatting sqref="C1208">
    <cfRule type="cellIs" dxfId="2013" priority="2563" stopIfTrue="1" operator="equal">
      <formula>"Fail"</formula>
    </cfRule>
    <cfRule type="cellIs" dxfId="2012" priority="2564" stopIfTrue="1" operator="equal">
      <formula>"Pass"</formula>
    </cfRule>
  </conditionalFormatting>
  <conditionalFormatting sqref="A1209">
    <cfRule type="cellIs" dxfId="2011" priority="2483" stopIfTrue="1" operator="equal">
      <formula>"Fail"</formula>
    </cfRule>
    <cfRule type="cellIs" dxfId="2010" priority="2484" stopIfTrue="1" operator="equal">
      <formula>"Pass"</formula>
    </cfRule>
  </conditionalFormatting>
  <conditionalFormatting sqref="C1209">
    <cfRule type="cellIs" dxfId="2009" priority="2481" stopIfTrue="1" operator="equal">
      <formula>"Fail"</formula>
    </cfRule>
    <cfRule type="cellIs" dxfId="2008" priority="2482" stopIfTrue="1" operator="equal">
      <formula>"Pass"</formula>
    </cfRule>
  </conditionalFormatting>
  <conditionalFormatting sqref="C1209">
    <cfRule type="cellIs" dxfId="2007" priority="2475" stopIfTrue="1" operator="equal">
      <formula>"Fail"</formula>
    </cfRule>
    <cfRule type="cellIs" dxfId="2006" priority="2476" stopIfTrue="1" operator="equal">
      <formula>"Pass"</formula>
    </cfRule>
  </conditionalFormatting>
  <conditionalFormatting sqref="C1209:D1209 A1209">
    <cfRule type="cellIs" dxfId="2005" priority="2479" stopIfTrue="1" operator="equal">
      <formula>"Fail"</formula>
    </cfRule>
    <cfRule type="cellIs" dxfId="2004" priority="2480" stopIfTrue="1" operator="equal">
      <formula>"Pass"</formula>
    </cfRule>
  </conditionalFormatting>
  <conditionalFormatting sqref="D1209 A1209">
    <cfRule type="cellIs" dxfId="2003" priority="2477" stopIfTrue="1" operator="equal">
      <formula>"Fail"</formula>
    </cfRule>
    <cfRule type="cellIs" dxfId="2002" priority="2478" stopIfTrue="1" operator="equal">
      <formula>"Pass"</formula>
    </cfRule>
  </conditionalFormatting>
  <conditionalFormatting sqref="D1209 A1209">
    <cfRule type="cellIs" dxfId="2001" priority="2465" stopIfTrue="1" operator="equal">
      <formula>"Fail"</formula>
    </cfRule>
    <cfRule type="cellIs" dxfId="2000" priority="2466" stopIfTrue="1" operator="equal">
      <formula>"Pass"</formula>
    </cfRule>
  </conditionalFormatting>
  <conditionalFormatting sqref="C1209:D1209 A1209">
    <cfRule type="cellIs" dxfId="1999" priority="2467" stopIfTrue="1" operator="equal">
      <formula>"Fail"</formula>
    </cfRule>
    <cfRule type="cellIs" dxfId="1998" priority="2468" stopIfTrue="1" operator="equal">
      <formula>"Pass"</formula>
    </cfRule>
  </conditionalFormatting>
  <conditionalFormatting sqref="C1209">
    <cfRule type="cellIs" dxfId="1997" priority="2461" stopIfTrue="1" operator="equal">
      <formula>"Fail"</formula>
    </cfRule>
    <cfRule type="cellIs" dxfId="1996" priority="2462" stopIfTrue="1" operator="equal">
      <formula>"Pass"</formula>
    </cfRule>
  </conditionalFormatting>
  <conditionalFormatting sqref="F1186:H1186">
    <cfRule type="cellIs" dxfId="1995" priority="2425" stopIfTrue="1" operator="equal">
      <formula>"Fail"</formula>
    </cfRule>
    <cfRule type="cellIs" dxfId="1994" priority="2426" stopIfTrue="1" operator="equal">
      <formula>"Pass"</formula>
    </cfRule>
  </conditionalFormatting>
  <conditionalFormatting sqref="F1186:H1186">
    <cfRule type="cellIs" dxfId="1993" priority="2423" stopIfTrue="1" operator="equal">
      <formula>"Fail"</formula>
    </cfRule>
    <cfRule type="cellIs" dxfId="1992" priority="2424" stopIfTrue="1" operator="equal">
      <formula>"Pass"</formula>
    </cfRule>
  </conditionalFormatting>
  <conditionalFormatting sqref="I1186">
    <cfRule type="cellIs" dxfId="1991" priority="2417" stopIfTrue="1" operator="equal">
      <formula>"Fail"</formula>
    </cfRule>
    <cfRule type="cellIs" dxfId="1990" priority="2418" stopIfTrue="1" operator="equal">
      <formula>"Pass"</formula>
    </cfRule>
  </conditionalFormatting>
  <conditionalFormatting sqref="I1186">
    <cfRule type="cellIs" dxfId="1989" priority="2421" stopIfTrue="1" operator="equal">
      <formula>"Fail"</formula>
    </cfRule>
    <cfRule type="cellIs" dxfId="1988" priority="2422" stopIfTrue="1" operator="equal">
      <formula>"Pass"</formula>
    </cfRule>
  </conditionalFormatting>
  <conditionalFormatting sqref="I1186">
    <cfRule type="cellIs" dxfId="1987" priority="2419" stopIfTrue="1" operator="equal">
      <formula>"Fail"</formula>
    </cfRule>
    <cfRule type="cellIs" dxfId="1986" priority="2420" stopIfTrue="1" operator="equal">
      <formula>"Pass"</formula>
    </cfRule>
  </conditionalFormatting>
  <conditionalFormatting sqref="F1209:H1209">
    <cfRule type="cellIs" dxfId="1985" priority="2415" stopIfTrue="1" operator="equal">
      <formula>"Fail"</formula>
    </cfRule>
    <cfRule type="cellIs" dxfId="1984" priority="2416" stopIfTrue="1" operator="equal">
      <formula>"Pass"</formula>
    </cfRule>
  </conditionalFormatting>
  <conditionalFormatting sqref="F1209:H1209">
    <cfRule type="cellIs" dxfId="1983" priority="2413" stopIfTrue="1" operator="equal">
      <formula>"Fail"</formula>
    </cfRule>
    <cfRule type="cellIs" dxfId="1982" priority="2414" stopIfTrue="1" operator="equal">
      <formula>"Pass"</formula>
    </cfRule>
  </conditionalFormatting>
  <conditionalFormatting sqref="F1171:H1171">
    <cfRule type="cellIs" dxfId="1981" priority="2385" stopIfTrue="1" operator="equal">
      <formula>"Fail"</formula>
    </cfRule>
    <cfRule type="cellIs" dxfId="1980" priority="2386" stopIfTrue="1" operator="equal">
      <formula>"Pass"</formula>
    </cfRule>
  </conditionalFormatting>
  <conditionalFormatting sqref="F1171:H1171">
    <cfRule type="cellIs" dxfId="1979" priority="2383" stopIfTrue="1" operator="equal">
      <formula>"Fail"</formula>
    </cfRule>
    <cfRule type="cellIs" dxfId="1978" priority="2384" stopIfTrue="1" operator="equal">
      <formula>"Pass"</formula>
    </cfRule>
  </conditionalFormatting>
  <conditionalFormatting sqref="I1171">
    <cfRule type="cellIs" dxfId="1977" priority="2377" stopIfTrue="1" operator="equal">
      <formula>"Fail"</formula>
    </cfRule>
    <cfRule type="cellIs" dxfId="1976" priority="2378" stopIfTrue="1" operator="equal">
      <formula>"Pass"</formula>
    </cfRule>
  </conditionalFormatting>
  <conditionalFormatting sqref="I1171">
    <cfRule type="cellIs" dxfId="1975" priority="2381" stopIfTrue="1" operator="equal">
      <formula>"Fail"</formula>
    </cfRule>
    <cfRule type="cellIs" dxfId="1974" priority="2382" stopIfTrue="1" operator="equal">
      <formula>"Pass"</formula>
    </cfRule>
  </conditionalFormatting>
  <conditionalFormatting sqref="I1171">
    <cfRule type="cellIs" dxfId="1973" priority="2379" stopIfTrue="1" operator="equal">
      <formula>"Fail"</formula>
    </cfRule>
    <cfRule type="cellIs" dxfId="1972" priority="2380" stopIfTrue="1" operator="equal">
      <formula>"Pass"</formula>
    </cfRule>
  </conditionalFormatting>
  <conditionalFormatting sqref="A1212">
    <cfRule type="cellIs" dxfId="1971" priority="2375" stopIfTrue="1" operator="equal">
      <formula>"Fail"</formula>
    </cfRule>
    <cfRule type="cellIs" dxfId="1970" priority="2376" stopIfTrue="1" operator="equal">
      <formula>"Pass"</formula>
    </cfRule>
  </conditionalFormatting>
  <conditionalFormatting sqref="C1212">
    <cfRule type="cellIs" dxfId="1969" priority="2373" stopIfTrue="1" operator="equal">
      <formula>"Fail"</formula>
    </cfRule>
    <cfRule type="cellIs" dxfId="1968" priority="2374" stopIfTrue="1" operator="equal">
      <formula>"Pass"</formula>
    </cfRule>
  </conditionalFormatting>
  <conditionalFormatting sqref="C1212">
    <cfRule type="cellIs" dxfId="1967" priority="2367" stopIfTrue="1" operator="equal">
      <formula>"Fail"</formula>
    </cfRule>
    <cfRule type="cellIs" dxfId="1966" priority="2368" stopIfTrue="1" operator="equal">
      <formula>"Pass"</formula>
    </cfRule>
  </conditionalFormatting>
  <conditionalFormatting sqref="C1212:D1212 A1212">
    <cfRule type="cellIs" dxfId="1965" priority="2371" stopIfTrue="1" operator="equal">
      <formula>"Fail"</formula>
    </cfRule>
    <cfRule type="cellIs" dxfId="1964" priority="2372" stopIfTrue="1" operator="equal">
      <formula>"Pass"</formula>
    </cfRule>
  </conditionalFormatting>
  <conditionalFormatting sqref="D1212 A1212">
    <cfRule type="cellIs" dxfId="1963" priority="2369" stopIfTrue="1" operator="equal">
      <formula>"Fail"</formula>
    </cfRule>
    <cfRule type="cellIs" dxfId="1962" priority="2370" stopIfTrue="1" operator="equal">
      <formula>"Pass"</formula>
    </cfRule>
  </conditionalFormatting>
  <conditionalFormatting sqref="D1212 A1212">
    <cfRule type="cellIs" dxfId="1961" priority="2363" stopIfTrue="1" operator="equal">
      <formula>"Fail"</formula>
    </cfRule>
    <cfRule type="cellIs" dxfId="1960" priority="2364" stopIfTrue="1" operator="equal">
      <formula>"Pass"</formula>
    </cfRule>
  </conditionalFormatting>
  <conditionalFormatting sqref="C1212:D1212 A1212">
    <cfRule type="cellIs" dxfId="1959" priority="2365" stopIfTrue="1" operator="equal">
      <formula>"Fail"</formula>
    </cfRule>
    <cfRule type="cellIs" dxfId="1958" priority="2366" stopIfTrue="1" operator="equal">
      <formula>"Pass"</formula>
    </cfRule>
  </conditionalFormatting>
  <conditionalFormatting sqref="C1212">
    <cfRule type="cellIs" dxfId="1957" priority="2361" stopIfTrue="1" operator="equal">
      <formula>"Fail"</formula>
    </cfRule>
    <cfRule type="cellIs" dxfId="1956" priority="2362" stopIfTrue="1" operator="equal">
      <formula>"Pass"</formula>
    </cfRule>
  </conditionalFormatting>
  <conditionalFormatting sqref="I1214">
    <cfRule type="cellIs" dxfId="1955" priority="2335" stopIfTrue="1" operator="equal">
      <formula>"Fail"</formula>
    </cfRule>
    <cfRule type="cellIs" dxfId="1954" priority="2336" stopIfTrue="1" operator="equal">
      <formula>"Pass"</formula>
    </cfRule>
  </conditionalFormatting>
  <conditionalFormatting sqref="C1214">
    <cfRule type="cellIs" dxfId="1953" priority="2333" stopIfTrue="1" operator="equal">
      <formula>"Fail"</formula>
    </cfRule>
    <cfRule type="cellIs" dxfId="1952" priority="2334" stopIfTrue="1" operator="equal">
      <formula>"Pass"</formula>
    </cfRule>
  </conditionalFormatting>
  <conditionalFormatting sqref="C1214:I1214 A1214">
    <cfRule type="cellIs" dxfId="1951" priority="2339" stopIfTrue="1" operator="equal">
      <formula>"Fail"</formula>
    </cfRule>
    <cfRule type="cellIs" dxfId="1950" priority="2340" stopIfTrue="1" operator="equal">
      <formula>"Pass"</formula>
    </cfRule>
  </conditionalFormatting>
  <conditionalFormatting sqref="D1214:I1214 A1214">
    <cfRule type="cellIs" dxfId="1949" priority="2337" stopIfTrue="1" operator="equal">
      <formula>"Fail"</formula>
    </cfRule>
    <cfRule type="cellIs" dxfId="1948" priority="2338" stopIfTrue="1" operator="equal">
      <formula>"Pass"</formula>
    </cfRule>
  </conditionalFormatting>
  <conditionalFormatting sqref="C1215:I1215 A1215">
    <cfRule type="cellIs" dxfId="1947" priority="2331" stopIfTrue="1" operator="equal">
      <formula>"Fail"</formula>
    </cfRule>
    <cfRule type="cellIs" dxfId="1946" priority="2332" stopIfTrue="1" operator="equal">
      <formula>"Pass"</formula>
    </cfRule>
  </conditionalFormatting>
  <conditionalFormatting sqref="D1215:I1215 A1215">
    <cfRule type="cellIs" dxfId="1945" priority="2329" stopIfTrue="1" operator="equal">
      <formula>"Fail"</formula>
    </cfRule>
    <cfRule type="cellIs" dxfId="1944" priority="2330" stopIfTrue="1" operator="equal">
      <formula>"Pass"</formula>
    </cfRule>
  </conditionalFormatting>
  <conditionalFormatting sqref="I1215">
    <cfRule type="cellIs" dxfId="1943" priority="2327" stopIfTrue="1" operator="equal">
      <formula>"Fail"</formula>
    </cfRule>
    <cfRule type="cellIs" dxfId="1942" priority="2328" stopIfTrue="1" operator="equal">
      <formula>"Pass"</formula>
    </cfRule>
  </conditionalFormatting>
  <conditionalFormatting sqref="C1215">
    <cfRule type="cellIs" dxfId="1941" priority="2325" stopIfTrue="1" operator="equal">
      <formula>"Fail"</formula>
    </cfRule>
    <cfRule type="cellIs" dxfId="1940" priority="2326" stopIfTrue="1" operator="equal">
      <formula>"Pass"</formula>
    </cfRule>
  </conditionalFormatting>
  <conditionalFormatting sqref="A1216 D1216:I1216">
    <cfRule type="cellIs" dxfId="1939" priority="2321" stopIfTrue="1" operator="equal">
      <formula>"Fail"</formula>
    </cfRule>
    <cfRule type="cellIs" dxfId="1938" priority="2322" stopIfTrue="1" operator="equal">
      <formula>"Pass"</formula>
    </cfRule>
  </conditionalFormatting>
  <conditionalFormatting sqref="A1216 C1216:I1216">
    <cfRule type="cellIs" dxfId="1937" priority="2323" stopIfTrue="1" operator="equal">
      <formula>"Fail"</formula>
    </cfRule>
    <cfRule type="cellIs" dxfId="1936" priority="2324" stopIfTrue="1" operator="equal">
      <formula>"Pass"</formula>
    </cfRule>
  </conditionalFormatting>
  <conditionalFormatting sqref="I1216">
    <cfRule type="cellIs" dxfId="1935" priority="2319" stopIfTrue="1" operator="equal">
      <formula>"Fail"</formula>
    </cfRule>
    <cfRule type="cellIs" dxfId="1934" priority="2320" stopIfTrue="1" operator="equal">
      <formula>"Pass"</formula>
    </cfRule>
  </conditionalFormatting>
  <conditionalFormatting sqref="C1216">
    <cfRule type="cellIs" dxfId="1933" priority="2317" stopIfTrue="1" operator="equal">
      <formula>"Fail"</formula>
    </cfRule>
    <cfRule type="cellIs" dxfId="1932" priority="2318" stopIfTrue="1" operator="equal">
      <formula>"Pass"</formula>
    </cfRule>
  </conditionalFormatting>
  <conditionalFormatting sqref="C1217:I1217 A1217">
    <cfRule type="cellIs" dxfId="1931" priority="2315" stopIfTrue="1" operator="equal">
      <formula>"Fail"</formula>
    </cfRule>
    <cfRule type="cellIs" dxfId="1930" priority="2316" stopIfTrue="1" operator="equal">
      <formula>"Pass"</formula>
    </cfRule>
  </conditionalFormatting>
  <conditionalFormatting sqref="D1217:I1217 A1217">
    <cfRule type="cellIs" dxfId="1929" priority="2313" stopIfTrue="1" operator="equal">
      <formula>"Fail"</formula>
    </cfRule>
    <cfRule type="cellIs" dxfId="1928" priority="2314" stopIfTrue="1" operator="equal">
      <formula>"Pass"</formula>
    </cfRule>
  </conditionalFormatting>
  <conditionalFormatting sqref="I1217">
    <cfRule type="cellIs" dxfId="1927" priority="2311" stopIfTrue="1" operator="equal">
      <formula>"Fail"</formula>
    </cfRule>
    <cfRule type="cellIs" dxfId="1926" priority="2312" stopIfTrue="1" operator="equal">
      <formula>"Pass"</formula>
    </cfRule>
  </conditionalFormatting>
  <conditionalFormatting sqref="C1217">
    <cfRule type="cellIs" dxfId="1925" priority="2309" stopIfTrue="1" operator="equal">
      <formula>"Fail"</formula>
    </cfRule>
    <cfRule type="cellIs" dxfId="1924" priority="2310" stopIfTrue="1" operator="equal">
      <formula>"Pass"</formula>
    </cfRule>
  </conditionalFormatting>
  <conditionalFormatting sqref="A1213">
    <cfRule type="cellIs" dxfId="1923" priority="2307" stopIfTrue="1" operator="equal">
      <formula>"Fail"</formula>
    </cfRule>
    <cfRule type="cellIs" dxfId="1922" priority="2308" stopIfTrue="1" operator="equal">
      <formula>"Pass"</formula>
    </cfRule>
  </conditionalFormatting>
  <conditionalFormatting sqref="C1213">
    <cfRule type="cellIs" dxfId="1921" priority="2305" stopIfTrue="1" operator="equal">
      <formula>"Fail"</formula>
    </cfRule>
    <cfRule type="cellIs" dxfId="1920" priority="2306" stopIfTrue="1" operator="equal">
      <formula>"Pass"</formula>
    </cfRule>
  </conditionalFormatting>
  <conditionalFormatting sqref="C1213">
    <cfRule type="cellIs" dxfId="1919" priority="2299" stopIfTrue="1" operator="equal">
      <formula>"Fail"</formula>
    </cfRule>
    <cfRule type="cellIs" dxfId="1918" priority="2300" stopIfTrue="1" operator="equal">
      <formula>"Pass"</formula>
    </cfRule>
  </conditionalFormatting>
  <conditionalFormatting sqref="C1213:D1213 A1213">
    <cfRule type="cellIs" dxfId="1917" priority="2303" stopIfTrue="1" operator="equal">
      <formula>"Fail"</formula>
    </cfRule>
    <cfRule type="cellIs" dxfId="1916" priority="2304" stopIfTrue="1" operator="equal">
      <formula>"Pass"</formula>
    </cfRule>
  </conditionalFormatting>
  <conditionalFormatting sqref="D1213 A1213">
    <cfRule type="cellIs" dxfId="1915" priority="2301" stopIfTrue="1" operator="equal">
      <formula>"Fail"</formula>
    </cfRule>
    <cfRule type="cellIs" dxfId="1914" priority="2302" stopIfTrue="1" operator="equal">
      <formula>"Pass"</formula>
    </cfRule>
  </conditionalFormatting>
  <conditionalFormatting sqref="D1213 A1213">
    <cfRule type="cellIs" dxfId="1913" priority="2295" stopIfTrue="1" operator="equal">
      <formula>"Fail"</formula>
    </cfRule>
    <cfRule type="cellIs" dxfId="1912" priority="2296" stopIfTrue="1" operator="equal">
      <formula>"Pass"</formula>
    </cfRule>
  </conditionalFormatting>
  <conditionalFormatting sqref="C1213:D1213 A1213">
    <cfRule type="cellIs" dxfId="1911" priority="2297" stopIfTrue="1" operator="equal">
      <formula>"Fail"</formula>
    </cfRule>
    <cfRule type="cellIs" dxfId="1910" priority="2298" stopIfTrue="1" operator="equal">
      <formula>"Pass"</formula>
    </cfRule>
  </conditionalFormatting>
  <conditionalFormatting sqref="C1213">
    <cfRule type="cellIs" dxfId="1909" priority="2293" stopIfTrue="1" operator="equal">
      <formula>"Fail"</formula>
    </cfRule>
    <cfRule type="cellIs" dxfId="1908" priority="2294" stopIfTrue="1" operator="equal">
      <formula>"Pass"</formula>
    </cfRule>
  </conditionalFormatting>
  <conditionalFormatting sqref="F1213:H1213">
    <cfRule type="cellIs" dxfId="1907" priority="2289" stopIfTrue="1" operator="equal">
      <formula>"Fail"</formula>
    </cfRule>
    <cfRule type="cellIs" dxfId="1906" priority="2290" stopIfTrue="1" operator="equal">
      <formula>"Pass"</formula>
    </cfRule>
  </conditionalFormatting>
  <conditionalFormatting sqref="F1213:H1213">
    <cfRule type="cellIs" dxfId="1905" priority="2287" stopIfTrue="1" operator="equal">
      <formula>"Fail"</formula>
    </cfRule>
    <cfRule type="cellIs" dxfId="1904" priority="2288" stopIfTrue="1" operator="equal">
      <formula>"Pass"</formula>
    </cfRule>
  </conditionalFormatting>
  <conditionalFormatting sqref="I1213">
    <cfRule type="cellIs" dxfId="1903" priority="2281" stopIfTrue="1" operator="equal">
      <formula>"Fail"</formula>
    </cfRule>
    <cfRule type="cellIs" dxfId="1902" priority="2282" stopIfTrue="1" operator="equal">
      <formula>"Pass"</formula>
    </cfRule>
  </conditionalFormatting>
  <conditionalFormatting sqref="I1213">
    <cfRule type="cellIs" dxfId="1901" priority="2285" stopIfTrue="1" operator="equal">
      <formula>"Fail"</formula>
    </cfRule>
    <cfRule type="cellIs" dxfId="1900" priority="2286" stopIfTrue="1" operator="equal">
      <formula>"Pass"</formula>
    </cfRule>
  </conditionalFormatting>
  <conditionalFormatting sqref="I1213">
    <cfRule type="cellIs" dxfId="1899" priority="2283" stopIfTrue="1" operator="equal">
      <formula>"Fail"</formula>
    </cfRule>
    <cfRule type="cellIs" dxfId="1898" priority="2284" stopIfTrue="1" operator="equal">
      <formula>"Pass"</formula>
    </cfRule>
  </conditionalFormatting>
  <conditionalFormatting sqref="B1213">
    <cfRule type="cellIs" dxfId="1897" priority="2279" stopIfTrue="1" operator="equal">
      <formula>"Fail"</formula>
    </cfRule>
    <cfRule type="cellIs" dxfId="1896" priority="2280" stopIfTrue="1" operator="equal">
      <formula>"Pass"</formula>
    </cfRule>
  </conditionalFormatting>
  <conditionalFormatting sqref="A108 C108:D108">
    <cfRule type="cellIs" dxfId="1895" priority="2261" stopIfTrue="1" operator="equal">
      <formula>"Fail"</formula>
    </cfRule>
    <cfRule type="cellIs" dxfId="1894" priority="2262" stopIfTrue="1" operator="equal">
      <formula>"Pass"</formula>
    </cfRule>
  </conditionalFormatting>
  <conditionalFormatting sqref="B108">
    <cfRule type="cellIs" dxfId="1893" priority="2259" stopIfTrue="1" operator="equal">
      <formula>"Fail"</formula>
    </cfRule>
    <cfRule type="cellIs" dxfId="1892" priority="2260" stopIfTrue="1" operator="equal">
      <formula>"Pass"</formula>
    </cfRule>
  </conditionalFormatting>
  <conditionalFormatting sqref="A108">
    <cfRule type="cellIs" dxfId="1891" priority="2257" stopIfTrue="1" operator="equal">
      <formula>"Fail"</formula>
    </cfRule>
    <cfRule type="cellIs" dxfId="1890" priority="2258" stopIfTrue="1" operator="equal">
      <formula>"Pass"</formula>
    </cfRule>
  </conditionalFormatting>
  <conditionalFormatting sqref="B108">
    <cfRule type="cellIs" dxfId="1889" priority="2249" stopIfTrue="1" operator="equal">
      <formula>"Fail"</formula>
    </cfRule>
    <cfRule type="cellIs" dxfId="1888" priority="2250" stopIfTrue="1" operator="equal">
      <formula>"Pass"</formula>
    </cfRule>
  </conditionalFormatting>
  <conditionalFormatting sqref="E108">
    <cfRule type="cellIs" dxfId="1887" priority="2247" stopIfTrue="1" operator="equal">
      <formula>"Fail"</formula>
    </cfRule>
    <cfRule type="cellIs" dxfId="1886" priority="2248" stopIfTrue="1" operator="equal">
      <formula>"Pass"</formula>
    </cfRule>
  </conditionalFormatting>
  <conditionalFormatting sqref="C109:D109">
    <cfRule type="cellIs" dxfId="1885" priority="2245" stopIfTrue="1" operator="equal">
      <formula>"Fail"</formula>
    </cfRule>
    <cfRule type="cellIs" dxfId="1884" priority="2246" stopIfTrue="1" operator="equal">
      <formula>"Pass"</formula>
    </cfRule>
  </conditionalFormatting>
  <conditionalFormatting sqref="B109">
    <cfRule type="cellIs" dxfId="1883" priority="2243" stopIfTrue="1" operator="equal">
      <formula>"Fail"</formula>
    </cfRule>
    <cfRule type="cellIs" dxfId="1882" priority="2244" stopIfTrue="1" operator="equal">
      <formula>"Pass"</formula>
    </cfRule>
  </conditionalFormatting>
  <conditionalFormatting sqref="B109">
    <cfRule type="cellIs" dxfId="1881" priority="2239" stopIfTrue="1" operator="equal">
      <formula>"Fail"</formula>
    </cfRule>
    <cfRule type="cellIs" dxfId="1880" priority="2240" stopIfTrue="1" operator="equal">
      <formula>"Pass"</formula>
    </cfRule>
  </conditionalFormatting>
  <conditionalFormatting sqref="C895:I895 A895">
    <cfRule type="cellIs" dxfId="1879" priority="2235" stopIfTrue="1" operator="equal">
      <formula>"Fail"</formula>
    </cfRule>
    <cfRule type="cellIs" dxfId="1878" priority="2236" stopIfTrue="1" operator="equal">
      <formula>"Pass"</formula>
    </cfRule>
  </conditionalFormatting>
  <conditionalFormatting sqref="F895:H895">
    <cfRule type="cellIs" dxfId="1877" priority="2233" stopIfTrue="1" operator="equal">
      <formula>"Fail"</formula>
    </cfRule>
    <cfRule type="cellIs" dxfId="1876" priority="2234" stopIfTrue="1" operator="equal">
      <formula>"Pass"</formula>
    </cfRule>
  </conditionalFormatting>
  <conditionalFormatting sqref="F895:H895">
    <cfRule type="cellIs" dxfId="1875" priority="2231" stopIfTrue="1" operator="equal">
      <formula>"Fail"</formula>
    </cfRule>
    <cfRule type="cellIs" dxfId="1874" priority="2232" stopIfTrue="1" operator="equal">
      <formula>"Pass"</formula>
    </cfRule>
  </conditionalFormatting>
  <conditionalFormatting sqref="I895">
    <cfRule type="cellIs" dxfId="1873" priority="2225" stopIfTrue="1" operator="equal">
      <formula>"Fail"</formula>
    </cfRule>
    <cfRule type="cellIs" dxfId="1872" priority="2226" stopIfTrue="1" operator="equal">
      <formula>"Pass"</formula>
    </cfRule>
  </conditionalFormatting>
  <conditionalFormatting sqref="I895">
    <cfRule type="cellIs" dxfId="1871" priority="2229" stopIfTrue="1" operator="equal">
      <formula>"Fail"</formula>
    </cfRule>
    <cfRule type="cellIs" dxfId="1870" priority="2230" stopIfTrue="1" operator="equal">
      <formula>"Pass"</formula>
    </cfRule>
  </conditionalFormatting>
  <conditionalFormatting sqref="I895">
    <cfRule type="cellIs" dxfId="1869" priority="2227" stopIfTrue="1" operator="equal">
      <formula>"Fail"</formula>
    </cfRule>
    <cfRule type="cellIs" dxfId="1868" priority="2228" stopIfTrue="1" operator="equal">
      <formula>"Pass"</formula>
    </cfRule>
  </conditionalFormatting>
  <conditionalFormatting sqref="E895 I895">
    <cfRule type="cellIs" dxfId="1867" priority="2223" stopIfTrue="1" operator="equal">
      <formula>"Fail"</formula>
    </cfRule>
    <cfRule type="cellIs" dxfId="1866" priority="2224" stopIfTrue="1" operator="equal">
      <formula>"Pass"</formula>
    </cfRule>
  </conditionalFormatting>
  <conditionalFormatting sqref="A1006 C1006:I1006">
    <cfRule type="cellIs" dxfId="1865" priority="2221" stopIfTrue="1" operator="equal">
      <formula>"Fail"</formula>
    </cfRule>
    <cfRule type="cellIs" dxfId="1864" priority="2222" stopIfTrue="1" operator="equal">
      <formula>"Pass"</formula>
    </cfRule>
  </conditionalFormatting>
  <conditionalFormatting sqref="B1006">
    <cfRule type="cellIs" dxfId="1863" priority="2219" stopIfTrue="1" operator="equal">
      <formula>"Fail"</formula>
    </cfRule>
    <cfRule type="cellIs" dxfId="1862" priority="2220" stopIfTrue="1" operator="equal">
      <formula>"Pass"</formula>
    </cfRule>
  </conditionalFormatting>
  <conditionalFormatting sqref="I1009">
    <cfRule type="cellIs" dxfId="1861" priority="2201" stopIfTrue="1" operator="equal">
      <formula>"Fail"</formula>
    </cfRule>
    <cfRule type="cellIs" dxfId="1860" priority="2202" stopIfTrue="1" operator="equal">
      <formula>"Pass"</formula>
    </cfRule>
  </conditionalFormatting>
  <conditionalFormatting sqref="C1009">
    <cfRule type="cellIs" dxfId="1859" priority="2199" stopIfTrue="1" operator="equal">
      <formula>"Fail"</formula>
    </cfRule>
    <cfRule type="cellIs" dxfId="1858" priority="2200" stopIfTrue="1" operator="equal">
      <formula>"Pass"</formula>
    </cfRule>
  </conditionalFormatting>
  <conditionalFormatting sqref="C1009:I1009 A1009">
    <cfRule type="cellIs" dxfId="1857" priority="2205" stopIfTrue="1" operator="equal">
      <formula>"Fail"</formula>
    </cfRule>
    <cfRule type="cellIs" dxfId="1856" priority="2206" stopIfTrue="1" operator="equal">
      <formula>"Pass"</formula>
    </cfRule>
  </conditionalFormatting>
  <conditionalFormatting sqref="D1009:I1009 A1009">
    <cfRule type="cellIs" dxfId="1855" priority="2203" stopIfTrue="1" operator="equal">
      <formula>"Fail"</formula>
    </cfRule>
    <cfRule type="cellIs" dxfId="1854" priority="2204" stopIfTrue="1" operator="equal">
      <formula>"Pass"</formula>
    </cfRule>
  </conditionalFormatting>
  <conditionalFormatting sqref="I1053">
    <cfRule type="cellIs" dxfId="1853" priority="2193" stopIfTrue="1" operator="equal">
      <formula>"Fail"</formula>
    </cfRule>
    <cfRule type="cellIs" dxfId="1852" priority="2194" stopIfTrue="1" operator="equal">
      <formula>"Pass"</formula>
    </cfRule>
  </conditionalFormatting>
  <conditionalFormatting sqref="C1053">
    <cfRule type="cellIs" dxfId="1851" priority="2191" stopIfTrue="1" operator="equal">
      <formula>"Fail"</formula>
    </cfRule>
    <cfRule type="cellIs" dxfId="1850" priority="2192" stopIfTrue="1" operator="equal">
      <formula>"Pass"</formula>
    </cfRule>
  </conditionalFormatting>
  <conditionalFormatting sqref="C1053:I1053 A1053">
    <cfRule type="cellIs" dxfId="1849" priority="2197" stopIfTrue="1" operator="equal">
      <formula>"Fail"</formula>
    </cfRule>
    <cfRule type="cellIs" dxfId="1848" priority="2198" stopIfTrue="1" operator="equal">
      <formula>"Pass"</formula>
    </cfRule>
  </conditionalFormatting>
  <conditionalFormatting sqref="D1053:I1053 A1053">
    <cfRule type="cellIs" dxfId="1847" priority="2195" stopIfTrue="1" operator="equal">
      <formula>"Fail"</formula>
    </cfRule>
    <cfRule type="cellIs" dxfId="1846" priority="2196" stopIfTrue="1" operator="equal">
      <formula>"Pass"</formula>
    </cfRule>
  </conditionalFormatting>
  <conditionalFormatting sqref="C1054:I1054 A1054">
    <cfRule type="cellIs" dxfId="1845" priority="2189" stopIfTrue="1" operator="equal">
      <formula>"Fail"</formula>
    </cfRule>
    <cfRule type="cellIs" dxfId="1844" priority="2190" stopIfTrue="1" operator="equal">
      <formula>"Pass"</formula>
    </cfRule>
  </conditionalFormatting>
  <conditionalFormatting sqref="D1054:I1054 A1054">
    <cfRule type="cellIs" dxfId="1843" priority="2187" stopIfTrue="1" operator="equal">
      <formula>"Fail"</formula>
    </cfRule>
    <cfRule type="cellIs" dxfId="1842" priority="2188" stopIfTrue="1" operator="equal">
      <formula>"Pass"</formula>
    </cfRule>
  </conditionalFormatting>
  <conditionalFormatting sqref="I1054">
    <cfRule type="cellIs" dxfId="1841" priority="2185" stopIfTrue="1" operator="equal">
      <formula>"Fail"</formula>
    </cfRule>
    <cfRule type="cellIs" dxfId="1840" priority="2186" stopIfTrue="1" operator="equal">
      <formula>"Pass"</formula>
    </cfRule>
  </conditionalFormatting>
  <conditionalFormatting sqref="C1054">
    <cfRule type="cellIs" dxfId="1839" priority="2183" stopIfTrue="1" operator="equal">
      <formula>"Fail"</formula>
    </cfRule>
    <cfRule type="cellIs" dxfId="1838" priority="2184" stopIfTrue="1" operator="equal">
      <formula>"Pass"</formula>
    </cfRule>
  </conditionalFormatting>
  <conditionalFormatting sqref="I1055">
    <cfRule type="cellIs" dxfId="1837" priority="2177" stopIfTrue="1" operator="equal">
      <formula>"Fail"</formula>
    </cfRule>
    <cfRule type="cellIs" dxfId="1836" priority="2178" stopIfTrue="1" operator="equal">
      <formula>"Pass"</formula>
    </cfRule>
  </conditionalFormatting>
  <conditionalFormatting sqref="C1055">
    <cfRule type="cellIs" dxfId="1835" priority="2175" stopIfTrue="1" operator="equal">
      <formula>"Fail"</formula>
    </cfRule>
    <cfRule type="cellIs" dxfId="1834" priority="2176" stopIfTrue="1" operator="equal">
      <formula>"Pass"</formula>
    </cfRule>
  </conditionalFormatting>
  <conditionalFormatting sqref="C1055:I1055 A1055">
    <cfRule type="cellIs" dxfId="1833" priority="2181" stopIfTrue="1" operator="equal">
      <formula>"Fail"</formula>
    </cfRule>
    <cfRule type="cellIs" dxfId="1832" priority="2182" stopIfTrue="1" operator="equal">
      <formula>"Pass"</formula>
    </cfRule>
  </conditionalFormatting>
  <conditionalFormatting sqref="D1055:I1055 A1055">
    <cfRule type="cellIs" dxfId="1831" priority="2179" stopIfTrue="1" operator="equal">
      <formula>"Fail"</formula>
    </cfRule>
    <cfRule type="cellIs" dxfId="1830" priority="2180" stopIfTrue="1" operator="equal">
      <formula>"Pass"</formula>
    </cfRule>
  </conditionalFormatting>
  <conditionalFormatting sqref="I1056">
    <cfRule type="cellIs" dxfId="1829" priority="2169" stopIfTrue="1" operator="equal">
      <formula>"Fail"</formula>
    </cfRule>
    <cfRule type="cellIs" dxfId="1828" priority="2170" stopIfTrue="1" operator="equal">
      <formula>"Pass"</formula>
    </cfRule>
  </conditionalFormatting>
  <conditionalFormatting sqref="C1056">
    <cfRule type="cellIs" dxfId="1827" priority="2167" stopIfTrue="1" operator="equal">
      <formula>"Fail"</formula>
    </cfRule>
    <cfRule type="cellIs" dxfId="1826" priority="2168" stopIfTrue="1" operator="equal">
      <formula>"Pass"</formula>
    </cfRule>
  </conditionalFormatting>
  <conditionalFormatting sqref="C1056:I1056 A1056">
    <cfRule type="cellIs" dxfId="1825" priority="2173" stopIfTrue="1" operator="equal">
      <formula>"Fail"</formula>
    </cfRule>
    <cfRule type="cellIs" dxfId="1824" priority="2174" stopIfTrue="1" operator="equal">
      <formula>"Pass"</formula>
    </cfRule>
  </conditionalFormatting>
  <conditionalFormatting sqref="D1056:I1056 A1056">
    <cfRule type="cellIs" dxfId="1823" priority="2171" stopIfTrue="1" operator="equal">
      <formula>"Fail"</formula>
    </cfRule>
    <cfRule type="cellIs" dxfId="1822" priority="2172" stopIfTrue="1" operator="equal">
      <formula>"Pass"</formula>
    </cfRule>
  </conditionalFormatting>
  <conditionalFormatting sqref="A1057 D1057:I1057">
    <cfRule type="cellIs" dxfId="1821" priority="2163" stopIfTrue="1" operator="equal">
      <formula>"Fail"</formula>
    </cfRule>
    <cfRule type="cellIs" dxfId="1820" priority="2164" stopIfTrue="1" operator="equal">
      <formula>"Pass"</formula>
    </cfRule>
  </conditionalFormatting>
  <conditionalFormatting sqref="A1057 D1057:I1057">
    <cfRule type="cellIs" dxfId="1819" priority="2165" stopIfTrue="1" operator="equal">
      <formula>"Fail"</formula>
    </cfRule>
    <cfRule type="cellIs" dxfId="1818" priority="2166" stopIfTrue="1" operator="equal">
      <formula>"Pass"</formula>
    </cfRule>
  </conditionalFormatting>
  <conditionalFormatting sqref="I1057">
    <cfRule type="cellIs" dxfId="1817" priority="2161" stopIfTrue="1" operator="equal">
      <formula>"Fail"</formula>
    </cfRule>
    <cfRule type="cellIs" dxfId="1816" priority="2162" stopIfTrue="1" operator="equal">
      <formula>"Pass"</formula>
    </cfRule>
  </conditionalFormatting>
  <conditionalFormatting sqref="A1060 C1060:I1060">
    <cfRule type="cellIs" dxfId="1815" priority="2157" stopIfTrue="1" operator="equal">
      <formula>"Fail"</formula>
    </cfRule>
    <cfRule type="cellIs" dxfId="1814" priority="2158" stopIfTrue="1" operator="equal">
      <formula>"Pass"</formula>
    </cfRule>
  </conditionalFormatting>
  <conditionalFormatting sqref="A1060">
    <cfRule type="cellIs" dxfId="1813" priority="2153" stopIfTrue="1" operator="equal">
      <formula>"Fail"</formula>
    </cfRule>
    <cfRule type="cellIs" dxfId="1812" priority="2154" stopIfTrue="1" operator="equal">
      <formula>"Pass"</formula>
    </cfRule>
  </conditionalFormatting>
  <conditionalFormatting sqref="I1060">
    <cfRule type="cellIs" dxfId="1811" priority="2147" stopIfTrue="1" operator="equal">
      <formula>"Fail"</formula>
    </cfRule>
    <cfRule type="cellIs" dxfId="1810" priority="2148" stopIfTrue="1" operator="equal">
      <formula>"Pass"</formula>
    </cfRule>
  </conditionalFormatting>
  <conditionalFormatting sqref="I1060">
    <cfRule type="cellIs" dxfId="1809" priority="2151" stopIfTrue="1" operator="equal">
      <formula>"Fail"</formula>
    </cfRule>
    <cfRule type="cellIs" dxfId="1808" priority="2152" stopIfTrue="1" operator="equal">
      <formula>"Pass"</formula>
    </cfRule>
  </conditionalFormatting>
  <conditionalFormatting sqref="I1060">
    <cfRule type="cellIs" dxfId="1807" priority="2149" stopIfTrue="1" operator="equal">
      <formula>"Fail"</formula>
    </cfRule>
    <cfRule type="cellIs" dxfId="1806" priority="2150" stopIfTrue="1" operator="equal">
      <formula>"Pass"</formula>
    </cfRule>
  </conditionalFormatting>
  <conditionalFormatting sqref="A1058 D1058:I1058">
    <cfRule type="cellIs" dxfId="1805" priority="2141" stopIfTrue="1" operator="equal">
      <formula>"Fail"</formula>
    </cfRule>
    <cfRule type="cellIs" dxfId="1804" priority="2142" stopIfTrue="1" operator="equal">
      <formula>"Pass"</formula>
    </cfRule>
  </conditionalFormatting>
  <conditionalFormatting sqref="A1058 C1058:I1058">
    <cfRule type="cellIs" dxfId="1803" priority="2143" stopIfTrue="1" operator="equal">
      <formula>"Fail"</formula>
    </cfRule>
    <cfRule type="cellIs" dxfId="1802" priority="2144" stopIfTrue="1" operator="equal">
      <formula>"Pass"</formula>
    </cfRule>
  </conditionalFormatting>
  <conditionalFormatting sqref="I1058">
    <cfRule type="cellIs" dxfId="1801" priority="2139" stopIfTrue="1" operator="equal">
      <formula>"Fail"</formula>
    </cfRule>
    <cfRule type="cellIs" dxfId="1800" priority="2140" stopIfTrue="1" operator="equal">
      <formula>"Pass"</formula>
    </cfRule>
  </conditionalFormatting>
  <conditionalFormatting sqref="C1058">
    <cfRule type="cellIs" dxfId="1799" priority="2137" stopIfTrue="1" operator="equal">
      <formula>"Fail"</formula>
    </cfRule>
    <cfRule type="cellIs" dxfId="1798" priority="2138" stopIfTrue="1" operator="equal">
      <formula>"Pass"</formula>
    </cfRule>
  </conditionalFormatting>
  <conditionalFormatting sqref="B1058">
    <cfRule type="cellIs" dxfId="1797" priority="2135" stopIfTrue="1" operator="equal">
      <formula>"Fail"</formula>
    </cfRule>
    <cfRule type="cellIs" dxfId="1796" priority="2136" stopIfTrue="1" operator="equal">
      <formula>"Pass"</formula>
    </cfRule>
  </conditionalFormatting>
  <conditionalFormatting sqref="A1052">
    <cfRule type="cellIs" dxfId="1795" priority="2133" stopIfTrue="1" operator="equal">
      <formula>"Fail"</formula>
    </cfRule>
    <cfRule type="cellIs" dxfId="1794" priority="2134" stopIfTrue="1" operator="equal">
      <formula>"Pass"</formula>
    </cfRule>
  </conditionalFormatting>
  <conditionalFormatting sqref="C1052:I1052">
    <cfRule type="cellIs" dxfId="1793" priority="2131" stopIfTrue="1" operator="equal">
      <formula>"Fail"</formula>
    </cfRule>
    <cfRule type="cellIs" dxfId="1792" priority="2132" stopIfTrue="1" operator="equal">
      <formula>"Pass"</formula>
    </cfRule>
  </conditionalFormatting>
  <conditionalFormatting sqref="B1052">
    <cfRule type="cellIs" dxfId="1791" priority="2129" stopIfTrue="1" operator="equal">
      <formula>"Fail"</formula>
    </cfRule>
    <cfRule type="cellIs" dxfId="1790" priority="2130" stopIfTrue="1" operator="equal">
      <formula>"Pass"</formula>
    </cfRule>
  </conditionalFormatting>
  <conditionalFormatting sqref="A1061 C1061:I1061">
    <cfRule type="cellIs" dxfId="1789" priority="2127" stopIfTrue="1" operator="equal">
      <formula>"Fail"</formula>
    </cfRule>
    <cfRule type="cellIs" dxfId="1788" priority="2128" stopIfTrue="1" operator="equal">
      <formula>"Pass"</formula>
    </cfRule>
  </conditionalFormatting>
  <conditionalFormatting sqref="B1061">
    <cfRule type="cellIs" dxfId="1787" priority="2125" stopIfTrue="1" operator="equal">
      <formula>"Fail"</formula>
    </cfRule>
    <cfRule type="cellIs" dxfId="1786" priority="2126" stopIfTrue="1" operator="equal">
      <formula>"Pass"</formula>
    </cfRule>
  </conditionalFormatting>
  <conditionalFormatting sqref="I243">
    <cfRule type="cellIs" dxfId="1785" priority="2107" stopIfTrue="1" operator="equal">
      <formula>"Fail"</formula>
    </cfRule>
    <cfRule type="cellIs" dxfId="1784" priority="2108" stopIfTrue="1" operator="equal">
      <formula>"Pass"</formula>
    </cfRule>
  </conditionalFormatting>
  <conditionalFormatting sqref="C243">
    <cfRule type="cellIs" dxfId="1783" priority="2105" stopIfTrue="1" operator="equal">
      <formula>"Fail"</formula>
    </cfRule>
    <cfRule type="cellIs" dxfId="1782" priority="2106" stopIfTrue="1" operator="equal">
      <formula>"Pass"</formula>
    </cfRule>
  </conditionalFormatting>
  <conditionalFormatting sqref="C243:I243 A243">
    <cfRule type="cellIs" dxfId="1781" priority="2111" stopIfTrue="1" operator="equal">
      <formula>"Fail"</formula>
    </cfRule>
    <cfRule type="cellIs" dxfId="1780" priority="2112" stopIfTrue="1" operator="equal">
      <formula>"Pass"</formula>
    </cfRule>
  </conditionalFormatting>
  <conditionalFormatting sqref="D243:I243 A243">
    <cfRule type="cellIs" dxfId="1779" priority="2109" stopIfTrue="1" operator="equal">
      <formula>"Fail"</formula>
    </cfRule>
    <cfRule type="cellIs" dxfId="1778" priority="2110" stopIfTrue="1" operator="equal">
      <formula>"Pass"</formula>
    </cfRule>
  </conditionalFormatting>
  <conditionalFormatting sqref="C405:I405 A405">
    <cfRule type="cellIs" dxfId="1777" priority="2103" stopIfTrue="1" operator="equal">
      <formula>"Fail"</formula>
    </cfRule>
    <cfRule type="cellIs" dxfId="1776" priority="2104" stopIfTrue="1" operator="equal">
      <formula>"Pass"</formula>
    </cfRule>
  </conditionalFormatting>
  <conditionalFormatting sqref="D405:I405 A405">
    <cfRule type="cellIs" dxfId="1775" priority="2101" stopIfTrue="1" operator="equal">
      <formula>"Fail"</formula>
    </cfRule>
    <cfRule type="cellIs" dxfId="1774" priority="2102" stopIfTrue="1" operator="equal">
      <formula>"Pass"</formula>
    </cfRule>
  </conditionalFormatting>
  <conditionalFormatting sqref="I405">
    <cfRule type="cellIs" dxfId="1773" priority="2099" stopIfTrue="1" operator="equal">
      <formula>"Fail"</formula>
    </cfRule>
    <cfRule type="cellIs" dxfId="1772" priority="2100" stopIfTrue="1" operator="equal">
      <formula>"Pass"</formula>
    </cfRule>
  </conditionalFormatting>
  <conditionalFormatting sqref="C405">
    <cfRule type="cellIs" dxfId="1771" priority="2097" stopIfTrue="1" operator="equal">
      <formula>"Fail"</formula>
    </cfRule>
    <cfRule type="cellIs" dxfId="1770" priority="2098" stopIfTrue="1" operator="equal">
      <formula>"Pass"</formula>
    </cfRule>
  </conditionalFormatting>
  <conditionalFormatting sqref="I403">
    <cfRule type="cellIs" dxfId="1769" priority="2091" stopIfTrue="1" operator="equal">
      <formula>"Fail"</formula>
    </cfRule>
    <cfRule type="cellIs" dxfId="1768" priority="2092" stopIfTrue="1" operator="equal">
      <formula>"Pass"</formula>
    </cfRule>
  </conditionalFormatting>
  <conditionalFormatting sqref="C403">
    <cfRule type="cellIs" dxfId="1767" priority="2089" stopIfTrue="1" operator="equal">
      <formula>"Fail"</formula>
    </cfRule>
    <cfRule type="cellIs" dxfId="1766" priority="2090" stopIfTrue="1" operator="equal">
      <formula>"Pass"</formula>
    </cfRule>
  </conditionalFormatting>
  <conditionalFormatting sqref="C403:I403 A403">
    <cfRule type="cellIs" dxfId="1765" priority="2095" stopIfTrue="1" operator="equal">
      <formula>"Fail"</formula>
    </cfRule>
    <cfRule type="cellIs" dxfId="1764" priority="2096" stopIfTrue="1" operator="equal">
      <formula>"Pass"</formula>
    </cfRule>
  </conditionalFormatting>
  <conditionalFormatting sqref="D403:I403 A403">
    <cfRule type="cellIs" dxfId="1763" priority="2093" stopIfTrue="1" operator="equal">
      <formula>"Fail"</formula>
    </cfRule>
    <cfRule type="cellIs" dxfId="1762" priority="2094" stopIfTrue="1" operator="equal">
      <formula>"Pass"</formula>
    </cfRule>
  </conditionalFormatting>
  <conditionalFormatting sqref="A404 D404:I404">
    <cfRule type="cellIs" dxfId="1761" priority="2085" stopIfTrue="1" operator="equal">
      <formula>"Fail"</formula>
    </cfRule>
    <cfRule type="cellIs" dxfId="1760" priority="2086" stopIfTrue="1" operator="equal">
      <formula>"Pass"</formula>
    </cfRule>
  </conditionalFormatting>
  <conditionalFormatting sqref="A404 D404:I404">
    <cfRule type="cellIs" dxfId="1759" priority="2087" stopIfTrue="1" operator="equal">
      <formula>"Fail"</formula>
    </cfRule>
    <cfRule type="cellIs" dxfId="1758" priority="2088" stopIfTrue="1" operator="equal">
      <formula>"Pass"</formula>
    </cfRule>
  </conditionalFormatting>
  <conditionalFormatting sqref="I404">
    <cfRule type="cellIs" dxfId="1757" priority="2083" stopIfTrue="1" operator="equal">
      <formula>"Fail"</formula>
    </cfRule>
    <cfRule type="cellIs" dxfId="1756" priority="2084" stopIfTrue="1" operator="equal">
      <formula>"Pass"</formula>
    </cfRule>
  </conditionalFormatting>
  <conditionalFormatting sqref="C404">
    <cfRule type="cellIs" dxfId="1755" priority="2079" stopIfTrue="1" operator="equal">
      <formula>"Fail"</formula>
    </cfRule>
    <cfRule type="cellIs" dxfId="1754" priority="2080" stopIfTrue="1" operator="equal">
      <formula>"Pass"</formula>
    </cfRule>
  </conditionalFormatting>
  <conditionalFormatting sqref="C404">
    <cfRule type="cellIs" dxfId="1753" priority="2081" stopIfTrue="1" operator="equal">
      <formula>"Fail"</formula>
    </cfRule>
    <cfRule type="cellIs" dxfId="1752" priority="2082" stopIfTrue="1" operator="equal">
      <formula>"Pass"</formula>
    </cfRule>
  </conditionalFormatting>
  <conditionalFormatting sqref="C406:I406 A406">
    <cfRule type="cellIs" dxfId="1751" priority="2077" stopIfTrue="1" operator="equal">
      <formula>"Fail"</formula>
    </cfRule>
    <cfRule type="cellIs" dxfId="1750" priority="2078" stopIfTrue="1" operator="equal">
      <formula>"Pass"</formula>
    </cfRule>
  </conditionalFormatting>
  <conditionalFormatting sqref="D406:I406 A406">
    <cfRule type="cellIs" dxfId="1749" priority="2075" stopIfTrue="1" operator="equal">
      <formula>"Fail"</formula>
    </cfRule>
    <cfRule type="cellIs" dxfId="1748" priority="2076" stopIfTrue="1" operator="equal">
      <formula>"Pass"</formula>
    </cfRule>
  </conditionalFormatting>
  <conditionalFormatting sqref="I406">
    <cfRule type="cellIs" dxfId="1747" priority="2073" stopIfTrue="1" operator="equal">
      <formula>"Fail"</formula>
    </cfRule>
    <cfRule type="cellIs" dxfId="1746" priority="2074" stopIfTrue="1" operator="equal">
      <formula>"Pass"</formula>
    </cfRule>
  </conditionalFormatting>
  <conditionalFormatting sqref="C406">
    <cfRule type="cellIs" dxfId="1745" priority="2071" stopIfTrue="1" operator="equal">
      <formula>"Fail"</formula>
    </cfRule>
    <cfRule type="cellIs" dxfId="1744" priority="2072" stopIfTrue="1" operator="equal">
      <formula>"Pass"</formula>
    </cfRule>
  </conditionalFormatting>
  <conditionalFormatting sqref="C485:I485 A485">
    <cfRule type="cellIs" dxfId="1743" priority="2069" stopIfTrue="1" operator="equal">
      <formula>"Fail"</formula>
    </cfRule>
    <cfRule type="cellIs" dxfId="1742" priority="2070" stopIfTrue="1" operator="equal">
      <formula>"Pass"</formula>
    </cfRule>
  </conditionalFormatting>
  <conditionalFormatting sqref="D485:I485 A485">
    <cfRule type="cellIs" dxfId="1741" priority="2067" stopIfTrue="1" operator="equal">
      <formula>"Fail"</formula>
    </cfRule>
    <cfRule type="cellIs" dxfId="1740" priority="2068" stopIfTrue="1" operator="equal">
      <formula>"Pass"</formula>
    </cfRule>
  </conditionalFormatting>
  <conditionalFormatting sqref="I485">
    <cfRule type="cellIs" dxfId="1739" priority="2065" stopIfTrue="1" operator="equal">
      <formula>"Fail"</formula>
    </cfRule>
    <cfRule type="cellIs" dxfId="1738" priority="2066" stopIfTrue="1" operator="equal">
      <formula>"Pass"</formula>
    </cfRule>
  </conditionalFormatting>
  <conditionalFormatting sqref="C485">
    <cfRule type="cellIs" dxfId="1737" priority="2063" stopIfTrue="1" operator="equal">
      <formula>"Fail"</formula>
    </cfRule>
    <cfRule type="cellIs" dxfId="1736" priority="2064" stopIfTrue="1" operator="equal">
      <formula>"Pass"</formula>
    </cfRule>
  </conditionalFormatting>
  <conditionalFormatting sqref="A484 D484:I484">
    <cfRule type="cellIs" dxfId="1735" priority="2059" stopIfTrue="1" operator="equal">
      <formula>"Fail"</formula>
    </cfRule>
    <cfRule type="cellIs" dxfId="1734" priority="2060" stopIfTrue="1" operator="equal">
      <formula>"Pass"</formula>
    </cfRule>
  </conditionalFormatting>
  <conditionalFormatting sqref="A484 D484:I484">
    <cfRule type="cellIs" dxfId="1733" priority="2061" stopIfTrue="1" operator="equal">
      <formula>"Fail"</formula>
    </cfRule>
    <cfRule type="cellIs" dxfId="1732" priority="2062" stopIfTrue="1" operator="equal">
      <formula>"Pass"</formula>
    </cfRule>
  </conditionalFormatting>
  <conditionalFormatting sqref="I484">
    <cfRule type="cellIs" dxfId="1731" priority="2057" stopIfTrue="1" operator="equal">
      <formula>"Fail"</formula>
    </cfRule>
    <cfRule type="cellIs" dxfId="1730" priority="2058" stopIfTrue="1" operator="equal">
      <formula>"Pass"</formula>
    </cfRule>
  </conditionalFormatting>
  <conditionalFormatting sqref="C484">
    <cfRule type="cellIs" dxfId="1729" priority="2053" stopIfTrue="1" operator="equal">
      <formula>"Fail"</formula>
    </cfRule>
    <cfRule type="cellIs" dxfId="1728" priority="2054" stopIfTrue="1" operator="equal">
      <formula>"Pass"</formula>
    </cfRule>
  </conditionalFormatting>
  <conditionalFormatting sqref="C484">
    <cfRule type="cellIs" dxfId="1727" priority="2055" stopIfTrue="1" operator="equal">
      <formula>"Fail"</formula>
    </cfRule>
    <cfRule type="cellIs" dxfId="1726" priority="2056" stopIfTrue="1" operator="equal">
      <formula>"Pass"</formula>
    </cfRule>
  </conditionalFormatting>
  <conditionalFormatting sqref="C486:I486 A486">
    <cfRule type="cellIs" dxfId="1725" priority="2051" stopIfTrue="1" operator="equal">
      <formula>"Fail"</formula>
    </cfRule>
    <cfRule type="cellIs" dxfId="1724" priority="2052" stopIfTrue="1" operator="equal">
      <formula>"Pass"</formula>
    </cfRule>
  </conditionalFormatting>
  <conditionalFormatting sqref="D486:I486 A486">
    <cfRule type="cellIs" dxfId="1723" priority="2049" stopIfTrue="1" operator="equal">
      <formula>"Fail"</formula>
    </cfRule>
    <cfRule type="cellIs" dxfId="1722" priority="2050" stopIfTrue="1" operator="equal">
      <formula>"Pass"</formula>
    </cfRule>
  </conditionalFormatting>
  <conditionalFormatting sqref="I486">
    <cfRule type="cellIs" dxfId="1721" priority="2047" stopIfTrue="1" operator="equal">
      <formula>"Fail"</formula>
    </cfRule>
    <cfRule type="cellIs" dxfId="1720" priority="2048" stopIfTrue="1" operator="equal">
      <formula>"Pass"</formula>
    </cfRule>
  </conditionalFormatting>
  <conditionalFormatting sqref="C486">
    <cfRule type="cellIs" dxfId="1719" priority="2045" stopIfTrue="1" operator="equal">
      <formula>"Fail"</formula>
    </cfRule>
    <cfRule type="cellIs" dxfId="1718" priority="2046" stopIfTrue="1" operator="equal">
      <formula>"Pass"</formula>
    </cfRule>
  </conditionalFormatting>
  <conditionalFormatting sqref="I461">
    <cfRule type="cellIs" dxfId="1717" priority="2039" stopIfTrue="1" operator="equal">
      <formula>"Fail"</formula>
    </cfRule>
    <cfRule type="cellIs" dxfId="1716" priority="2040" stopIfTrue="1" operator="equal">
      <formula>"Pass"</formula>
    </cfRule>
  </conditionalFormatting>
  <conditionalFormatting sqref="C461">
    <cfRule type="cellIs" dxfId="1715" priority="2037" stopIfTrue="1" operator="equal">
      <formula>"Fail"</formula>
    </cfRule>
    <cfRule type="cellIs" dxfId="1714" priority="2038" stopIfTrue="1" operator="equal">
      <formula>"Pass"</formula>
    </cfRule>
  </conditionalFormatting>
  <conditionalFormatting sqref="C461:I461 A461">
    <cfRule type="cellIs" dxfId="1713" priority="2043" stopIfTrue="1" operator="equal">
      <formula>"Fail"</formula>
    </cfRule>
    <cfRule type="cellIs" dxfId="1712" priority="2044" stopIfTrue="1" operator="equal">
      <formula>"Pass"</formula>
    </cfRule>
  </conditionalFormatting>
  <conditionalFormatting sqref="D461:I461 A461">
    <cfRule type="cellIs" dxfId="1711" priority="2041" stopIfTrue="1" operator="equal">
      <formula>"Fail"</formula>
    </cfRule>
    <cfRule type="cellIs" dxfId="1710" priority="2042" stopIfTrue="1" operator="equal">
      <formula>"Pass"</formula>
    </cfRule>
  </conditionalFormatting>
  <conditionalFormatting sqref="C463:I463 A463">
    <cfRule type="cellIs" dxfId="1709" priority="2035" stopIfTrue="1" operator="equal">
      <formula>"Fail"</formula>
    </cfRule>
    <cfRule type="cellIs" dxfId="1708" priority="2036" stopIfTrue="1" operator="equal">
      <formula>"Pass"</formula>
    </cfRule>
  </conditionalFormatting>
  <conditionalFormatting sqref="D463:I463 A463">
    <cfRule type="cellIs" dxfId="1707" priority="2033" stopIfTrue="1" operator="equal">
      <formula>"Fail"</formula>
    </cfRule>
    <cfRule type="cellIs" dxfId="1706" priority="2034" stopIfTrue="1" operator="equal">
      <formula>"Pass"</formula>
    </cfRule>
  </conditionalFormatting>
  <conditionalFormatting sqref="I463">
    <cfRule type="cellIs" dxfId="1705" priority="2031" stopIfTrue="1" operator="equal">
      <formula>"Fail"</formula>
    </cfRule>
    <cfRule type="cellIs" dxfId="1704" priority="2032" stopIfTrue="1" operator="equal">
      <formula>"Pass"</formula>
    </cfRule>
  </conditionalFormatting>
  <conditionalFormatting sqref="C463">
    <cfRule type="cellIs" dxfId="1703" priority="2029" stopIfTrue="1" operator="equal">
      <formula>"Fail"</formula>
    </cfRule>
    <cfRule type="cellIs" dxfId="1702" priority="2030" stopIfTrue="1" operator="equal">
      <formula>"Pass"</formula>
    </cfRule>
  </conditionalFormatting>
  <conditionalFormatting sqref="A462 D462:I462">
    <cfRule type="cellIs" dxfId="1701" priority="2025" stopIfTrue="1" operator="equal">
      <formula>"Fail"</formula>
    </cfRule>
    <cfRule type="cellIs" dxfId="1700" priority="2026" stopIfTrue="1" operator="equal">
      <formula>"Pass"</formula>
    </cfRule>
  </conditionalFormatting>
  <conditionalFormatting sqref="A462 D462:I462">
    <cfRule type="cellIs" dxfId="1699" priority="2027" stopIfTrue="1" operator="equal">
      <formula>"Fail"</formula>
    </cfRule>
    <cfRule type="cellIs" dxfId="1698" priority="2028" stopIfTrue="1" operator="equal">
      <formula>"Pass"</formula>
    </cfRule>
  </conditionalFormatting>
  <conditionalFormatting sqref="I462">
    <cfRule type="cellIs" dxfId="1697" priority="2023" stopIfTrue="1" operator="equal">
      <formula>"Fail"</formula>
    </cfRule>
    <cfRule type="cellIs" dxfId="1696" priority="2024" stopIfTrue="1" operator="equal">
      <formula>"Pass"</formula>
    </cfRule>
  </conditionalFormatting>
  <conditionalFormatting sqref="C462">
    <cfRule type="cellIs" dxfId="1695" priority="2019" stopIfTrue="1" operator="equal">
      <formula>"Fail"</formula>
    </cfRule>
    <cfRule type="cellIs" dxfId="1694" priority="2020" stopIfTrue="1" operator="equal">
      <formula>"Pass"</formula>
    </cfRule>
  </conditionalFormatting>
  <conditionalFormatting sqref="C462">
    <cfRule type="cellIs" dxfId="1693" priority="2021" stopIfTrue="1" operator="equal">
      <formula>"Fail"</formula>
    </cfRule>
    <cfRule type="cellIs" dxfId="1692" priority="2022" stopIfTrue="1" operator="equal">
      <formula>"Pass"</formula>
    </cfRule>
  </conditionalFormatting>
  <conditionalFormatting sqref="C464:I464 A464">
    <cfRule type="cellIs" dxfId="1691" priority="2017" stopIfTrue="1" operator="equal">
      <formula>"Fail"</formula>
    </cfRule>
    <cfRule type="cellIs" dxfId="1690" priority="2018" stopIfTrue="1" operator="equal">
      <formula>"Pass"</formula>
    </cfRule>
  </conditionalFormatting>
  <conditionalFormatting sqref="D464:I464 A464">
    <cfRule type="cellIs" dxfId="1689" priority="2015" stopIfTrue="1" operator="equal">
      <formula>"Fail"</formula>
    </cfRule>
    <cfRule type="cellIs" dxfId="1688" priority="2016" stopIfTrue="1" operator="equal">
      <formula>"Pass"</formula>
    </cfRule>
  </conditionalFormatting>
  <conditionalFormatting sqref="I464">
    <cfRule type="cellIs" dxfId="1687" priority="2013" stopIfTrue="1" operator="equal">
      <formula>"Fail"</formula>
    </cfRule>
    <cfRule type="cellIs" dxfId="1686" priority="2014" stopIfTrue="1" operator="equal">
      <formula>"Pass"</formula>
    </cfRule>
  </conditionalFormatting>
  <conditionalFormatting sqref="C464">
    <cfRule type="cellIs" dxfId="1685" priority="2011" stopIfTrue="1" operator="equal">
      <formula>"Fail"</formula>
    </cfRule>
    <cfRule type="cellIs" dxfId="1684" priority="2012" stopIfTrue="1" operator="equal">
      <formula>"Pass"</formula>
    </cfRule>
  </conditionalFormatting>
  <conditionalFormatting sqref="C543:I543 A543">
    <cfRule type="cellIs" dxfId="1683" priority="2001" stopIfTrue="1" operator="equal">
      <formula>"Fail"</formula>
    </cfRule>
    <cfRule type="cellIs" dxfId="1682" priority="2002" stopIfTrue="1" operator="equal">
      <formula>"Pass"</formula>
    </cfRule>
  </conditionalFormatting>
  <conditionalFormatting sqref="D543:I543 A543">
    <cfRule type="cellIs" dxfId="1681" priority="1999" stopIfTrue="1" operator="equal">
      <formula>"Fail"</formula>
    </cfRule>
    <cfRule type="cellIs" dxfId="1680" priority="2000" stopIfTrue="1" operator="equal">
      <formula>"Pass"</formula>
    </cfRule>
  </conditionalFormatting>
  <conditionalFormatting sqref="I543">
    <cfRule type="cellIs" dxfId="1679" priority="1997" stopIfTrue="1" operator="equal">
      <formula>"Fail"</formula>
    </cfRule>
    <cfRule type="cellIs" dxfId="1678" priority="1998" stopIfTrue="1" operator="equal">
      <formula>"Pass"</formula>
    </cfRule>
  </conditionalFormatting>
  <conditionalFormatting sqref="C543">
    <cfRule type="cellIs" dxfId="1677" priority="1995" stopIfTrue="1" operator="equal">
      <formula>"Fail"</formula>
    </cfRule>
    <cfRule type="cellIs" dxfId="1676" priority="1996" stopIfTrue="1" operator="equal">
      <formula>"Pass"</formula>
    </cfRule>
  </conditionalFormatting>
  <conditionalFormatting sqref="A542 D542:I542">
    <cfRule type="cellIs" dxfId="1675" priority="1991" stopIfTrue="1" operator="equal">
      <formula>"Fail"</formula>
    </cfRule>
    <cfRule type="cellIs" dxfId="1674" priority="1992" stopIfTrue="1" operator="equal">
      <formula>"Pass"</formula>
    </cfRule>
  </conditionalFormatting>
  <conditionalFormatting sqref="A542 D542:I542">
    <cfRule type="cellIs" dxfId="1673" priority="1993" stopIfTrue="1" operator="equal">
      <formula>"Fail"</formula>
    </cfRule>
    <cfRule type="cellIs" dxfId="1672" priority="1994" stopIfTrue="1" operator="equal">
      <formula>"Pass"</formula>
    </cfRule>
  </conditionalFormatting>
  <conditionalFormatting sqref="I542">
    <cfRule type="cellIs" dxfId="1671" priority="1989" stopIfTrue="1" operator="equal">
      <formula>"Fail"</formula>
    </cfRule>
    <cfRule type="cellIs" dxfId="1670" priority="1990" stopIfTrue="1" operator="equal">
      <formula>"Pass"</formula>
    </cfRule>
  </conditionalFormatting>
  <conditionalFormatting sqref="C542">
    <cfRule type="cellIs" dxfId="1669" priority="1985" stopIfTrue="1" operator="equal">
      <formula>"Fail"</formula>
    </cfRule>
    <cfRule type="cellIs" dxfId="1668" priority="1986" stopIfTrue="1" operator="equal">
      <formula>"Pass"</formula>
    </cfRule>
  </conditionalFormatting>
  <conditionalFormatting sqref="C542">
    <cfRule type="cellIs" dxfId="1667" priority="1987" stopIfTrue="1" operator="equal">
      <formula>"Fail"</formula>
    </cfRule>
    <cfRule type="cellIs" dxfId="1666" priority="1988" stopIfTrue="1" operator="equal">
      <formula>"Pass"</formula>
    </cfRule>
  </conditionalFormatting>
  <conditionalFormatting sqref="C544:I544 A544">
    <cfRule type="cellIs" dxfId="1665" priority="1983" stopIfTrue="1" operator="equal">
      <formula>"Fail"</formula>
    </cfRule>
    <cfRule type="cellIs" dxfId="1664" priority="1984" stopIfTrue="1" operator="equal">
      <formula>"Pass"</formula>
    </cfRule>
  </conditionalFormatting>
  <conditionalFormatting sqref="D544:I544 A544">
    <cfRule type="cellIs" dxfId="1663" priority="1981" stopIfTrue="1" operator="equal">
      <formula>"Fail"</formula>
    </cfRule>
    <cfRule type="cellIs" dxfId="1662" priority="1982" stopIfTrue="1" operator="equal">
      <formula>"Pass"</formula>
    </cfRule>
  </conditionalFormatting>
  <conditionalFormatting sqref="I544">
    <cfRule type="cellIs" dxfId="1661" priority="1979" stopIfTrue="1" operator="equal">
      <formula>"Fail"</formula>
    </cfRule>
    <cfRule type="cellIs" dxfId="1660" priority="1980" stopIfTrue="1" operator="equal">
      <formula>"Pass"</formula>
    </cfRule>
  </conditionalFormatting>
  <conditionalFormatting sqref="C544">
    <cfRule type="cellIs" dxfId="1659" priority="1977" stopIfTrue="1" operator="equal">
      <formula>"Fail"</formula>
    </cfRule>
    <cfRule type="cellIs" dxfId="1658" priority="1978" stopIfTrue="1" operator="equal">
      <formula>"Pass"</formula>
    </cfRule>
  </conditionalFormatting>
  <conditionalFormatting sqref="I644">
    <cfRule type="cellIs" dxfId="1657" priority="1971" stopIfTrue="1" operator="equal">
      <formula>"Fail"</formula>
    </cfRule>
    <cfRule type="cellIs" dxfId="1656" priority="1972" stopIfTrue="1" operator="equal">
      <formula>"Pass"</formula>
    </cfRule>
  </conditionalFormatting>
  <conditionalFormatting sqref="C644">
    <cfRule type="cellIs" dxfId="1655" priority="1969" stopIfTrue="1" operator="equal">
      <formula>"Fail"</formula>
    </cfRule>
    <cfRule type="cellIs" dxfId="1654" priority="1970" stopIfTrue="1" operator="equal">
      <formula>"Pass"</formula>
    </cfRule>
  </conditionalFormatting>
  <conditionalFormatting sqref="C644:I644 A644">
    <cfRule type="cellIs" dxfId="1653" priority="1975" stopIfTrue="1" operator="equal">
      <formula>"Fail"</formula>
    </cfRule>
    <cfRule type="cellIs" dxfId="1652" priority="1976" stopIfTrue="1" operator="equal">
      <formula>"Pass"</formula>
    </cfRule>
  </conditionalFormatting>
  <conditionalFormatting sqref="D644:I644 A644">
    <cfRule type="cellIs" dxfId="1651" priority="1973" stopIfTrue="1" operator="equal">
      <formula>"Fail"</formula>
    </cfRule>
    <cfRule type="cellIs" dxfId="1650" priority="1974" stopIfTrue="1" operator="equal">
      <formula>"Pass"</formula>
    </cfRule>
  </conditionalFormatting>
  <conditionalFormatting sqref="I645">
    <cfRule type="cellIs" dxfId="1649" priority="1963" stopIfTrue="1" operator="equal">
      <formula>"Fail"</formula>
    </cfRule>
    <cfRule type="cellIs" dxfId="1648" priority="1964" stopIfTrue="1" operator="equal">
      <formula>"Pass"</formula>
    </cfRule>
  </conditionalFormatting>
  <conditionalFormatting sqref="D645:I645 A645">
    <cfRule type="cellIs" dxfId="1647" priority="1967" stopIfTrue="1" operator="equal">
      <formula>"Fail"</formula>
    </cfRule>
    <cfRule type="cellIs" dxfId="1646" priority="1968" stopIfTrue="1" operator="equal">
      <formula>"Pass"</formula>
    </cfRule>
  </conditionalFormatting>
  <conditionalFormatting sqref="D645:I645 A645">
    <cfRule type="cellIs" dxfId="1645" priority="1965" stopIfTrue="1" operator="equal">
      <formula>"Fail"</formula>
    </cfRule>
    <cfRule type="cellIs" dxfId="1644" priority="1966" stopIfTrue="1" operator="equal">
      <formula>"Pass"</formula>
    </cfRule>
  </conditionalFormatting>
  <conditionalFormatting sqref="C645">
    <cfRule type="cellIs" dxfId="1643" priority="1959" stopIfTrue="1" operator="equal">
      <formula>"Fail"</formula>
    </cfRule>
    <cfRule type="cellIs" dxfId="1642" priority="1960" stopIfTrue="1" operator="equal">
      <formula>"Pass"</formula>
    </cfRule>
  </conditionalFormatting>
  <conditionalFormatting sqref="C645">
    <cfRule type="cellIs" dxfId="1641" priority="1961" stopIfTrue="1" operator="equal">
      <formula>"Fail"</formula>
    </cfRule>
    <cfRule type="cellIs" dxfId="1640" priority="1962" stopIfTrue="1" operator="equal">
      <formula>"Pass"</formula>
    </cfRule>
  </conditionalFormatting>
  <conditionalFormatting sqref="I643">
    <cfRule type="cellIs" dxfId="1639" priority="1953" stopIfTrue="1" operator="equal">
      <formula>"Fail"</formula>
    </cfRule>
    <cfRule type="cellIs" dxfId="1638" priority="1954" stopIfTrue="1" operator="equal">
      <formula>"Pass"</formula>
    </cfRule>
  </conditionalFormatting>
  <conditionalFormatting sqref="C643">
    <cfRule type="cellIs" dxfId="1637" priority="1951" stopIfTrue="1" operator="equal">
      <formula>"Fail"</formula>
    </cfRule>
    <cfRule type="cellIs" dxfId="1636" priority="1952" stopIfTrue="1" operator="equal">
      <formula>"Pass"</formula>
    </cfRule>
  </conditionalFormatting>
  <conditionalFormatting sqref="C643:I643 A643">
    <cfRule type="cellIs" dxfId="1635" priority="1957" stopIfTrue="1" operator="equal">
      <formula>"Fail"</formula>
    </cfRule>
    <cfRule type="cellIs" dxfId="1634" priority="1958" stopIfTrue="1" operator="equal">
      <formula>"Pass"</formula>
    </cfRule>
  </conditionalFormatting>
  <conditionalFormatting sqref="D643:I643 A643">
    <cfRule type="cellIs" dxfId="1633" priority="1955" stopIfTrue="1" operator="equal">
      <formula>"Fail"</formula>
    </cfRule>
    <cfRule type="cellIs" dxfId="1632" priority="1956" stopIfTrue="1" operator="equal">
      <formula>"Pass"</formula>
    </cfRule>
  </conditionalFormatting>
  <conditionalFormatting sqref="I671">
    <cfRule type="cellIs" dxfId="1631" priority="1945" stopIfTrue="1" operator="equal">
      <formula>"Fail"</formula>
    </cfRule>
    <cfRule type="cellIs" dxfId="1630" priority="1946" stopIfTrue="1" operator="equal">
      <formula>"Pass"</formula>
    </cfRule>
  </conditionalFormatting>
  <conditionalFormatting sqref="C671">
    <cfRule type="cellIs" dxfId="1629" priority="1943" stopIfTrue="1" operator="equal">
      <formula>"Fail"</formula>
    </cfRule>
    <cfRule type="cellIs" dxfId="1628" priority="1944" stopIfTrue="1" operator="equal">
      <formula>"Pass"</formula>
    </cfRule>
  </conditionalFormatting>
  <conditionalFormatting sqref="C671:I671 A671">
    <cfRule type="cellIs" dxfId="1627" priority="1949" stopIfTrue="1" operator="equal">
      <formula>"Fail"</formula>
    </cfRule>
    <cfRule type="cellIs" dxfId="1626" priority="1950" stopIfTrue="1" operator="equal">
      <formula>"Pass"</formula>
    </cfRule>
  </conditionalFormatting>
  <conditionalFormatting sqref="D671:I671 A671">
    <cfRule type="cellIs" dxfId="1625" priority="1947" stopIfTrue="1" operator="equal">
      <formula>"Fail"</formula>
    </cfRule>
    <cfRule type="cellIs" dxfId="1624" priority="1948" stopIfTrue="1" operator="equal">
      <formula>"Pass"</formula>
    </cfRule>
  </conditionalFormatting>
  <conditionalFormatting sqref="I672">
    <cfRule type="cellIs" dxfId="1623" priority="1937" stopIfTrue="1" operator="equal">
      <formula>"Fail"</formula>
    </cfRule>
    <cfRule type="cellIs" dxfId="1622" priority="1938" stopIfTrue="1" operator="equal">
      <formula>"Pass"</formula>
    </cfRule>
  </conditionalFormatting>
  <conditionalFormatting sqref="D672:I672 A672">
    <cfRule type="cellIs" dxfId="1621" priority="1941" stopIfTrue="1" operator="equal">
      <formula>"Fail"</formula>
    </cfRule>
    <cfRule type="cellIs" dxfId="1620" priority="1942" stopIfTrue="1" operator="equal">
      <formula>"Pass"</formula>
    </cfRule>
  </conditionalFormatting>
  <conditionalFormatting sqref="D672:I672 A672">
    <cfRule type="cellIs" dxfId="1619" priority="1939" stopIfTrue="1" operator="equal">
      <formula>"Fail"</formula>
    </cfRule>
    <cfRule type="cellIs" dxfId="1618" priority="1940" stopIfTrue="1" operator="equal">
      <formula>"Pass"</formula>
    </cfRule>
  </conditionalFormatting>
  <conditionalFormatting sqref="C672">
    <cfRule type="cellIs" dxfId="1617" priority="1933" stopIfTrue="1" operator="equal">
      <formula>"Fail"</formula>
    </cfRule>
    <cfRule type="cellIs" dxfId="1616" priority="1934" stopIfTrue="1" operator="equal">
      <formula>"Pass"</formula>
    </cfRule>
  </conditionalFormatting>
  <conditionalFormatting sqref="C672">
    <cfRule type="cellIs" dxfId="1615" priority="1935" stopIfTrue="1" operator="equal">
      <formula>"Fail"</formula>
    </cfRule>
    <cfRule type="cellIs" dxfId="1614" priority="1936" stopIfTrue="1" operator="equal">
      <formula>"Pass"</formula>
    </cfRule>
  </conditionalFormatting>
  <conditionalFormatting sqref="I669">
    <cfRule type="cellIs" dxfId="1613" priority="1927" stopIfTrue="1" operator="equal">
      <formula>"Fail"</formula>
    </cfRule>
    <cfRule type="cellIs" dxfId="1612" priority="1928" stopIfTrue="1" operator="equal">
      <formula>"Pass"</formula>
    </cfRule>
  </conditionalFormatting>
  <conditionalFormatting sqref="C669">
    <cfRule type="cellIs" dxfId="1611" priority="1925" stopIfTrue="1" operator="equal">
      <formula>"Fail"</formula>
    </cfRule>
    <cfRule type="cellIs" dxfId="1610" priority="1926" stopIfTrue="1" operator="equal">
      <formula>"Pass"</formula>
    </cfRule>
  </conditionalFormatting>
  <conditionalFormatting sqref="C669:I669 A669">
    <cfRule type="cellIs" dxfId="1609" priority="1931" stopIfTrue="1" operator="equal">
      <formula>"Fail"</formula>
    </cfRule>
    <cfRule type="cellIs" dxfId="1608" priority="1932" stopIfTrue="1" operator="equal">
      <formula>"Pass"</formula>
    </cfRule>
  </conditionalFormatting>
  <conditionalFormatting sqref="D669:I669 A669">
    <cfRule type="cellIs" dxfId="1607" priority="1929" stopIfTrue="1" operator="equal">
      <formula>"Fail"</formula>
    </cfRule>
    <cfRule type="cellIs" dxfId="1606" priority="1930" stopIfTrue="1" operator="equal">
      <formula>"Pass"</formula>
    </cfRule>
  </conditionalFormatting>
  <conditionalFormatting sqref="A670 D670:I670">
    <cfRule type="cellIs" dxfId="1605" priority="1921" stopIfTrue="1" operator="equal">
      <formula>"Fail"</formula>
    </cfRule>
    <cfRule type="cellIs" dxfId="1604" priority="1922" stopIfTrue="1" operator="equal">
      <formula>"Pass"</formula>
    </cfRule>
  </conditionalFormatting>
  <conditionalFormatting sqref="A670 C670:I670">
    <cfRule type="cellIs" dxfId="1603" priority="1923" stopIfTrue="1" operator="equal">
      <formula>"Fail"</formula>
    </cfRule>
    <cfRule type="cellIs" dxfId="1602" priority="1924" stopIfTrue="1" operator="equal">
      <formula>"Pass"</formula>
    </cfRule>
  </conditionalFormatting>
  <conditionalFormatting sqref="I670">
    <cfRule type="cellIs" dxfId="1601" priority="1919" stopIfTrue="1" operator="equal">
      <formula>"Fail"</formula>
    </cfRule>
    <cfRule type="cellIs" dxfId="1600" priority="1920" stopIfTrue="1" operator="equal">
      <formula>"Pass"</formula>
    </cfRule>
  </conditionalFormatting>
  <conditionalFormatting sqref="C670">
    <cfRule type="cellIs" dxfId="1599" priority="1917" stopIfTrue="1" operator="equal">
      <formula>"Fail"</formula>
    </cfRule>
    <cfRule type="cellIs" dxfId="1598" priority="1918" stopIfTrue="1" operator="equal">
      <formula>"Pass"</formula>
    </cfRule>
  </conditionalFormatting>
  <conditionalFormatting sqref="I709">
    <cfRule type="cellIs" dxfId="1597" priority="1911" stopIfTrue="1" operator="equal">
      <formula>"Fail"</formula>
    </cfRule>
    <cfRule type="cellIs" dxfId="1596" priority="1912" stopIfTrue="1" operator="equal">
      <formula>"Pass"</formula>
    </cfRule>
  </conditionalFormatting>
  <conditionalFormatting sqref="C709">
    <cfRule type="cellIs" dxfId="1595" priority="1909" stopIfTrue="1" operator="equal">
      <formula>"Fail"</formula>
    </cfRule>
    <cfRule type="cellIs" dxfId="1594" priority="1910" stopIfTrue="1" operator="equal">
      <formula>"Pass"</formula>
    </cfRule>
  </conditionalFormatting>
  <conditionalFormatting sqref="C709:I709 A709">
    <cfRule type="cellIs" dxfId="1593" priority="1915" stopIfTrue="1" operator="equal">
      <formula>"Fail"</formula>
    </cfRule>
    <cfRule type="cellIs" dxfId="1592" priority="1916" stopIfTrue="1" operator="equal">
      <formula>"Pass"</formula>
    </cfRule>
  </conditionalFormatting>
  <conditionalFormatting sqref="D709:I709 A709">
    <cfRule type="cellIs" dxfId="1591" priority="1913" stopIfTrue="1" operator="equal">
      <formula>"Fail"</formula>
    </cfRule>
    <cfRule type="cellIs" dxfId="1590" priority="1914" stopIfTrue="1" operator="equal">
      <formula>"Pass"</formula>
    </cfRule>
  </conditionalFormatting>
  <conditionalFormatting sqref="I710">
    <cfRule type="cellIs" dxfId="1589" priority="1903" stopIfTrue="1" operator="equal">
      <formula>"Fail"</formula>
    </cfRule>
    <cfRule type="cellIs" dxfId="1588" priority="1904" stopIfTrue="1" operator="equal">
      <formula>"Pass"</formula>
    </cfRule>
  </conditionalFormatting>
  <conditionalFormatting sqref="D710:I710 A710">
    <cfRule type="cellIs" dxfId="1587" priority="1907" stopIfTrue="1" operator="equal">
      <formula>"Fail"</formula>
    </cfRule>
    <cfRule type="cellIs" dxfId="1586" priority="1908" stopIfTrue="1" operator="equal">
      <formula>"Pass"</formula>
    </cfRule>
  </conditionalFormatting>
  <conditionalFormatting sqref="D710:I710 A710">
    <cfRule type="cellIs" dxfId="1585" priority="1905" stopIfTrue="1" operator="equal">
      <formula>"Fail"</formula>
    </cfRule>
    <cfRule type="cellIs" dxfId="1584" priority="1906" stopIfTrue="1" operator="equal">
      <formula>"Pass"</formula>
    </cfRule>
  </conditionalFormatting>
  <conditionalFormatting sqref="C710">
    <cfRule type="cellIs" dxfId="1583" priority="1899" stopIfTrue="1" operator="equal">
      <formula>"Fail"</formula>
    </cfRule>
    <cfRule type="cellIs" dxfId="1582" priority="1900" stopIfTrue="1" operator="equal">
      <formula>"Pass"</formula>
    </cfRule>
  </conditionalFormatting>
  <conditionalFormatting sqref="C710">
    <cfRule type="cellIs" dxfId="1581" priority="1901" stopIfTrue="1" operator="equal">
      <formula>"Fail"</formula>
    </cfRule>
    <cfRule type="cellIs" dxfId="1580" priority="1902" stopIfTrue="1" operator="equal">
      <formula>"Pass"</formula>
    </cfRule>
  </conditionalFormatting>
  <conditionalFormatting sqref="I707">
    <cfRule type="cellIs" dxfId="1579" priority="1893" stopIfTrue="1" operator="equal">
      <formula>"Fail"</formula>
    </cfRule>
    <cfRule type="cellIs" dxfId="1578" priority="1894" stopIfTrue="1" operator="equal">
      <formula>"Pass"</formula>
    </cfRule>
  </conditionalFormatting>
  <conditionalFormatting sqref="C707">
    <cfRule type="cellIs" dxfId="1577" priority="1891" stopIfTrue="1" operator="equal">
      <formula>"Fail"</formula>
    </cfRule>
    <cfRule type="cellIs" dxfId="1576" priority="1892" stopIfTrue="1" operator="equal">
      <formula>"Pass"</formula>
    </cfRule>
  </conditionalFormatting>
  <conditionalFormatting sqref="C707:I707 A707">
    <cfRule type="cellIs" dxfId="1575" priority="1897" stopIfTrue="1" operator="equal">
      <formula>"Fail"</formula>
    </cfRule>
    <cfRule type="cellIs" dxfId="1574" priority="1898" stopIfTrue="1" operator="equal">
      <formula>"Pass"</formula>
    </cfRule>
  </conditionalFormatting>
  <conditionalFormatting sqref="D707:I707 A707">
    <cfRule type="cellIs" dxfId="1573" priority="1895" stopIfTrue="1" operator="equal">
      <formula>"Fail"</formula>
    </cfRule>
    <cfRule type="cellIs" dxfId="1572" priority="1896" stopIfTrue="1" operator="equal">
      <formula>"Pass"</formula>
    </cfRule>
  </conditionalFormatting>
  <conditionalFormatting sqref="A708 D708:I708">
    <cfRule type="cellIs" dxfId="1571" priority="1887" stopIfTrue="1" operator="equal">
      <formula>"Fail"</formula>
    </cfRule>
    <cfRule type="cellIs" dxfId="1570" priority="1888" stopIfTrue="1" operator="equal">
      <formula>"Pass"</formula>
    </cfRule>
  </conditionalFormatting>
  <conditionalFormatting sqref="A708 C708:I708">
    <cfRule type="cellIs" dxfId="1569" priority="1889" stopIfTrue="1" operator="equal">
      <formula>"Fail"</formula>
    </cfRule>
    <cfRule type="cellIs" dxfId="1568" priority="1890" stopIfTrue="1" operator="equal">
      <formula>"Pass"</formula>
    </cfRule>
  </conditionalFormatting>
  <conditionalFormatting sqref="I708">
    <cfRule type="cellIs" dxfId="1567" priority="1885" stopIfTrue="1" operator="equal">
      <formula>"Fail"</formula>
    </cfRule>
    <cfRule type="cellIs" dxfId="1566" priority="1886" stopIfTrue="1" operator="equal">
      <formula>"Pass"</formula>
    </cfRule>
  </conditionalFormatting>
  <conditionalFormatting sqref="C708">
    <cfRule type="cellIs" dxfId="1565" priority="1883" stopIfTrue="1" operator="equal">
      <formula>"Fail"</formula>
    </cfRule>
    <cfRule type="cellIs" dxfId="1564" priority="1884" stopIfTrue="1" operator="equal">
      <formula>"Pass"</formula>
    </cfRule>
  </conditionalFormatting>
  <conditionalFormatting sqref="C809:I809 A809">
    <cfRule type="cellIs" dxfId="1563" priority="1881" stopIfTrue="1" operator="equal">
      <formula>"Fail"</formula>
    </cfRule>
    <cfRule type="cellIs" dxfId="1562" priority="1882" stopIfTrue="1" operator="equal">
      <formula>"Pass"</formula>
    </cfRule>
  </conditionalFormatting>
  <conditionalFormatting sqref="D809:I809 A809">
    <cfRule type="cellIs" dxfId="1561" priority="1879" stopIfTrue="1" operator="equal">
      <formula>"Fail"</formula>
    </cfRule>
    <cfRule type="cellIs" dxfId="1560" priority="1880" stopIfTrue="1" operator="equal">
      <formula>"Pass"</formula>
    </cfRule>
  </conditionalFormatting>
  <conditionalFormatting sqref="I809">
    <cfRule type="cellIs" dxfId="1559" priority="1877" stopIfTrue="1" operator="equal">
      <formula>"Fail"</formula>
    </cfRule>
    <cfRule type="cellIs" dxfId="1558" priority="1878" stopIfTrue="1" operator="equal">
      <formula>"Pass"</formula>
    </cfRule>
  </conditionalFormatting>
  <conditionalFormatting sqref="C809">
    <cfRule type="cellIs" dxfId="1557" priority="1875" stopIfTrue="1" operator="equal">
      <formula>"Fail"</formula>
    </cfRule>
    <cfRule type="cellIs" dxfId="1556" priority="1876" stopIfTrue="1" operator="equal">
      <formula>"Pass"</formula>
    </cfRule>
  </conditionalFormatting>
  <conditionalFormatting sqref="C808:I808 A808">
    <cfRule type="cellIs" dxfId="1555" priority="1873" stopIfTrue="1" operator="equal">
      <formula>"Fail"</formula>
    </cfRule>
    <cfRule type="cellIs" dxfId="1554" priority="1874" stopIfTrue="1" operator="equal">
      <formula>"Pass"</formula>
    </cfRule>
  </conditionalFormatting>
  <conditionalFormatting sqref="D808:I808 A808">
    <cfRule type="cellIs" dxfId="1553" priority="1871" stopIfTrue="1" operator="equal">
      <formula>"Fail"</formula>
    </cfRule>
    <cfRule type="cellIs" dxfId="1552" priority="1872" stopIfTrue="1" operator="equal">
      <formula>"Pass"</formula>
    </cfRule>
  </conditionalFormatting>
  <conditionalFormatting sqref="I808">
    <cfRule type="cellIs" dxfId="1551" priority="1869" stopIfTrue="1" operator="equal">
      <formula>"Fail"</formula>
    </cfRule>
    <cfRule type="cellIs" dxfId="1550" priority="1870" stopIfTrue="1" operator="equal">
      <formula>"Pass"</formula>
    </cfRule>
  </conditionalFormatting>
  <conditionalFormatting sqref="C808">
    <cfRule type="cellIs" dxfId="1549" priority="1867" stopIfTrue="1" operator="equal">
      <formula>"Fail"</formula>
    </cfRule>
    <cfRule type="cellIs" dxfId="1548" priority="1868" stopIfTrue="1" operator="equal">
      <formula>"Pass"</formula>
    </cfRule>
  </conditionalFormatting>
  <conditionalFormatting sqref="C846:I846 A846">
    <cfRule type="cellIs" dxfId="1547" priority="1849" stopIfTrue="1" operator="equal">
      <formula>"Fail"</formula>
    </cfRule>
    <cfRule type="cellIs" dxfId="1546" priority="1850" stopIfTrue="1" operator="equal">
      <formula>"Pass"</formula>
    </cfRule>
  </conditionalFormatting>
  <conditionalFormatting sqref="D846:I846 A846">
    <cfRule type="cellIs" dxfId="1545" priority="1847" stopIfTrue="1" operator="equal">
      <formula>"Fail"</formula>
    </cfRule>
    <cfRule type="cellIs" dxfId="1544" priority="1848" stopIfTrue="1" operator="equal">
      <formula>"Pass"</formula>
    </cfRule>
  </conditionalFormatting>
  <conditionalFormatting sqref="I846">
    <cfRule type="cellIs" dxfId="1543" priority="1845" stopIfTrue="1" operator="equal">
      <formula>"Fail"</formula>
    </cfRule>
    <cfRule type="cellIs" dxfId="1542" priority="1846" stopIfTrue="1" operator="equal">
      <formula>"Pass"</formula>
    </cfRule>
  </conditionalFormatting>
  <conditionalFormatting sqref="C846">
    <cfRule type="cellIs" dxfId="1541" priority="1843" stopIfTrue="1" operator="equal">
      <formula>"Fail"</formula>
    </cfRule>
    <cfRule type="cellIs" dxfId="1540" priority="1844" stopIfTrue="1" operator="equal">
      <formula>"Pass"</formula>
    </cfRule>
  </conditionalFormatting>
  <conditionalFormatting sqref="C845:I845 A845">
    <cfRule type="cellIs" dxfId="1539" priority="1841" stopIfTrue="1" operator="equal">
      <formula>"Fail"</formula>
    </cfRule>
    <cfRule type="cellIs" dxfId="1538" priority="1842" stopIfTrue="1" operator="equal">
      <formula>"Pass"</formula>
    </cfRule>
  </conditionalFormatting>
  <conditionalFormatting sqref="D845:I845 A845">
    <cfRule type="cellIs" dxfId="1537" priority="1839" stopIfTrue="1" operator="equal">
      <formula>"Fail"</formula>
    </cfRule>
    <cfRule type="cellIs" dxfId="1536" priority="1840" stopIfTrue="1" operator="equal">
      <formula>"Pass"</formula>
    </cfRule>
  </conditionalFormatting>
  <conditionalFormatting sqref="I845">
    <cfRule type="cellIs" dxfId="1535" priority="1837" stopIfTrue="1" operator="equal">
      <formula>"Fail"</formula>
    </cfRule>
    <cfRule type="cellIs" dxfId="1534" priority="1838" stopIfTrue="1" operator="equal">
      <formula>"Pass"</formula>
    </cfRule>
  </conditionalFormatting>
  <conditionalFormatting sqref="C845">
    <cfRule type="cellIs" dxfId="1533" priority="1835" stopIfTrue="1" operator="equal">
      <formula>"Fail"</formula>
    </cfRule>
    <cfRule type="cellIs" dxfId="1532" priority="1836" stopIfTrue="1" operator="equal">
      <formula>"Pass"</formula>
    </cfRule>
  </conditionalFormatting>
  <conditionalFormatting sqref="C865:I865 A865">
    <cfRule type="cellIs" dxfId="1531" priority="1817" stopIfTrue="1" operator="equal">
      <formula>"Fail"</formula>
    </cfRule>
    <cfRule type="cellIs" dxfId="1530" priority="1818" stopIfTrue="1" operator="equal">
      <formula>"Pass"</formula>
    </cfRule>
  </conditionalFormatting>
  <conditionalFormatting sqref="D865:I865 A865">
    <cfRule type="cellIs" dxfId="1529" priority="1815" stopIfTrue="1" operator="equal">
      <formula>"Fail"</formula>
    </cfRule>
    <cfRule type="cellIs" dxfId="1528" priority="1816" stopIfTrue="1" operator="equal">
      <formula>"Pass"</formula>
    </cfRule>
  </conditionalFormatting>
  <conditionalFormatting sqref="I865">
    <cfRule type="cellIs" dxfId="1527" priority="1813" stopIfTrue="1" operator="equal">
      <formula>"Fail"</formula>
    </cfRule>
    <cfRule type="cellIs" dxfId="1526" priority="1814" stopIfTrue="1" operator="equal">
      <formula>"Pass"</formula>
    </cfRule>
  </conditionalFormatting>
  <conditionalFormatting sqref="C865">
    <cfRule type="cellIs" dxfId="1525" priority="1811" stopIfTrue="1" operator="equal">
      <formula>"Fail"</formula>
    </cfRule>
    <cfRule type="cellIs" dxfId="1524" priority="1812" stopIfTrue="1" operator="equal">
      <formula>"Pass"</formula>
    </cfRule>
  </conditionalFormatting>
  <conditionalFormatting sqref="C864:I864 A864">
    <cfRule type="cellIs" dxfId="1523" priority="1809" stopIfTrue="1" operator="equal">
      <formula>"Fail"</formula>
    </cfRule>
    <cfRule type="cellIs" dxfId="1522" priority="1810" stopIfTrue="1" operator="equal">
      <formula>"Pass"</formula>
    </cfRule>
  </conditionalFormatting>
  <conditionalFormatting sqref="D864:I864 A864">
    <cfRule type="cellIs" dxfId="1521" priority="1807" stopIfTrue="1" operator="equal">
      <formula>"Fail"</formula>
    </cfRule>
    <cfRule type="cellIs" dxfId="1520" priority="1808" stopIfTrue="1" operator="equal">
      <formula>"Pass"</formula>
    </cfRule>
  </conditionalFormatting>
  <conditionalFormatting sqref="I864">
    <cfRule type="cellIs" dxfId="1519" priority="1805" stopIfTrue="1" operator="equal">
      <formula>"Fail"</formula>
    </cfRule>
    <cfRule type="cellIs" dxfId="1518" priority="1806" stopIfTrue="1" operator="equal">
      <formula>"Pass"</formula>
    </cfRule>
  </conditionalFormatting>
  <conditionalFormatting sqref="C864">
    <cfRule type="cellIs" dxfId="1517" priority="1803" stopIfTrue="1" operator="equal">
      <formula>"Fail"</formula>
    </cfRule>
    <cfRule type="cellIs" dxfId="1516" priority="1804" stopIfTrue="1" operator="equal">
      <formula>"Pass"</formula>
    </cfRule>
  </conditionalFormatting>
  <conditionalFormatting sqref="C887:I887 A887">
    <cfRule type="cellIs" dxfId="1515" priority="1785" stopIfTrue="1" operator="equal">
      <formula>"Fail"</formula>
    </cfRule>
    <cfRule type="cellIs" dxfId="1514" priority="1786" stopIfTrue="1" operator="equal">
      <formula>"Pass"</formula>
    </cfRule>
  </conditionalFormatting>
  <conditionalFormatting sqref="D887:I887 A887">
    <cfRule type="cellIs" dxfId="1513" priority="1783" stopIfTrue="1" operator="equal">
      <formula>"Fail"</formula>
    </cfRule>
    <cfRule type="cellIs" dxfId="1512" priority="1784" stopIfTrue="1" operator="equal">
      <formula>"Pass"</formula>
    </cfRule>
  </conditionalFormatting>
  <conditionalFormatting sqref="I887">
    <cfRule type="cellIs" dxfId="1511" priority="1781" stopIfTrue="1" operator="equal">
      <formula>"Fail"</formula>
    </cfRule>
    <cfRule type="cellIs" dxfId="1510" priority="1782" stopIfTrue="1" operator="equal">
      <formula>"Pass"</formula>
    </cfRule>
  </conditionalFormatting>
  <conditionalFormatting sqref="C887">
    <cfRule type="cellIs" dxfId="1509" priority="1779" stopIfTrue="1" operator="equal">
      <formula>"Fail"</formula>
    </cfRule>
    <cfRule type="cellIs" dxfId="1508" priority="1780" stopIfTrue="1" operator="equal">
      <formula>"Pass"</formula>
    </cfRule>
  </conditionalFormatting>
  <conditionalFormatting sqref="C886:I886 A886">
    <cfRule type="cellIs" dxfId="1507" priority="1777" stopIfTrue="1" operator="equal">
      <formula>"Fail"</formula>
    </cfRule>
    <cfRule type="cellIs" dxfId="1506" priority="1778" stopIfTrue="1" operator="equal">
      <formula>"Pass"</formula>
    </cfRule>
  </conditionalFormatting>
  <conditionalFormatting sqref="D886:I886 A886">
    <cfRule type="cellIs" dxfId="1505" priority="1775" stopIfTrue="1" operator="equal">
      <formula>"Fail"</formula>
    </cfRule>
    <cfRule type="cellIs" dxfId="1504" priority="1776" stopIfTrue="1" operator="equal">
      <formula>"Pass"</formula>
    </cfRule>
  </conditionalFormatting>
  <conditionalFormatting sqref="I886">
    <cfRule type="cellIs" dxfId="1503" priority="1773" stopIfTrue="1" operator="equal">
      <formula>"Fail"</formula>
    </cfRule>
    <cfRule type="cellIs" dxfId="1502" priority="1774" stopIfTrue="1" operator="equal">
      <formula>"Pass"</formula>
    </cfRule>
  </conditionalFormatting>
  <conditionalFormatting sqref="C886">
    <cfRule type="cellIs" dxfId="1501" priority="1771" stopIfTrue="1" operator="equal">
      <formula>"Fail"</formula>
    </cfRule>
    <cfRule type="cellIs" dxfId="1500" priority="1772" stopIfTrue="1" operator="equal">
      <formula>"Pass"</formula>
    </cfRule>
  </conditionalFormatting>
  <conditionalFormatting sqref="C891:I891">
    <cfRule type="cellIs" dxfId="1499" priority="1751" stopIfTrue="1" operator="equal">
      <formula>"Fail"</formula>
    </cfRule>
    <cfRule type="cellIs" dxfId="1498" priority="1752" stopIfTrue="1" operator="equal">
      <formula>"Pass"</formula>
    </cfRule>
  </conditionalFormatting>
  <conditionalFormatting sqref="A891">
    <cfRule type="cellIs" dxfId="1497" priority="1753" stopIfTrue="1" operator="equal">
      <formula>"Fail"</formula>
    </cfRule>
    <cfRule type="cellIs" dxfId="1496" priority="1754" stopIfTrue="1" operator="equal">
      <formula>"Pass"</formula>
    </cfRule>
  </conditionalFormatting>
  <conditionalFormatting sqref="B891">
    <cfRule type="cellIs" dxfId="1495" priority="1749" stopIfTrue="1" operator="equal">
      <formula>"Fail"</formula>
    </cfRule>
    <cfRule type="cellIs" dxfId="1494" priority="1750" stopIfTrue="1" operator="equal">
      <formula>"Pass"</formula>
    </cfRule>
  </conditionalFormatting>
  <conditionalFormatting sqref="I477">
    <cfRule type="cellIs" dxfId="1493" priority="1743" stopIfTrue="1" operator="equal">
      <formula>"Fail"</formula>
    </cfRule>
    <cfRule type="cellIs" dxfId="1492" priority="1744" stopIfTrue="1" operator="equal">
      <formula>"Pass"</formula>
    </cfRule>
  </conditionalFormatting>
  <conditionalFormatting sqref="C477">
    <cfRule type="cellIs" dxfId="1491" priority="1741" stopIfTrue="1" operator="equal">
      <formula>"Fail"</formula>
    </cfRule>
    <cfRule type="cellIs" dxfId="1490" priority="1742" stopIfTrue="1" operator="equal">
      <formula>"Pass"</formula>
    </cfRule>
  </conditionalFormatting>
  <conditionalFormatting sqref="C477:I477 A477">
    <cfRule type="cellIs" dxfId="1489" priority="1747" stopIfTrue="1" operator="equal">
      <formula>"Fail"</formula>
    </cfRule>
    <cfRule type="cellIs" dxfId="1488" priority="1748" stopIfTrue="1" operator="equal">
      <formula>"Pass"</formula>
    </cfRule>
  </conditionalFormatting>
  <conditionalFormatting sqref="D477:I477 A477">
    <cfRule type="cellIs" dxfId="1487" priority="1745" stopIfTrue="1" operator="equal">
      <formula>"Fail"</formula>
    </cfRule>
    <cfRule type="cellIs" dxfId="1486" priority="1746" stopIfTrue="1" operator="equal">
      <formula>"Pass"</formula>
    </cfRule>
  </conditionalFormatting>
  <conditionalFormatting sqref="A547 C547:I547">
    <cfRule type="cellIs" dxfId="1485" priority="1739" stopIfTrue="1" operator="equal">
      <formula>"Fail"</formula>
    </cfRule>
    <cfRule type="cellIs" dxfId="1484" priority="1740" stopIfTrue="1" operator="equal">
      <formula>"Pass"</formula>
    </cfRule>
  </conditionalFormatting>
  <conditionalFormatting sqref="A547 D547:I547">
    <cfRule type="cellIs" dxfId="1483" priority="1737" stopIfTrue="1" operator="equal">
      <formula>"Fail"</formula>
    </cfRule>
    <cfRule type="cellIs" dxfId="1482" priority="1738" stopIfTrue="1" operator="equal">
      <formula>"Pass"</formula>
    </cfRule>
  </conditionalFormatting>
  <conditionalFormatting sqref="I547">
    <cfRule type="cellIs" dxfId="1481" priority="1735" stopIfTrue="1" operator="equal">
      <formula>"Fail"</formula>
    </cfRule>
    <cfRule type="cellIs" dxfId="1480" priority="1736" stopIfTrue="1" operator="equal">
      <formula>"Pass"</formula>
    </cfRule>
  </conditionalFormatting>
  <conditionalFormatting sqref="C547">
    <cfRule type="cellIs" dxfId="1479" priority="1733" stopIfTrue="1" operator="equal">
      <formula>"Fail"</formula>
    </cfRule>
    <cfRule type="cellIs" dxfId="1478" priority="1734" stopIfTrue="1" operator="equal">
      <formula>"Pass"</formula>
    </cfRule>
  </conditionalFormatting>
  <conditionalFormatting sqref="A563 C563:I563">
    <cfRule type="cellIs" dxfId="1477" priority="1731" stopIfTrue="1" operator="equal">
      <formula>"Fail"</formula>
    </cfRule>
    <cfRule type="cellIs" dxfId="1476" priority="1732" stopIfTrue="1" operator="equal">
      <formula>"Pass"</formula>
    </cfRule>
  </conditionalFormatting>
  <conditionalFormatting sqref="A563 D563:I563">
    <cfRule type="cellIs" dxfId="1475" priority="1729" stopIfTrue="1" operator="equal">
      <formula>"Fail"</formula>
    </cfRule>
    <cfRule type="cellIs" dxfId="1474" priority="1730" stopIfTrue="1" operator="equal">
      <formula>"Pass"</formula>
    </cfRule>
  </conditionalFormatting>
  <conditionalFormatting sqref="I563">
    <cfRule type="cellIs" dxfId="1473" priority="1727" stopIfTrue="1" operator="equal">
      <formula>"Fail"</formula>
    </cfRule>
    <cfRule type="cellIs" dxfId="1472" priority="1728" stopIfTrue="1" operator="equal">
      <formula>"Pass"</formula>
    </cfRule>
  </conditionalFormatting>
  <conditionalFormatting sqref="C563">
    <cfRule type="cellIs" dxfId="1471" priority="1725" stopIfTrue="1" operator="equal">
      <formula>"Fail"</formula>
    </cfRule>
    <cfRule type="cellIs" dxfId="1470" priority="1726" stopIfTrue="1" operator="equal">
      <formula>"Pass"</formula>
    </cfRule>
  </conditionalFormatting>
  <conditionalFormatting sqref="I557:I558">
    <cfRule type="cellIs" dxfId="1469" priority="1719" stopIfTrue="1" operator="equal">
      <formula>"Fail"</formula>
    </cfRule>
    <cfRule type="cellIs" dxfId="1468" priority="1720" stopIfTrue="1" operator="equal">
      <formula>"Pass"</formula>
    </cfRule>
  </conditionalFormatting>
  <conditionalFormatting sqref="C557:C558">
    <cfRule type="cellIs" dxfId="1467" priority="1717" stopIfTrue="1" operator="equal">
      <formula>"Fail"</formula>
    </cfRule>
    <cfRule type="cellIs" dxfId="1466" priority="1718" stopIfTrue="1" operator="equal">
      <formula>"Pass"</formula>
    </cfRule>
  </conditionalFormatting>
  <conditionalFormatting sqref="C557:I558 A557:A558">
    <cfRule type="cellIs" dxfId="1465" priority="1723" stopIfTrue="1" operator="equal">
      <formula>"Fail"</formula>
    </cfRule>
    <cfRule type="cellIs" dxfId="1464" priority="1724" stopIfTrue="1" operator="equal">
      <formula>"Pass"</formula>
    </cfRule>
  </conditionalFormatting>
  <conditionalFormatting sqref="D557:I558 A557:A558">
    <cfRule type="cellIs" dxfId="1463" priority="1721" stopIfTrue="1" operator="equal">
      <formula>"Fail"</formula>
    </cfRule>
    <cfRule type="cellIs" dxfId="1462" priority="1722" stopIfTrue="1" operator="equal">
      <formula>"Pass"</formula>
    </cfRule>
  </conditionalFormatting>
  <conditionalFormatting sqref="B1194">
    <cfRule type="cellIs" dxfId="1461" priority="1711" stopIfTrue="1" operator="equal">
      <formula>"Fail"</formula>
    </cfRule>
    <cfRule type="cellIs" dxfId="1460" priority="1712" stopIfTrue="1" operator="equal">
      <formula>"Pass"</formula>
    </cfRule>
  </conditionalFormatting>
  <conditionalFormatting sqref="F1212:H1212">
    <cfRule type="cellIs" dxfId="1459" priority="1707" stopIfTrue="1" operator="equal">
      <formula>"Fail"</formula>
    </cfRule>
    <cfRule type="cellIs" dxfId="1458" priority="1708" stopIfTrue="1" operator="equal">
      <formula>"Pass"</formula>
    </cfRule>
  </conditionalFormatting>
  <conditionalFormatting sqref="F1212:H1212">
    <cfRule type="cellIs" dxfId="1457" priority="1705" stopIfTrue="1" operator="equal">
      <formula>"Fail"</formula>
    </cfRule>
    <cfRule type="cellIs" dxfId="1456" priority="1706" stopIfTrue="1" operator="equal">
      <formula>"Pass"</formula>
    </cfRule>
  </conditionalFormatting>
  <conditionalFormatting sqref="I1209">
    <cfRule type="cellIs" dxfId="1455" priority="1693" stopIfTrue="1" operator="equal">
      <formula>"Fail"</formula>
    </cfRule>
    <cfRule type="cellIs" dxfId="1454" priority="1694" stopIfTrue="1" operator="equal">
      <formula>"Pass"</formula>
    </cfRule>
  </conditionalFormatting>
  <conditionalFormatting sqref="I1209">
    <cfRule type="cellIs" dxfId="1453" priority="1697" stopIfTrue="1" operator="equal">
      <formula>"Fail"</formula>
    </cfRule>
    <cfRule type="cellIs" dxfId="1452" priority="1698" stopIfTrue="1" operator="equal">
      <formula>"Pass"</formula>
    </cfRule>
  </conditionalFormatting>
  <conditionalFormatting sqref="I1209">
    <cfRule type="cellIs" dxfId="1451" priority="1695" stopIfTrue="1" operator="equal">
      <formula>"Fail"</formula>
    </cfRule>
    <cfRule type="cellIs" dxfId="1450" priority="1696" stopIfTrue="1" operator="equal">
      <formula>"Pass"</formula>
    </cfRule>
  </conditionalFormatting>
  <conditionalFormatting sqref="I1212">
    <cfRule type="cellIs" dxfId="1449" priority="1687" stopIfTrue="1" operator="equal">
      <formula>"Fail"</formula>
    </cfRule>
    <cfRule type="cellIs" dxfId="1448" priority="1688" stopIfTrue="1" operator="equal">
      <formula>"Pass"</formula>
    </cfRule>
  </conditionalFormatting>
  <conditionalFormatting sqref="I1212">
    <cfRule type="cellIs" dxfId="1447" priority="1691" stopIfTrue="1" operator="equal">
      <formula>"Fail"</formula>
    </cfRule>
    <cfRule type="cellIs" dxfId="1446" priority="1692" stopIfTrue="1" operator="equal">
      <formula>"Pass"</formula>
    </cfRule>
  </conditionalFormatting>
  <conditionalFormatting sqref="I1212">
    <cfRule type="cellIs" dxfId="1445" priority="1689" stopIfTrue="1" operator="equal">
      <formula>"Fail"</formula>
    </cfRule>
    <cfRule type="cellIs" dxfId="1444" priority="1690" stopIfTrue="1" operator="equal">
      <formula>"Pass"</formula>
    </cfRule>
  </conditionalFormatting>
  <conditionalFormatting sqref="C1203:I1203">
    <cfRule type="cellIs" dxfId="1443" priority="1671" stopIfTrue="1" operator="equal">
      <formula>"Fail"</formula>
    </cfRule>
    <cfRule type="cellIs" dxfId="1442" priority="1672" stopIfTrue="1" operator="equal">
      <formula>"Pass"</formula>
    </cfRule>
  </conditionalFormatting>
  <conditionalFormatting sqref="A1203">
    <cfRule type="cellIs" dxfId="1441" priority="1673" stopIfTrue="1" operator="equal">
      <formula>"Fail"</formula>
    </cfRule>
    <cfRule type="cellIs" dxfId="1440" priority="1674" stopIfTrue="1" operator="equal">
      <formula>"Pass"</formula>
    </cfRule>
  </conditionalFormatting>
  <conditionalFormatting sqref="B1203">
    <cfRule type="cellIs" dxfId="1439" priority="1669" stopIfTrue="1" operator="equal">
      <formula>"Fail"</formula>
    </cfRule>
    <cfRule type="cellIs" dxfId="1438" priority="1670" stopIfTrue="1" operator="equal">
      <formula>"Pass"</formula>
    </cfRule>
  </conditionalFormatting>
  <conditionalFormatting sqref="A1218 C1218:I1218">
    <cfRule type="cellIs" dxfId="1437" priority="1667" stopIfTrue="1" operator="equal">
      <formula>"Fail"</formula>
    </cfRule>
    <cfRule type="cellIs" dxfId="1436" priority="1668" stopIfTrue="1" operator="equal">
      <formula>"Pass"</formula>
    </cfRule>
  </conditionalFormatting>
  <conditionalFormatting sqref="B1218">
    <cfRule type="cellIs" dxfId="1435" priority="1665" stopIfTrue="1" operator="equal">
      <formula>"Fail"</formula>
    </cfRule>
    <cfRule type="cellIs" dxfId="1434" priority="1666" stopIfTrue="1" operator="equal">
      <formula>"Pass"</formula>
    </cfRule>
  </conditionalFormatting>
  <conditionalFormatting sqref="A306 D306:I306">
    <cfRule type="cellIs" dxfId="1433" priority="1661" stopIfTrue="1" operator="equal">
      <formula>"Fail"</formula>
    </cfRule>
    <cfRule type="cellIs" dxfId="1432" priority="1662" stopIfTrue="1" operator="equal">
      <formula>"Pass"</formula>
    </cfRule>
  </conditionalFormatting>
  <conditionalFormatting sqref="A306 C306:I306">
    <cfRule type="cellIs" dxfId="1431" priority="1663" stopIfTrue="1" operator="equal">
      <formula>"Fail"</formula>
    </cfRule>
    <cfRule type="cellIs" dxfId="1430" priority="1664" stopIfTrue="1" operator="equal">
      <formula>"Pass"</formula>
    </cfRule>
  </conditionalFormatting>
  <conditionalFormatting sqref="I306">
    <cfRule type="cellIs" dxfId="1429" priority="1659" stopIfTrue="1" operator="equal">
      <formula>"Fail"</formula>
    </cfRule>
    <cfRule type="cellIs" dxfId="1428" priority="1660" stopIfTrue="1" operator="equal">
      <formula>"Pass"</formula>
    </cfRule>
  </conditionalFormatting>
  <conditionalFormatting sqref="C306">
    <cfRule type="cellIs" dxfId="1427" priority="1657" stopIfTrue="1" operator="equal">
      <formula>"Fail"</formula>
    </cfRule>
    <cfRule type="cellIs" dxfId="1426" priority="1658" stopIfTrue="1" operator="equal">
      <formula>"Pass"</formula>
    </cfRule>
  </conditionalFormatting>
  <conditionalFormatting sqref="I298">
    <cfRule type="cellIs" dxfId="1425" priority="1651" stopIfTrue="1" operator="equal">
      <formula>"Fail"</formula>
    </cfRule>
    <cfRule type="cellIs" dxfId="1424" priority="1652" stopIfTrue="1" operator="equal">
      <formula>"Pass"</formula>
    </cfRule>
  </conditionalFormatting>
  <conditionalFormatting sqref="C298">
    <cfRule type="cellIs" dxfId="1423" priority="1649" stopIfTrue="1" operator="equal">
      <formula>"Fail"</formula>
    </cfRule>
    <cfRule type="cellIs" dxfId="1422" priority="1650" stopIfTrue="1" operator="equal">
      <formula>"Pass"</formula>
    </cfRule>
  </conditionalFormatting>
  <conditionalFormatting sqref="C298:I298 A298">
    <cfRule type="cellIs" dxfId="1421" priority="1655" stopIfTrue="1" operator="equal">
      <formula>"Fail"</formula>
    </cfRule>
    <cfRule type="cellIs" dxfId="1420" priority="1656" stopIfTrue="1" operator="equal">
      <formula>"Pass"</formula>
    </cfRule>
  </conditionalFormatting>
  <conditionalFormatting sqref="D298:I298 A298">
    <cfRule type="cellIs" dxfId="1419" priority="1653" stopIfTrue="1" operator="equal">
      <formula>"Fail"</formula>
    </cfRule>
    <cfRule type="cellIs" dxfId="1418" priority="1654" stopIfTrue="1" operator="equal">
      <formula>"Pass"</formula>
    </cfRule>
  </conditionalFormatting>
  <conditionalFormatting sqref="A881 D881:I881">
    <cfRule type="cellIs" dxfId="1417" priority="1645" stopIfTrue="1" operator="equal">
      <formula>"Fail"</formula>
    </cfRule>
    <cfRule type="cellIs" dxfId="1416" priority="1646" stopIfTrue="1" operator="equal">
      <formula>"Pass"</formula>
    </cfRule>
  </conditionalFormatting>
  <conditionalFormatting sqref="A881 C881:I881">
    <cfRule type="cellIs" dxfId="1415" priority="1647" stopIfTrue="1" operator="equal">
      <formula>"Fail"</formula>
    </cfRule>
    <cfRule type="cellIs" dxfId="1414" priority="1648" stopIfTrue="1" operator="equal">
      <formula>"Pass"</formula>
    </cfRule>
  </conditionalFormatting>
  <conditionalFormatting sqref="I881">
    <cfRule type="cellIs" dxfId="1413" priority="1643" stopIfTrue="1" operator="equal">
      <formula>"Fail"</formula>
    </cfRule>
    <cfRule type="cellIs" dxfId="1412" priority="1644" stopIfTrue="1" operator="equal">
      <formula>"Pass"</formula>
    </cfRule>
  </conditionalFormatting>
  <conditionalFormatting sqref="C881">
    <cfRule type="cellIs" dxfId="1411" priority="1641" stopIfTrue="1" operator="equal">
      <formula>"Fail"</formula>
    </cfRule>
    <cfRule type="cellIs" dxfId="1410" priority="1642" stopIfTrue="1" operator="equal">
      <formula>"Pass"</formula>
    </cfRule>
  </conditionalFormatting>
  <conditionalFormatting sqref="A885 C885:I885">
    <cfRule type="cellIs" dxfId="1409" priority="1639" stopIfTrue="1" operator="equal">
      <formula>"Fail"</formula>
    </cfRule>
    <cfRule type="cellIs" dxfId="1408" priority="1640" stopIfTrue="1" operator="equal">
      <formula>"Pass"</formula>
    </cfRule>
  </conditionalFormatting>
  <conditionalFormatting sqref="B885">
    <cfRule type="cellIs" dxfId="1407" priority="1637" stopIfTrue="1" operator="equal">
      <formula>"Fail"</formula>
    </cfRule>
    <cfRule type="cellIs" dxfId="1406" priority="1638" stopIfTrue="1" operator="equal">
      <formula>"Pass"</formula>
    </cfRule>
  </conditionalFormatting>
  <conditionalFormatting sqref="A1211 D1211:I1211">
    <cfRule type="cellIs" dxfId="1405" priority="1633" stopIfTrue="1" operator="equal">
      <formula>"Fail"</formula>
    </cfRule>
    <cfRule type="cellIs" dxfId="1404" priority="1634" stopIfTrue="1" operator="equal">
      <formula>"Pass"</formula>
    </cfRule>
  </conditionalFormatting>
  <conditionalFormatting sqref="A1211 C1211:I1211">
    <cfRule type="cellIs" dxfId="1403" priority="1635" stopIfTrue="1" operator="equal">
      <formula>"Fail"</formula>
    </cfRule>
    <cfRule type="cellIs" dxfId="1402" priority="1636" stopIfTrue="1" operator="equal">
      <formula>"Pass"</formula>
    </cfRule>
  </conditionalFormatting>
  <conditionalFormatting sqref="I1211">
    <cfRule type="cellIs" dxfId="1401" priority="1631" stopIfTrue="1" operator="equal">
      <formula>"Fail"</formula>
    </cfRule>
    <cfRule type="cellIs" dxfId="1400" priority="1632" stopIfTrue="1" operator="equal">
      <formula>"Pass"</formula>
    </cfRule>
  </conditionalFormatting>
  <conditionalFormatting sqref="C1211">
    <cfRule type="cellIs" dxfId="1399" priority="1629" stopIfTrue="1" operator="equal">
      <formula>"Fail"</formula>
    </cfRule>
    <cfRule type="cellIs" dxfId="1398" priority="1630" stopIfTrue="1" operator="equal">
      <formula>"Pass"</formula>
    </cfRule>
  </conditionalFormatting>
  <conditionalFormatting sqref="A106:A107">
    <cfRule type="cellIs" dxfId="1397" priority="1627" stopIfTrue="1" operator="equal">
      <formula>"Fail"</formula>
    </cfRule>
    <cfRule type="cellIs" dxfId="1396" priority="1628" stopIfTrue="1" operator="equal">
      <formula>"Pass"</formula>
    </cfRule>
  </conditionalFormatting>
  <conditionalFormatting sqref="C106:I107">
    <cfRule type="cellIs" dxfId="1395" priority="1625" stopIfTrue="1" operator="equal">
      <formula>"Fail"</formula>
    </cfRule>
    <cfRule type="cellIs" dxfId="1394" priority="1626" stopIfTrue="1" operator="equal">
      <formula>"Pass"</formula>
    </cfRule>
  </conditionalFormatting>
  <conditionalFormatting sqref="B106:B107">
    <cfRule type="cellIs" dxfId="1393" priority="1623" stopIfTrue="1" operator="equal">
      <formula>"Fail"</formula>
    </cfRule>
    <cfRule type="cellIs" dxfId="1392" priority="1624" stopIfTrue="1" operator="equal">
      <formula>"Pass"</formula>
    </cfRule>
  </conditionalFormatting>
  <conditionalFormatting sqref="A102">
    <cfRule type="cellIs" dxfId="1391" priority="1621" stopIfTrue="1" operator="equal">
      <formula>"Fail"</formula>
    </cfRule>
    <cfRule type="cellIs" dxfId="1390" priority="1622" stopIfTrue="1" operator="equal">
      <formula>"Pass"</formula>
    </cfRule>
  </conditionalFormatting>
  <conditionalFormatting sqref="A102">
    <cfRule type="cellIs" dxfId="1389" priority="1619" stopIfTrue="1" operator="equal">
      <formula>"Fail"</formula>
    </cfRule>
    <cfRule type="cellIs" dxfId="1388" priority="1620" stopIfTrue="1" operator="equal">
      <formula>"Pass"</formula>
    </cfRule>
  </conditionalFormatting>
  <conditionalFormatting sqref="B111 B113 B115 B117">
    <cfRule type="cellIs" dxfId="1387" priority="1612" stopIfTrue="1" operator="equal">
      <formula>"Fail"</formula>
    </cfRule>
    <cfRule type="cellIs" dxfId="1386" priority="1613" stopIfTrue="1" operator="equal">
      <formula>"Pass"</formula>
    </cfRule>
  </conditionalFormatting>
  <conditionalFormatting sqref="B111 B113 B115 B117">
    <cfRule type="cellIs" dxfId="1385" priority="1608" stopIfTrue="1" operator="equal">
      <formula>"Fail"</formula>
    </cfRule>
    <cfRule type="cellIs" dxfId="1384" priority="1609" stopIfTrue="1" operator="equal">
      <formula>"Pass"</formula>
    </cfRule>
  </conditionalFormatting>
  <conditionalFormatting sqref="B111 B113 B115 B117">
    <cfRule type="cellIs" dxfId="1383" priority="1604" stopIfTrue="1" operator="equal">
      <formula>"Fail"</formula>
    </cfRule>
    <cfRule type="cellIs" dxfId="1382" priority="1605" stopIfTrue="1" operator="equal">
      <formula>"Pass"</formula>
    </cfRule>
  </conditionalFormatting>
  <conditionalFormatting sqref="B111 B113 B115 B117">
    <cfRule type="cellIs" dxfId="1381" priority="1600" stopIfTrue="1" operator="equal">
      <formula>"Fail"</formula>
    </cfRule>
    <cfRule type="cellIs" dxfId="1380" priority="1601" stopIfTrue="1" operator="equal">
      <formula>"Pass"</formula>
    </cfRule>
  </conditionalFormatting>
  <conditionalFormatting sqref="I102">
    <cfRule type="cellIs" dxfId="1379" priority="1597" operator="equal">
      <formula>"Fail"</formula>
    </cfRule>
    <cfRule type="cellIs" dxfId="1378" priority="1598" operator="equal">
      <formula>"Pass"</formula>
    </cfRule>
    <cfRule type="cellIs" dxfId="1377" priority="1599" operator="equal">
      <formula>"TBC"</formula>
    </cfRule>
  </conditionalFormatting>
  <conditionalFormatting sqref="I111 I113 I115 I117">
    <cfRule type="cellIs" dxfId="1376" priority="1591" stopIfTrue="1" operator="equal">
      <formula>"Fail"</formula>
    </cfRule>
    <cfRule type="cellIs" dxfId="1375" priority="1592" stopIfTrue="1" operator="equal">
      <formula>"Pass"</formula>
    </cfRule>
  </conditionalFormatting>
  <conditionalFormatting sqref="I111 I113 I115 I117">
    <cfRule type="cellIs" dxfId="1374" priority="1595" stopIfTrue="1" operator="equal">
      <formula>"Fail"</formula>
    </cfRule>
    <cfRule type="cellIs" dxfId="1373" priority="1596" stopIfTrue="1" operator="equal">
      <formula>"Pass"</formula>
    </cfRule>
  </conditionalFormatting>
  <conditionalFormatting sqref="I111 I113 I115 I117">
    <cfRule type="cellIs" dxfId="1372" priority="1593" stopIfTrue="1" operator="equal">
      <formula>"Fail"</formula>
    </cfRule>
    <cfRule type="cellIs" dxfId="1371" priority="1594" stopIfTrue="1" operator="equal">
      <formula>"Pass"</formula>
    </cfRule>
  </conditionalFormatting>
  <conditionalFormatting sqref="I111 I113 I115 I117">
    <cfRule type="cellIs" dxfId="1370" priority="1589" stopIfTrue="1" operator="equal">
      <formula>"Fail"</formula>
    </cfRule>
    <cfRule type="cellIs" dxfId="1369" priority="1590" stopIfTrue="1" operator="equal">
      <formula>"Pass"</formula>
    </cfRule>
  </conditionalFormatting>
  <conditionalFormatting sqref="I111 I113 I115 I117">
    <cfRule type="cellIs" dxfId="1368" priority="1587" stopIfTrue="1" operator="equal">
      <formula>"Fail"</formula>
    </cfRule>
    <cfRule type="cellIs" dxfId="1367" priority="1588" stopIfTrue="1" operator="equal">
      <formula>"Pass"</formula>
    </cfRule>
  </conditionalFormatting>
  <conditionalFormatting sqref="I111 I113 I115 I117">
    <cfRule type="cellIs" dxfId="1366" priority="1581" stopIfTrue="1" operator="equal">
      <formula>"Fail"</formula>
    </cfRule>
    <cfRule type="cellIs" dxfId="1365" priority="1582" stopIfTrue="1" operator="equal">
      <formula>"Pass"</formula>
    </cfRule>
  </conditionalFormatting>
  <conditionalFormatting sqref="I111 I113 I115 I117">
    <cfRule type="cellIs" dxfId="1364" priority="1585" stopIfTrue="1" operator="equal">
      <formula>"Fail"</formula>
    </cfRule>
    <cfRule type="cellIs" dxfId="1363" priority="1586" stopIfTrue="1" operator="equal">
      <formula>"Pass"</formula>
    </cfRule>
  </conditionalFormatting>
  <conditionalFormatting sqref="I111 I113 I115 I117">
    <cfRule type="cellIs" dxfId="1362" priority="1583" stopIfTrue="1" operator="equal">
      <formula>"Fail"</formula>
    </cfRule>
    <cfRule type="cellIs" dxfId="1361" priority="1584" stopIfTrue="1" operator="equal">
      <formula>"Pass"</formula>
    </cfRule>
  </conditionalFormatting>
  <conditionalFormatting sqref="B102">
    <cfRule type="cellIs" dxfId="1360" priority="1579" stopIfTrue="1" operator="equal">
      <formula>"Fail"</formula>
    </cfRule>
    <cfRule type="cellIs" dxfId="1359" priority="1580" stopIfTrue="1" operator="equal">
      <formula>"Pass"</formula>
    </cfRule>
  </conditionalFormatting>
  <conditionalFormatting sqref="B102">
    <cfRule type="cellIs" dxfId="1358" priority="1577" stopIfTrue="1" operator="equal">
      <formula>"Fail"</formula>
    </cfRule>
    <cfRule type="cellIs" dxfId="1357" priority="1578" stopIfTrue="1" operator="equal">
      <formula>"Pass"</formula>
    </cfRule>
  </conditionalFormatting>
  <conditionalFormatting sqref="E102">
    <cfRule type="cellIs" dxfId="1356" priority="1575" stopIfTrue="1" operator="equal">
      <formula>"Fail"</formula>
    </cfRule>
    <cfRule type="cellIs" dxfId="1355" priority="1576" stopIfTrue="1" operator="equal">
      <formula>"Pass"</formula>
    </cfRule>
  </conditionalFormatting>
  <conditionalFormatting sqref="I118">
    <cfRule type="cellIs" dxfId="1354" priority="1569" stopIfTrue="1" operator="equal">
      <formula>"Fail"</formula>
    </cfRule>
    <cfRule type="cellIs" dxfId="1353" priority="1570" stopIfTrue="1" operator="equal">
      <formula>"Pass"</formula>
    </cfRule>
  </conditionalFormatting>
  <conditionalFormatting sqref="C118">
    <cfRule type="cellIs" dxfId="1352" priority="1567" stopIfTrue="1" operator="equal">
      <formula>"Fail"</formula>
    </cfRule>
    <cfRule type="cellIs" dxfId="1351" priority="1568" stopIfTrue="1" operator="equal">
      <formula>"Pass"</formula>
    </cfRule>
  </conditionalFormatting>
  <conditionalFormatting sqref="C118:I118 A118">
    <cfRule type="cellIs" dxfId="1350" priority="1573" stopIfTrue="1" operator="equal">
      <formula>"Fail"</formula>
    </cfRule>
    <cfRule type="cellIs" dxfId="1349" priority="1574" stopIfTrue="1" operator="equal">
      <formula>"Pass"</formula>
    </cfRule>
  </conditionalFormatting>
  <conditionalFormatting sqref="D118:I118 A118">
    <cfRule type="cellIs" dxfId="1348" priority="1571" stopIfTrue="1" operator="equal">
      <formula>"Fail"</formula>
    </cfRule>
    <cfRule type="cellIs" dxfId="1347" priority="1572" stopIfTrue="1" operator="equal">
      <formula>"Pass"</formula>
    </cfRule>
  </conditionalFormatting>
  <conditionalFormatting sqref="E119 A119">
    <cfRule type="cellIs" dxfId="1346" priority="1565" stopIfTrue="1" operator="equal">
      <formula>"Fail"</formula>
    </cfRule>
    <cfRule type="cellIs" dxfId="1345" priority="1566" stopIfTrue="1" operator="equal">
      <formula>"Pass"</formula>
    </cfRule>
  </conditionalFormatting>
  <conditionalFormatting sqref="B119">
    <cfRule type="cellIs" dxfId="1344" priority="1563" stopIfTrue="1" operator="equal">
      <formula>"Fail"</formula>
    </cfRule>
    <cfRule type="cellIs" dxfId="1343" priority="1564" stopIfTrue="1" operator="equal">
      <formula>"Pass"</formula>
    </cfRule>
  </conditionalFormatting>
  <conditionalFormatting sqref="B119">
    <cfRule type="cellIs" dxfId="1342" priority="1561" stopIfTrue="1" operator="equal">
      <formula>"Fail"</formula>
    </cfRule>
    <cfRule type="cellIs" dxfId="1341" priority="1562" stopIfTrue="1" operator="equal">
      <formula>"Pass"</formula>
    </cfRule>
  </conditionalFormatting>
  <conditionalFormatting sqref="B119">
    <cfRule type="cellIs" dxfId="1340" priority="1559" stopIfTrue="1" operator="equal">
      <formula>"Fail"</formula>
    </cfRule>
    <cfRule type="cellIs" dxfId="1339" priority="1560" stopIfTrue="1" operator="equal">
      <formula>"Pass"</formula>
    </cfRule>
  </conditionalFormatting>
  <conditionalFormatting sqref="B119">
    <cfRule type="cellIs" dxfId="1338" priority="1557" stopIfTrue="1" operator="equal">
      <formula>"Fail"</formula>
    </cfRule>
    <cfRule type="cellIs" dxfId="1337" priority="1558" stopIfTrue="1" operator="equal">
      <formula>"Pass"</formula>
    </cfRule>
  </conditionalFormatting>
  <conditionalFormatting sqref="I119">
    <cfRule type="cellIs" dxfId="1336" priority="1551" stopIfTrue="1" operator="equal">
      <formula>"Fail"</formula>
    </cfRule>
    <cfRule type="cellIs" dxfId="1335" priority="1552" stopIfTrue="1" operator="equal">
      <formula>"Pass"</formula>
    </cfRule>
  </conditionalFormatting>
  <conditionalFormatting sqref="I119">
    <cfRule type="cellIs" dxfId="1334" priority="1555" stopIfTrue="1" operator="equal">
      <formula>"Fail"</formula>
    </cfRule>
    <cfRule type="cellIs" dxfId="1333" priority="1556" stopIfTrue="1" operator="equal">
      <formula>"Pass"</formula>
    </cfRule>
  </conditionalFormatting>
  <conditionalFormatting sqref="I119">
    <cfRule type="cellIs" dxfId="1332" priority="1553" stopIfTrue="1" operator="equal">
      <formula>"Fail"</formula>
    </cfRule>
    <cfRule type="cellIs" dxfId="1331" priority="1554" stopIfTrue="1" operator="equal">
      <formula>"Pass"</formula>
    </cfRule>
  </conditionalFormatting>
  <conditionalFormatting sqref="I119">
    <cfRule type="cellIs" dxfId="1330" priority="1549" stopIfTrue="1" operator="equal">
      <formula>"Fail"</formula>
    </cfRule>
    <cfRule type="cellIs" dxfId="1329" priority="1550" stopIfTrue="1" operator="equal">
      <formula>"Pass"</formula>
    </cfRule>
  </conditionalFormatting>
  <conditionalFormatting sqref="I119">
    <cfRule type="cellIs" dxfId="1328" priority="1547" stopIfTrue="1" operator="equal">
      <formula>"Fail"</formula>
    </cfRule>
    <cfRule type="cellIs" dxfId="1327" priority="1548" stopIfTrue="1" operator="equal">
      <formula>"Pass"</formula>
    </cfRule>
  </conditionalFormatting>
  <conditionalFormatting sqref="I119">
    <cfRule type="cellIs" dxfId="1326" priority="1541" stopIfTrue="1" operator="equal">
      <formula>"Fail"</formula>
    </cfRule>
    <cfRule type="cellIs" dxfId="1325" priority="1542" stopIfTrue="1" operator="equal">
      <formula>"Pass"</formula>
    </cfRule>
  </conditionalFormatting>
  <conditionalFormatting sqref="I119">
    <cfRule type="cellIs" dxfId="1324" priority="1545" stopIfTrue="1" operator="equal">
      <formula>"Fail"</formula>
    </cfRule>
    <cfRule type="cellIs" dxfId="1323" priority="1546" stopIfTrue="1" operator="equal">
      <formula>"Pass"</formula>
    </cfRule>
  </conditionalFormatting>
  <conditionalFormatting sqref="I119">
    <cfRule type="cellIs" dxfId="1322" priority="1543" stopIfTrue="1" operator="equal">
      <formula>"Fail"</formula>
    </cfRule>
    <cfRule type="cellIs" dxfId="1321" priority="1544" stopIfTrue="1" operator="equal">
      <formula>"Pass"</formula>
    </cfRule>
  </conditionalFormatting>
  <conditionalFormatting sqref="I120">
    <cfRule type="cellIs" dxfId="1320" priority="1535" stopIfTrue="1" operator="equal">
      <formula>"Fail"</formula>
    </cfRule>
    <cfRule type="cellIs" dxfId="1319" priority="1536" stopIfTrue="1" operator="equal">
      <formula>"Pass"</formula>
    </cfRule>
  </conditionalFormatting>
  <conditionalFormatting sqref="C120">
    <cfRule type="cellIs" dxfId="1318" priority="1533" stopIfTrue="1" operator="equal">
      <formula>"Fail"</formula>
    </cfRule>
    <cfRule type="cellIs" dxfId="1317" priority="1534" stopIfTrue="1" operator="equal">
      <formula>"Pass"</formula>
    </cfRule>
  </conditionalFormatting>
  <conditionalFormatting sqref="C120:I120 A120">
    <cfRule type="cellIs" dxfId="1316" priority="1539" stopIfTrue="1" operator="equal">
      <formula>"Fail"</formula>
    </cfRule>
    <cfRule type="cellIs" dxfId="1315" priority="1540" stopIfTrue="1" operator="equal">
      <formula>"Pass"</formula>
    </cfRule>
  </conditionalFormatting>
  <conditionalFormatting sqref="D120:I120 A120">
    <cfRule type="cellIs" dxfId="1314" priority="1537" stopIfTrue="1" operator="equal">
      <formula>"Fail"</formula>
    </cfRule>
    <cfRule type="cellIs" dxfId="1313" priority="1538" stopIfTrue="1" operator="equal">
      <formula>"Pass"</formula>
    </cfRule>
  </conditionalFormatting>
  <conditionalFormatting sqref="A110 D110:I110">
    <cfRule type="cellIs" dxfId="1312" priority="1529" stopIfTrue="1" operator="equal">
      <formula>"Fail"</formula>
    </cfRule>
    <cfRule type="cellIs" dxfId="1311" priority="1530" stopIfTrue="1" operator="equal">
      <formula>"Pass"</formula>
    </cfRule>
  </conditionalFormatting>
  <conditionalFormatting sqref="A110 C110:I110">
    <cfRule type="cellIs" dxfId="1310" priority="1531" stopIfTrue="1" operator="equal">
      <formula>"Fail"</formula>
    </cfRule>
    <cfRule type="cellIs" dxfId="1309" priority="1532" stopIfTrue="1" operator="equal">
      <formula>"Pass"</formula>
    </cfRule>
  </conditionalFormatting>
  <conditionalFormatting sqref="I110">
    <cfRule type="cellIs" dxfId="1308" priority="1527" stopIfTrue="1" operator="equal">
      <formula>"Fail"</formula>
    </cfRule>
    <cfRule type="cellIs" dxfId="1307" priority="1528" stopIfTrue="1" operator="equal">
      <formula>"Pass"</formula>
    </cfRule>
  </conditionalFormatting>
  <conditionalFormatting sqref="C110">
    <cfRule type="cellIs" dxfId="1306" priority="1525" stopIfTrue="1" operator="equal">
      <formula>"Fail"</formula>
    </cfRule>
    <cfRule type="cellIs" dxfId="1305" priority="1526" stopIfTrue="1" operator="equal">
      <formula>"Pass"</formula>
    </cfRule>
  </conditionalFormatting>
  <conditionalFormatting sqref="B110">
    <cfRule type="cellIs" dxfId="1304" priority="1523" stopIfTrue="1" operator="equal">
      <formula>"Fail"</formula>
    </cfRule>
    <cfRule type="cellIs" dxfId="1303" priority="1524" stopIfTrue="1" operator="equal">
      <formula>"Pass"</formula>
    </cfRule>
  </conditionalFormatting>
  <conditionalFormatting sqref="A112 D112:I112">
    <cfRule type="cellIs" dxfId="1302" priority="1519" stopIfTrue="1" operator="equal">
      <formula>"Fail"</formula>
    </cfRule>
    <cfRule type="cellIs" dxfId="1301" priority="1520" stopIfTrue="1" operator="equal">
      <formula>"Pass"</formula>
    </cfRule>
  </conditionalFormatting>
  <conditionalFormatting sqref="A112 C112:I112">
    <cfRule type="cellIs" dxfId="1300" priority="1521" stopIfTrue="1" operator="equal">
      <formula>"Fail"</formula>
    </cfRule>
    <cfRule type="cellIs" dxfId="1299" priority="1522" stopIfTrue="1" operator="equal">
      <formula>"Pass"</formula>
    </cfRule>
  </conditionalFormatting>
  <conditionalFormatting sqref="I112">
    <cfRule type="cellIs" dxfId="1298" priority="1517" stopIfTrue="1" operator="equal">
      <formula>"Fail"</formula>
    </cfRule>
    <cfRule type="cellIs" dxfId="1297" priority="1518" stopIfTrue="1" operator="equal">
      <formula>"Pass"</formula>
    </cfRule>
  </conditionalFormatting>
  <conditionalFormatting sqref="C112">
    <cfRule type="cellIs" dxfId="1296" priority="1515" stopIfTrue="1" operator="equal">
      <formula>"Fail"</formula>
    </cfRule>
    <cfRule type="cellIs" dxfId="1295" priority="1516" stopIfTrue="1" operator="equal">
      <formula>"Pass"</formula>
    </cfRule>
  </conditionalFormatting>
  <conditionalFormatting sqref="B112">
    <cfRule type="cellIs" dxfId="1294" priority="1513" stopIfTrue="1" operator="equal">
      <formula>"Fail"</formula>
    </cfRule>
    <cfRule type="cellIs" dxfId="1293" priority="1514" stopIfTrue="1" operator="equal">
      <formula>"Pass"</formula>
    </cfRule>
  </conditionalFormatting>
  <conditionalFormatting sqref="A114 D114:I114">
    <cfRule type="cellIs" dxfId="1292" priority="1509" stopIfTrue="1" operator="equal">
      <formula>"Fail"</formula>
    </cfRule>
    <cfRule type="cellIs" dxfId="1291" priority="1510" stopIfTrue="1" operator="equal">
      <formula>"Pass"</formula>
    </cfRule>
  </conditionalFormatting>
  <conditionalFormatting sqref="A114 C114:I114">
    <cfRule type="cellIs" dxfId="1290" priority="1511" stopIfTrue="1" operator="equal">
      <formula>"Fail"</formula>
    </cfRule>
    <cfRule type="cellIs" dxfId="1289" priority="1512" stopIfTrue="1" operator="equal">
      <formula>"Pass"</formula>
    </cfRule>
  </conditionalFormatting>
  <conditionalFormatting sqref="I114">
    <cfRule type="cellIs" dxfId="1288" priority="1507" stopIfTrue="1" operator="equal">
      <formula>"Fail"</formula>
    </cfRule>
    <cfRule type="cellIs" dxfId="1287" priority="1508" stopIfTrue="1" operator="equal">
      <formula>"Pass"</formula>
    </cfRule>
  </conditionalFormatting>
  <conditionalFormatting sqref="C114">
    <cfRule type="cellIs" dxfId="1286" priority="1505" stopIfTrue="1" operator="equal">
      <formula>"Fail"</formula>
    </cfRule>
    <cfRule type="cellIs" dxfId="1285" priority="1506" stopIfTrue="1" operator="equal">
      <formula>"Pass"</formula>
    </cfRule>
  </conditionalFormatting>
  <conditionalFormatting sqref="B114">
    <cfRule type="cellIs" dxfId="1284" priority="1503" stopIfTrue="1" operator="equal">
      <formula>"Fail"</formula>
    </cfRule>
    <cfRule type="cellIs" dxfId="1283" priority="1504" stopIfTrue="1" operator="equal">
      <formula>"Pass"</formula>
    </cfRule>
  </conditionalFormatting>
  <conditionalFormatting sqref="A116 D116:I116">
    <cfRule type="cellIs" dxfId="1282" priority="1499" stopIfTrue="1" operator="equal">
      <formula>"Fail"</formula>
    </cfRule>
    <cfRule type="cellIs" dxfId="1281" priority="1500" stopIfTrue="1" operator="equal">
      <formula>"Pass"</formula>
    </cfRule>
  </conditionalFormatting>
  <conditionalFormatting sqref="A116 C116:I116">
    <cfRule type="cellIs" dxfId="1280" priority="1501" stopIfTrue="1" operator="equal">
      <formula>"Fail"</formula>
    </cfRule>
    <cfRule type="cellIs" dxfId="1279" priority="1502" stopIfTrue="1" operator="equal">
      <formula>"Pass"</formula>
    </cfRule>
  </conditionalFormatting>
  <conditionalFormatting sqref="I116">
    <cfRule type="cellIs" dxfId="1278" priority="1497" stopIfTrue="1" operator="equal">
      <formula>"Fail"</formula>
    </cfRule>
    <cfRule type="cellIs" dxfId="1277" priority="1498" stopIfTrue="1" operator="equal">
      <formula>"Pass"</formula>
    </cfRule>
  </conditionalFormatting>
  <conditionalFormatting sqref="C116">
    <cfRule type="cellIs" dxfId="1276" priority="1495" stopIfTrue="1" operator="equal">
      <formula>"Fail"</formula>
    </cfRule>
    <cfRule type="cellIs" dxfId="1275" priority="1496" stopIfTrue="1" operator="equal">
      <formula>"Pass"</formula>
    </cfRule>
  </conditionalFormatting>
  <conditionalFormatting sqref="B116">
    <cfRule type="cellIs" dxfId="1274" priority="1493" stopIfTrue="1" operator="equal">
      <formula>"Fail"</formula>
    </cfRule>
    <cfRule type="cellIs" dxfId="1273" priority="1494" stopIfTrue="1" operator="equal">
      <formula>"Pass"</formula>
    </cfRule>
  </conditionalFormatting>
  <conditionalFormatting sqref="A121 D121:I121">
    <cfRule type="cellIs" dxfId="1272" priority="1489" stopIfTrue="1" operator="equal">
      <formula>"Fail"</formula>
    </cfRule>
    <cfRule type="cellIs" dxfId="1271" priority="1490" stopIfTrue="1" operator="equal">
      <formula>"Pass"</formula>
    </cfRule>
  </conditionalFormatting>
  <conditionalFormatting sqref="A121 C121:I121">
    <cfRule type="cellIs" dxfId="1270" priority="1491" stopIfTrue="1" operator="equal">
      <formula>"Fail"</formula>
    </cfRule>
    <cfRule type="cellIs" dxfId="1269" priority="1492" stopIfTrue="1" operator="equal">
      <formula>"Pass"</formula>
    </cfRule>
  </conditionalFormatting>
  <conditionalFormatting sqref="I121">
    <cfRule type="cellIs" dxfId="1268" priority="1487" stopIfTrue="1" operator="equal">
      <formula>"Fail"</formula>
    </cfRule>
    <cfRule type="cellIs" dxfId="1267" priority="1488" stopIfTrue="1" operator="equal">
      <formula>"Pass"</formula>
    </cfRule>
  </conditionalFormatting>
  <conditionalFormatting sqref="C121">
    <cfRule type="cellIs" dxfId="1266" priority="1485" stopIfTrue="1" operator="equal">
      <formula>"Fail"</formula>
    </cfRule>
    <cfRule type="cellIs" dxfId="1265" priority="1486" stopIfTrue="1" operator="equal">
      <formula>"Pass"</formula>
    </cfRule>
  </conditionalFormatting>
  <conditionalFormatting sqref="B121">
    <cfRule type="cellIs" dxfId="1264" priority="1483" stopIfTrue="1" operator="equal">
      <formula>"Fail"</formula>
    </cfRule>
    <cfRule type="cellIs" dxfId="1263" priority="1484" stopIfTrue="1" operator="equal">
      <formula>"Pass"</formula>
    </cfRule>
  </conditionalFormatting>
  <conditionalFormatting sqref="A145 D145:I145">
    <cfRule type="cellIs" dxfId="1262" priority="1457" stopIfTrue="1" operator="equal">
      <formula>"Fail"</formula>
    </cfRule>
    <cfRule type="cellIs" dxfId="1261" priority="1458" stopIfTrue="1" operator="equal">
      <formula>"Pass"</formula>
    </cfRule>
  </conditionalFormatting>
  <conditionalFormatting sqref="A145 C145:I145">
    <cfRule type="cellIs" dxfId="1260" priority="1459" stopIfTrue="1" operator="equal">
      <formula>"Fail"</formula>
    </cfRule>
    <cfRule type="cellIs" dxfId="1259" priority="1460" stopIfTrue="1" operator="equal">
      <formula>"Pass"</formula>
    </cfRule>
  </conditionalFormatting>
  <conditionalFormatting sqref="I145">
    <cfRule type="cellIs" dxfId="1258" priority="1455" stopIfTrue="1" operator="equal">
      <formula>"Fail"</formula>
    </cfRule>
    <cfRule type="cellIs" dxfId="1257" priority="1456" stopIfTrue="1" operator="equal">
      <formula>"Pass"</formula>
    </cfRule>
  </conditionalFormatting>
  <conditionalFormatting sqref="C145">
    <cfRule type="cellIs" dxfId="1256" priority="1453" stopIfTrue="1" operator="equal">
      <formula>"Fail"</formula>
    </cfRule>
    <cfRule type="cellIs" dxfId="1255" priority="1454" stopIfTrue="1" operator="equal">
      <formula>"Pass"</formula>
    </cfRule>
  </conditionalFormatting>
  <conditionalFormatting sqref="B145">
    <cfRule type="cellIs" dxfId="1254" priority="1451" stopIfTrue="1" operator="equal">
      <formula>"Fail"</formula>
    </cfRule>
    <cfRule type="cellIs" dxfId="1253" priority="1452" stopIfTrue="1" operator="equal">
      <formula>"Pass"</formula>
    </cfRule>
  </conditionalFormatting>
  <conditionalFormatting sqref="E149:E158 A149:A158">
    <cfRule type="cellIs" dxfId="1252" priority="1449" stopIfTrue="1" operator="equal">
      <formula>"Fail"</formula>
    </cfRule>
    <cfRule type="cellIs" dxfId="1251" priority="1450" stopIfTrue="1" operator="equal">
      <formula>"Pass"</formula>
    </cfRule>
  </conditionalFormatting>
  <conditionalFormatting sqref="B149:B158">
    <cfRule type="cellIs" dxfId="1250" priority="1447" stopIfTrue="1" operator="equal">
      <formula>"Fail"</formula>
    </cfRule>
    <cfRule type="cellIs" dxfId="1249" priority="1448" stopIfTrue="1" operator="equal">
      <formula>"Pass"</formula>
    </cfRule>
  </conditionalFormatting>
  <conditionalFormatting sqref="B149:B158">
    <cfRule type="cellIs" dxfId="1248" priority="1445" stopIfTrue="1" operator="equal">
      <formula>"Fail"</formula>
    </cfRule>
    <cfRule type="cellIs" dxfId="1247" priority="1446" stopIfTrue="1" operator="equal">
      <formula>"Pass"</formula>
    </cfRule>
  </conditionalFormatting>
  <conditionalFormatting sqref="I149:I158">
    <cfRule type="cellIs" dxfId="1246" priority="1443" stopIfTrue="1" operator="equal">
      <formula>"Fail"</formula>
    </cfRule>
    <cfRule type="cellIs" dxfId="1245" priority="1444" stopIfTrue="1" operator="equal">
      <formula>"Pass"</formula>
    </cfRule>
  </conditionalFormatting>
  <conditionalFormatting sqref="I149:I158">
    <cfRule type="cellIs" dxfId="1244" priority="1437" stopIfTrue="1" operator="equal">
      <formula>"Fail"</formula>
    </cfRule>
    <cfRule type="cellIs" dxfId="1243" priority="1438" stopIfTrue="1" operator="equal">
      <formula>"Pass"</formula>
    </cfRule>
  </conditionalFormatting>
  <conditionalFormatting sqref="I149:I158">
    <cfRule type="cellIs" dxfId="1242" priority="1441" stopIfTrue="1" operator="equal">
      <formula>"Fail"</formula>
    </cfRule>
    <cfRule type="cellIs" dxfId="1241" priority="1442" stopIfTrue="1" operator="equal">
      <formula>"Pass"</formula>
    </cfRule>
  </conditionalFormatting>
  <conditionalFormatting sqref="I149:I158">
    <cfRule type="cellIs" dxfId="1240" priority="1439" stopIfTrue="1" operator="equal">
      <formula>"Fail"</formula>
    </cfRule>
    <cfRule type="cellIs" dxfId="1239" priority="1440" stopIfTrue="1" operator="equal">
      <formula>"Pass"</formula>
    </cfRule>
  </conditionalFormatting>
  <conditionalFormatting sqref="A159 D159:I159">
    <cfRule type="cellIs" dxfId="1238" priority="1433" stopIfTrue="1" operator="equal">
      <formula>"Fail"</formula>
    </cfRule>
    <cfRule type="cellIs" dxfId="1237" priority="1434" stopIfTrue="1" operator="equal">
      <formula>"Pass"</formula>
    </cfRule>
  </conditionalFormatting>
  <conditionalFormatting sqref="A159 C159:I159">
    <cfRule type="cellIs" dxfId="1236" priority="1435" stopIfTrue="1" operator="equal">
      <formula>"Fail"</formula>
    </cfRule>
    <cfRule type="cellIs" dxfId="1235" priority="1436" stopIfTrue="1" operator="equal">
      <formula>"Pass"</formula>
    </cfRule>
  </conditionalFormatting>
  <conditionalFormatting sqref="I159">
    <cfRule type="cellIs" dxfId="1234" priority="1431" stopIfTrue="1" operator="equal">
      <formula>"Fail"</formula>
    </cfRule>
    <cfRule type="cellIs" dxfId="1233" priority="1432" stopIfTrue="1" operator="equal">
      <formula>"Pass"</formula>
    </cfRule>
  </conditionalFormatting>
  <conditionalFormatting sqref="C159">
    <cfRule type="cellIs" dxfId="1232" priority="1429" stopIfTrue="1" operator="equal">
      <formula>"Fail"</formula>
    </cfRule>
    <cfRule type="cellIs" dxfId="1231" priority="1430" stopIfTrue="1" operator="equal">
      <formula>"Pass"</formula>
    </cfRule>
  </conditionalFormatting>
  <conditionalFormatting sqref="B159">
    <cfRule type="cellIs" dxfId="1230" priority="1427" stopIfTrue="1" operator="equal">
      <formula>"Fail"</formula>
    </cfRule>
    <cfRule type="cellIs" dxfId="1229" priority="1428" stopIfTrue="1" operator="equal">
      <formula>"Pass"</formula>
    </cfRule>
  </conditionalFormatting>
  <conditionalFormatting sqref="A126 D126:I126">
    <cfRule type="cellIs" dxfId="1228" priority="1423" stopIfTrue="1" operator="equal">
      <formula>"Fail"</formula>
    </cfRule>
    <cfRule type="cellIs" dxfId="1227" priority="1424" stopIfTrue="1" operator="equal">
      <formula>"Pass"</formula>
    </cfRule>
  </conditionalFormatting>
  <conditionalFormatting sqref="A126 C126:I126">
    <cfRule type="cellIs" dxfId="1226" priority="1425" stopIfTrue="1" operator="equal">
      <formula>"Fail"</formula>
    </cfRule>
    <cfRule type="cellIs" dxfId="1225" priority="1426" stopIfTrue="1" operator="equal">
      <formula>"Pass"</formula>
    </cfRule>
  </conditionalFormatting>
  <conditionalFormatting sqref="I126">
    <cfRule type="cellIs" dxfId="1224" priority="1421" stopIfTrue="1" operator="equal">
      <formula>"Fail"</formula>
    </cfRule>
    <cfRule type="cellIs" dxfId="1223" priority="1422" stopIfTrue="1" operator="equal">
      <formula>"Pass"</formula>
    </cfRule>
  </conditionalFormatting>
  <conditionalFormatting sqref="C126">
    <cfRule type="cellIs" dxfId="1222" priority="1419" stopIfTrue="1" operator="equal">
      <formula>"Fail"</formula>
    </cfRule>
    <cfRule type="cellIs" dxfId="1221" priority="1420" stopIfTrue="1" operator="equal">
      <formula>"Pass"</formula>
    </cfRule>
  </conditionalFormatting>
  <conditionalFormatting sqref="A564">
    <cfRule type="containsText" dxfId="1220" priority="1413" operator="containsText" text="CALIBRATION NUMBER(S) MISSING">
      <formula>NOT(ISERROR(SEARCH("CALIBRATION NUMBER(S) MISSING",A564)))</formula>
    </cfRule>
    <cfRule type="containsText" dxfId="1219" priority="1414" operator="containsText" text="ENTER TESTER ID">
      <formula>NOT(ISERROR(SEARCH("ENTER TESTER ID",A564)))</formula>
    </cfRule>
    <cfRule type="containsText" dxfId="1218" priority="1415" operator="containsText" text="NO SERIAL NUMBER">
      <formula>NOT(ISERROR(SEARCH("NO SERIAL NUMBER",A564)))</formula>
    </cfRule>
    <cfRule type="containsText" dxfId="1217" priority="1416" operator="containsText" text="NO UNIT TYPE">
      <formula>NOT(ISERROR(SEARCH("NO UNIT TYPE",A564)))</formula>
    </cfRule>
  </conditionalFormatting>
  <conditionalFormatting sqref="B564">
    <cfRule type="containsText" dxfId="1216" priority="1409" operator="containsText" text="CALIBRATION NUMBER(S) MISSING">
      <formula>NOT(ISERROR(SEARCH("CALIBRATION NUMBER(S) MISSING",B564)))</formula>
    </cfRule>
    <cfRule type="containsText" dxfId="1215" priority="1410" operator="containsText" text="ENTER TESTER ID">
      <formula>NOT(ISERROR(SEARCH("ENTER TESTER ID",B564)))</formula>
    </cfRule>
    <cfRule type="containsText" dxfId="1214" priority="1411" operator="containsText" text="NO SERIAL NUMBER">
      <formula>NOT(ISERROR(SEARCH("NO SERIAL NUMBER",B564)))</formula>
    </cfRule>
    <cfRule type="containsText" dxfId="1213" priority="1412" operator="containsText" text="NO UNIT TYPE">
      <formula>NOT(ISERROR(SEARCH("NO UNIT TYPE",B564)))</formula>
    </cfRule>
  </conditionalFormatting>
  <conditionalFormatting sqref="D290:I290 A290">
    <cfRule type="cellIs" dxfId="1212" priority="1389" stopIfTrue="1" operator="equal">
      <formula>"Fail"</formula>
    </cfRule>
    <cfRule type="cellIs" dxfId="1211" priority="1390" stopIfTrue="1" operator="equal">
      <formula>"Pass"</formula>
    </cfRule>
  </conditionalFormatting>
  <conditionalFormatting sqref="C290:I290 A290">
    <cfRule type="cellIs" dxfId="1210" priority="1391" stopIfTrue="1" operator="equal">
      <formula>"Fail"</formula>
    </cfRule>
    <cfRule type="cellIs" dxfId="1209" priority="1392" stopIfTrue="1" operator="equal">
      <formula>"Pass"</formula>
    </cfRule>
  </conditionalFormatting>
  <conditionalFormatting sqref="I290">
    <cfRule type="cellIs" dxfId="1208" priority="1387" stopIfTrue="1" operator="equal">
      <formula>"Fail"</formula>
    </cfRule>
    <cfRule type="cellIs" dxfId="1207" priority="1388" stopIfTrue="1" operator="equal">
      <formula>"Pass"</formula>
    </cfRule>
  </conditionalFormatting>
  <conditionalFormatting sqref="C290">
    <cfRule type="cellIs" dxfId="1206" priority="1385" stopIfTrue="1" operator="equal">
      <formula>"Fail"</formula>
    </cfRule>
    <cfRule type="cellIs" dxfId="1205" priority="1386" stopIfTrue="1" operator="equal">
      <formula>"Pass"</formula>
    </cfRule>
  </conditionalFormatting>
  <conditionalFormatting sqref="A451:A452 D451:I451 D452 F452:I452">
    <cfRule type="cellIs" dxfId="1204" priority="1365" stopIfTrue="1" operator="equal">
      <formula>"Fail"</formula>
    </cfRule>
    <cfRule type="cellIs" dxfId="1203" priority="1366" stopIfTrue="1" operator="equal">
      <formula>"Pass"</formula>
    </cfRule>
  </conditionalFormatting>
  <conditionalFormatting sqref="A451:A452 C451:I451 C452:D452 F452:I452">
    <cfRule type="cellIs" dxfId="1202" priority="1367" stopIfTrue="1" operator="equal">
      <formula>"Fail"</formula>
    </cfRule>
    <cfRule type="cellIs" dxfId="1201" priority="1368" stopIfTrue="1" operator="equal">
      <formula>"Pass"</formula>
    </cfRule>
  </conditionalFormatting>
  <conditionalFormatting sqref="I451:I452">
    <cfRule type="cellIs" dxfId="1200" priority="1363" stopIfTrue="1" operator="equal">
      <formula>"Fail"</formula>
    </cfRule>
    <cfRule type="cellIs" dxfId="1199" priority="1364" stopIfTrue="1" operator="equal">
      <formula>"Pass"</formula>
    </cfRule>
  </conditionalFormatting>
  <conditionalFormatting sqref="C451:C452">
    <cfRule type="cellIs" dxfId="1198" priority="1361" stopIfTrue="1" operator="equal">
      <formula>"Fail"</formula>
    </cfRule>
    <cfRule type="cellIs" dxfId="1197" priority="1362" stopIfTrue="1" operator="equal">
      <formula>"Pass"</formula>
    </cfRule>
  </conditionalFormatting>
  <conditionalFormatting sqref="A457:A458 D457:I458">
    <cfRule type="cellIs" dxfId="1196" priority="1357" stopIfTrue="1" operator="equal">
      <formula>"Fail"</formula>
    </cfRule>
    <cfRule type="cellIs" dxfId="1195" priority="1358" stopIfTrue="1" operator="equal">
      <formula>"Pass"</formula>
    </cfRule>
  </conditionalFormatting>
  <conditionalFormatting sqref="A457:A458 C457:I458">
    <cfRule type="cellIs" dxfId="1194" priority="1359" stopIfTrue="1" operator="equal">
      <formula>"Fail"</formula>
    </cfRule>
    <cfRule type="cellIs" dxfId="1193" priority="1360" stopIfTrue="1" operator="equal">
      <formula>"Pass"</formula>
    </cfRule>
  </conditionalFormatting>
  <conditionalFormatting sqref="I457:I458">
    <cfRule type="cellIs" dxfId="1192" priority="1355" stopIfTrue="1" operator="equal">
      <formula>"Fail"</formula>
    </cfRule>
    <cfRule type="cellIs" dxfId="1191" priority="1356" stopIfTrue="1" operator="equal">
      <formula>"Pass"</formula>
    </cfRule>
  </conditionalFormatting>
  <conditionalFormatting sqref="C457:C458">
    <cfRule type="cellIs" dxfId="1190" priority="1353" stopIfTrue="1" operator="equal">
      <formula>"Fail"</formula>
    </cfRule>
    <cfRule type="cellIs" dxfId="1189" priority="1354" stopIfTrue="1" operator="equal">
      <formula>"Pass"</formula>
    </cfRule>
  </conditionalFormatting>
  <conditionalFormatting sqref="A529 C529:I529">
    <cfRule type="cellIs" dxfId="1188" priority="1351" stopIfTrue="1" operator="equal">
      <formula>"Fail"</formula>
    </cfRule>
    <cfRule type="cellIs" dxfId="1187" priority="1352" stopIfTrue="1" operator="equal">
      <formula>"Pass"</formula>
    </cfRule>
  </conditionalFormatting>
  <conditionalFormatting sqref="A529 D529:I529">
    <cfRule type="cellIs" dxfId="1186" priority="1349" stopIfTrue="1" operator="equal">
      <formula>"Fail"</formula>
    </cfRule>
    <cfRule type="cellIs" dxfId="1185" priority="1350" stopIfTrue="1" operator="equal">
      <formula>"Pass"</formula>
    </cfRule>
  </conditionalFormatting>
  <conditionalFormatting sqref="I529">
    <cfRule type="cellIs" dxfId="1184" priority="1347" stopIfTrue="1" operator="equal">
      <formula>"Fail"</formula>
    </cfRule>
    <cfRule type="cellIs" dxfId="1183" priority="1348" stopIfTrue="1" operator="equal">
      <formula>"Pass"</formula>
    </cfRule>
  </conditionalFormatting>
  <conditionalFormatting sqref="C529">
    <cfRule type="cellIs" dxfId="1182" priority="1345" stopIfTrue="1" operator="equal">
      <formula>"Fail"</formula>
    </cfRule>
    <cfRule type="cellIs" dxfId="1181" priority="1346" stopIfTrue="1" operator="equal">
      <formula>"Pass"</formula>
    </cfRule>
  </conditionalFormatting>
  <conditionalFormatting sqref="A530 D530:I530">
    <cfRule type="cellIs" dxfId="1180" priority="1341" stopIfTrue="1" operator="equal">
      <formula>"Fail"</formula>
    </cfRule>
    <cfRule type="cellIs" dxfId="1179" priority="1342" stopIfTrue="1" operator="equal">
      <formula>"Pass"</formula>
    </cfRule>
  </conditionalFormatting>
  <conditionalFormatting sqref="A530 C530:I530">
    <cfRule type="cellIs" dxfId="1178" priority="1343" stopIfTrue="1" operator="equal">
      <formula>"Fail"</formula>
    </cfRule>
    <cfRule type="cellIs" dxfId="1177" priority="1344" stopIfTrue="1" operator="equal">
      <formula>"Pass"</formula>
    </cfRule>
  </conditionalFormatting>
  <conditionalFormatting sqref="I530">
    <cfRule type="cellIs" dxfId="1176" priority="1339" stopIfTrue="1" operator="equal">
      <formula>"Fail"</formula>
    </cfRule>
    <cfRule type="cellIs" dxfId="1175" priority="1340" stopIfTrue="1" operator="equal">
      <formula>"Pass"</formula>
    </cfRule>
  </conditionalFormatting>
  <conditionalFormatting sqref="C530">
    <cfRule type="cellIs" dxfId="1174" priority="1337" stopIfTrue="1" operator="equal">
      <formula>"Fail"</formula>
    </cfRule>
    <cfRule type="cellIs" dxfId="1173" priority="1338" stopIfTrue="1" operator="equal">
      <formula>"Pass"</formula>
    </cfRule>
  </conditionalFormatting>
  <conditionalFormatting sqref="A532:A533">
    <cfRule type="cellIs" dxfId="1172" priority="1335" stopIfTrue="1" operator="equal">
      <formula>"Fail"</formula>
    </cfRule>
    <cfRule type="cellIs" dxfId="1171" priority="1336" stopIfTrue="1" operator="equal">
      <formula>"Pass"</formula>
    </cfRule>
  </conditionalFormatting>
  <conditionalFormatting sqref="C532:C533">
    <cfRule type="cellIs" dxfId="1170" priority="1325" stopIfTrue="1" operator="equal">
      <formula>"Fail"</formula>
    </cfRule>
    <cfRule type="cellIs" dxfId="1169" priority="1326" stopIfTrue="1" operator="equal">
      <formula>"Pass"</formula>
    </cfRule>
  </conditionalFormatting>
  <conditionalFormatting sqref="D532">
    <cfRule type="cellIs" dxfId="1168" priority="1323" stopIfTrue="1" operator="equal">
      <formula>"Fail"</formula>
    </cfRule>
    <cfRule type="cellIs" dxfId="1167" priority="1324" stopIfTrue="1" operator="equal">
      <formula>"Pass"</formula>
    </cfRule>
  </conditionalFormatting>
  <conditionalFormatting sqref="A534 C534 E534:I534">
    <cfRule type="cellIs" dxfId="1166" priority="1321" stopIfTrue="1" operator="equal">
      <formula>"Fail"</formula>
    </cfRule>
    <cfRule type="cellIs" dxfId="1165" priority="1322" stopIfTrue="1" operator="equal">
      <formula>"Pass"</formula>
    </cfRule>
  </conditionalFormatting>
  <conditionalFormatting sqref="B534">
    <cfRule type="cellIs" dxfId="1164" priority="1319" stopIfTrue="1" operator="equal">
      <formula>"Fail"</formula>
    </cfRule>
    <cfRule type="cellIs" dxfId="1163" priority="1320" stopIfTrue="1" operator="equal">
      <formula>"Pass"</formula>
    </cfRule>
  </conditionalFormatting>
  <conditionalFormatting sqref="A536 E536:I536">
    <cfRule type="cellIs" dxfId="1162" priority="1315" stopIfTrue="1" operator="equal">
      <formula>"Fail"</formula>
    </cfRule>
    <cfRule type="cellIs" dxfId="1161" priority="1316" stopIfTrue="1" operator="equal">
      <formula>"Pass"</formula>
    </cfRule>
  </conditionalFormatting>
  <conditionalFormatting sqref="A536 C536 E536:I536">
    <cfRule type="cellIs" dxfId="1160" priority="1317" stopIfTrue="1" operator="equal">
      <formula>"Fail"</formula>
    </cfRule>
    <cfRule type="cellIs" dxfId="1159" priority="1318" stopIfTrue="1" operator="equal">
      <formula>"Pass"</formula>
    </cfRule>
  </conditionalFormatting>
  <conditionalFormatting sqref="I536">
    <cfRule type="cellIs" dxfId="1158" priority="1313" stopIfTrue="1" operator="equal">
      <formula>"Fail"</formula>
    </cfRule>
    <cfRule type="cellIs" dxfId="1157" priority="1314" stopIfTrue="1" operator="equal">
      <formula>"Pass"</formula>
    </cfRule>
  </conditionalFormatting>
  <conditionalFormatting sqref="C536">
    <cfRule type="cellIs" dxfId="1156" priority="1311" stopIfTrue="1" operator="equal">
      <formula>"Fail"</formula>
    </cfRule>
    <cfRule type="cellIs" dxfId="1155" priority="1312" stopIfTrue="1" operator="equal">
      <formula>"Pass"</formula>
    </cfRule>
  </conditionalFormatting>
  <conditionalFormatting sqref="A540 C540:I540">
    <cfRule type="cellIs" dxfId="1154" priority="1295" stopIfTrue="1" operator="equal">
      <formula>"Fail"</formula>
    </cfRule>
    <cfRule type="cellIs" dxfId="1153" priority="1296" stopIfTrue="1" operator="equal">
      <formula>"Pass"</formula>
    </cfRule>
  </conditionalFormatting>
  <conditionalFormatting sqref="B540">
    <cfRule type="cellIs" dxfId="1152" priority="1293" stopIfTrue="1" operator="equal">
      <formula>"Fail"</formula>
    </cfRule>
    <cfRule type="cellIs" dxfId="1151" priority="1294" stopIfTrue="1" operator="equal">
      <formula>"Pass"</formula>
    </cfRule>
  </conditionalFormatting>
  <conditionalFormatting sqref="A535 C535 E535:I535">
    <cfRule type="cellIs" dxfId="1150" priority="1291" stopIfTrue="1" operator="equal">
      <formula>"Fail"</formula>
    </cfRule>
    <cfRule type="cellIs" dxfId="1149" priority="1292" stopIfTrue="1" operator="equal">
      <formula>"Pass"</formula>
    </cfRule>
  </conditionalFormatting>
  <conditionalFormatting sqref="A535 E535:I535">
    <cfRule type="cellIs" dxfId="1148" priority="1289" stopIfTrue="1" operator="equal">
      <formula>"Fail"</formula>
    </cfRule>
    <cfRule type="cellIs" dxfId="1147" priority="1290" stopIfTrue="1" operator="equal">
      <formula>"Pass"</formula>
    </cfRule>
  </conditionalFormatting>
  <conditionalFormatting sqref="I535">
    <cfRule type="cellIs" dxfId="1146" priority="1287" stopIfTrue="1" operator="equal">
      <formula>"Fail"</formula>
    </cfRule>
    <cfRule type="cellIs" dxfId="1145" priority="1288" stopIfTrue="1" operator="equal">
      <formula>"Pass"</formula>
    </cfRule>
  </conditionalFormatting>
  <conditionalFormatting sqref="C535">
    <cfRule type="cellIs" dxfId="1144" priority="1285" stopIfTrue="1" operator="equal">
      <formula>"Fail"</formula>
    </cfRule>
    <cfRule type="cellIs" dxfId="1143" priority="1286" stopIfTrue="1" operator="equal">
      <formula>"Pass"</formula>
    </cfRule>
  </conditionalFormatting>
  <conditionalFormatting sqref="I541">
    <cfRule type="cellIs" dxfId="1142" priority="1279" stopIfTrue="1" operator="equal">
      <formula>"Fail"</formula>
    </cfRule>
    <cfRule type="cellIs" dxfId="1141" priority="1280" stopIfTrue="1" operator="equal">
      <formula>"Pass"</formula>
    </cfRule>
  </conditionalFormatting>
  <conditionalFormatting sqref="C541">
    <cfRule type="cellIs" dxfId="1140" priority="1277" stopIfTrue="1" operator="equal">
      <formula>"Fail"</formula>
    </cfRule>
    <cfRule type="cellIs" dxfId="1139" priority="1278" stopIfTrue="1" operator="equal">
      <formula>"Pass"</formula>
    </cfRule>
  </conditionalFormatting>
  <conditionalFormatting sqref="C541:I541 A541">
    <cfRule type="cellIs" dxfId="1138" priority="1283" stopIfTrue="1" operator="equal">
      <formula>"Fail"</formula>
    </cfRule>
    <cfRule type="cellIs" dxfId="1137" priority="1284" stopIfTrue="1" operator="equal">
      <formula>"Pass"</formula>
    </cfRule>
  </conditionalFormatting>
  <conditionalFormatting sqref="D541:I541 A541">
    <cfRule type="cellIs" dxfId="1136" priority="1281" stopIfTrue="1" operator="equal">
      <formula>"Fail"</formula>
    </cfRule>
    <cfRule type="cellIs" dxfId="1135" priority="1282" stopIfTrue="1" operator="equal">
      <formula>"Pass"</formula>
    </cfRule>
  </conditionalFormatting>
  <conditionalFormatting sqref="A531 D531:I531 F532:I532">
    <cfRule type="cellIs" dxfId="1134" priority="1263" stopIfTrue="1" operator="equal">
      <formula>"Fail"</formula>
    </cfRule>
    <cfRule type="cellIs" dxfId="1133" priority="1264" stopIfTrue="1" operator="equal">
      <formula>"Pass"</formula>
    </cfRule>
  </conditionalFormatting>
  <conditionalFormatting sqref="A531 C531:I531 F532:I532">
    <cfRule type="cellIs" dxfId="1132" priority="1265" stopIfTrue="1" operator="equal">
      <formula>"Fail"</formula>
    </cfRule>
    <cfRule type="cellIs" dxfId="1131" priority="1266" stopIfTrue="1" operator="equal">
      <formula>"Pass"</formula>
    </cfRule>
  </conditionalFormatting>
  <conditionalFormatting sqref="I531:I532">
    <cfRule type="cellIs" dxfId="1130" priority="1261" stopIfTrue="1" operator="equal">
      <formula>"Fail"</formula>
    </cfRule>
    <cfRule type="cellIs" dxfId="1129" priority="1262" stopIfTrue="1" operator="equal">
      <formula>"Pass"</formula>
    </cfRule>
  </conditionalFormatting>
  <conditionalFormatting sqref="C531">
    <cfRule type="cellIs" dxfId="1128" priority="1259" stopIfTrue="1" operator="equal">
      <formula>"Fail"</formula>
    </cfRule>
    <cfRule type="cellIs" dxfId="1127" priority="1260" stopIfTrue="1" operator="equal">
      <formula>"Pass"</formula>
    </cfRule>
  </conditionalFormatting>
  <conditionalFormatting sqref="A537 E537:I537">
    <cfRule type="cellIs" dxfId="1126" priority="1255" stopIfTrue="1" operator="equal">
      <formula>"Fail"</formula>
    </cfRule>
    <cfRule type="cellIs" dxfId="1125" priority="1256" stopIfTrue="1" operator="equal">
      <formula>"Pass"</formula>
    </cfRule>
  </conditionalFormatting>
  <conditionalFormatting sqref="A537 C537 E537:I537">
    <cfRule type="cellIs" dxfId="1124" priority="1257" stopIfTrue="1" operator="equal">
      <formula>"Fail"</formula>
    </cfRule>
    <cfRule type="cellIs" dxfId="1123" priority="1258" stopIfTrue="1" operator="equal">
      <formula>"Pass"</formula>
    </cfRule>
  </conditionalFormatting>
  <conditionalFormatting sqref="I537">
    <cfRule type="cellIs" dxfId="1122" priority="1253" stopIfTrue="1" operator="equal">
      <formula>"Fail"</formula>
    </cfRule>
    <cfRule type="cellIs" dxfId="1121" priority="1254" stopIfTrue="1" operator="equal">
      <formula>"Pass"</formula>
    </cfRule>
  </conditionalFormatting>
  <conditionalFormatting sqref="C537">
    <cfRule type="cellIs" dxfId="1120" priority="1251" stopIfTrue="1" operator="equal">
      <formula>"Fail"</formula>
    </cfRule>
    <cfRule type="cellIs" dxfId="1119" priority="1252" stopIfTrue="1" operator="equal">
      <formula>"Pass"</formula>
    </cfRule>
  </conditionalFormatting>
  <conditionalFormatting sqref="A520 C520:I520">
    <cfRule type="cellIs" dxfId="1118" priority="1249" stopIfTrue="1" operator="equal">
      <formula>"Fail"</formula>
    </cfRule>
    <cfRule type="cellIs" dxfId="1117" priority="1250" stopIfTrue="1" operator="equal">
      <formula>"Pass"</formula>
    </cfRule>
  </conditionalFormatting>
  <conditionalFormatting sqref="B520">
    <cfRule type="cellIs" dxfId="1116" priority="1247" stopIfTrue="1" operator="equal">
      <formula>"Fail"</formula>
    </cfRule>
    <cfRule type="cellIs" dxfId="1115" priority="1248" stopIfTrue="1" operator="equal">
      <formula>"Pass"</formula>
    </cfRule>
  </conditionalFormatting>
  <conditionalFormatting sqref="A699">
    <cfRule type="cellIs" dxfId="1114" priority="1245" stopIfTrue="1" operator="equal">
      <formula>"Fail"</formula>
    </cfRule>
    <cfRule type="cellIs" dxfId="1113" priority="1246" stopIfTrue="1" operator="equal">
      <formula>"Pass"</formula>
    </cfRule>
  </conditionalFormatting>
  <conditionalFormatting sqref="C699">
    <cfRule type="cellIs" dxfId="1112" priority="1241" stopIfTrue="1" operator="equal">
      <formula>"Fail"</formula>
    </cfRule>
    <cfRule type="cellIs" dxfId="1111" priority="1242" stopIfTrue="1" operator="equal">
      <formula>"Pass"</formula>
    </cfRule>
  </conditionalFormatting>
  <conditionalFormatting sqref="D699">
    <cfRule type="cellIs" dxfId="1110" priority="1239" stopIfTrue="1" operator="equal">
      <formula>"Fail"</formula>
    </cfRule>
    <cfRule type="cellIs" dxfId="1109" priority="1240" stopIfTrue="1" operator="equal">
      <formula>"Pass"</formula>
    </cfRule>
  </conditionalFormatting>
  <conditionalFormatting sqref="A700 C700:I700">
    <cfRule type="cellIs" dxfId="1108" priority="1237" stopIfTrue="1" operator="equal">
      <formula>"Fail"</formula>
    </cfRule>
    <cfRule type="cellIs" dxfId="1107" priority="1238" stopIfTrue="1" operator="equal">
      <formula>"Pass"</formula>
    </cfRule>
  </conditionalFormatting>
  <conditionalFormatting sqref="B700">
    <cfRule type="cellIs" dxfId="1106" priority="1235" stopIfTrue="1" operator="equal">
      <formula>"Fail"</formula>
    </cfRule>
    <cfRule type="cellIs" dxfId="1105" priority="1236" stopIfTrue="1" operator="equal">
      <formula>"Pass"</formula>
    </cfRule>
  </conditionalFormatting>
  <conditionalFormatting sqref="A706 C706:I706">
    <cfRule type="cellIs" dxfId="1104" priority="1233" stopIfTrue="1" operator="equal">
      <formula>"Fail"</formula>
    </cfRule>
    <cfRule type="cellIs" dxfId="1103" priority="1234" stopIfTrue="1" operator="equal">
      <formula>"Pass"</formula>
    </cfRule>
  </conditionalFormatting>
  <conditionalFormatting sqref="I695">
    <cfRule type="cellIs" dxfId="1102" priority="1227" stopIfTrue="1" operator="equal">
      <formula>"Fail"</formula>
    </cfRule>
    <cfRule type="cellIs" dxfId="1101" priority="1228" stopIfTrue="1" operator="equal">
      <formula>"Pass"</formula>
    </cfRule>
  </conditionalFormatting>
  <conditionalFormatting sqref="C695">
    <cfRule type="cellIs" dxfId="1100" priority="1225" stopIfTrue="1" operator="equal">
      <formula>"Fail"</formula>
    </cfRule>
    <cfRule type="cellIs" dxfId="1099" priority="1226" stopIfTrue="1" operator="equal">
      <formula>"Pass"</formula>
    </cfRule>
  </conditionalFormatting>
  <conditionalFormatting sqref="C695:I695 A695">
    <cfRule type="cellIs" dxfId="1098" priority="1231" stopIfTrue="1" operator="equal">
      <formula>"Fail"</formula>
    </cfRule>
    <cfRule type="cellIs" dxfId="1097" priority="1232" stopIfTrue="1" operator="equal">
      <formula>"Pass"</formula>
    </cfRule>
  </conditionalFormatting>
  <conditionalFormatting sqref="D695:I695 A695">
    <cfRule type="cellIs" dxfId="1096" priority="1229" stopIfTrue="1" operator="equal">
      <formula>"Fail"</formula>
    </cfRule>
    <cfRule type="cellIs" dxfId="1095" priority="1230" stopIfTrue="1" operator="equal">
      <formula>"Pass"</formula>
    </cfRule>
  </conditionalFormatting>
  <conditionalFormatting sqref="I701">
    <cfRule type="cellIs" dxfId="1094" priority="1219" stopIfTrue="1" operator="equal">
      <formula>"Fail"</formula>
    </cfRule>
    <cfRule type="cellIs" dxfId="1093" priority="1220" stopIfTrue="1" operator="equal">
      <formula>"Pass"</formula>
    </cfRule>
  </conditionalFormatting>
  <conditionalFormatting sqref="C701">
    <cfRule type="cellIs" dxfId="1092" priority="1217" stopIfTrue="1" operator="equal">
      <formula>"Fail"</formula>
    </cfRule>
    <cfRule type="cellIs" dxfId="1091" priority="1218" stopIfTrue="1" operator="equal">
      <formula>"Pass"</formula>
    </cfRule>
  </conditionalFormatting>
  <conditionalFormatting sqref="C701:I701 A701">
    <cfRule type="cellIs" dxfId="1090" priority="1223" stopIfTrue="1" operator="equal">
      <formula>"Fail"</formula>
    </cfRule>
    <cfRule type="cellIs" dxfId="1089" priority="1224" stopIfTrue="1" operator="equal">
      <formula>"Pass"</formula>
    </cfRule>
  </conditionalFormatting>
  <conditionalFormatting sqref="D701:I701 A701">
    <cfRule type="cellIs" dxfId="1088" priority="1221" stopIfTrue="1" operator="equal">
      <formula>"Fail"</formula>
    </cfRule>
    <cfRule type="cellIs" dxfId="1087" priority="1222" stopIfTrue="1" operator="equal">
      <formula>"Pass"</formula>
    </cfRule>
  </conditionalFormatting>
  <conditionalFormatting sqref="A696:A698 D696:I697 D698 F698:I698">
    <cfRule type="cellIs" dxfId="1086" priority="1213" stopIfTrue="1" operator="equal">
      <formula>"Fail"</formula>
    </cfRule>
    <cfRule type="cellIs" dxfId="1085" priority="1214" stopIfTrue="1" operator="equal">
      <formula>"Pass"</formula>
    </cfRule>
  </conditionalFormatting>
  <conditionalFormatting sqref="A696:A698 C696:I697 C698:D698 F698:I698">
    <cfRule type="cellIs" dxfId="1084" priority="1215" stopIfTrue="1" operator="equal">
      <formula>"Fail"</formula>
    </cfRule>
    <cfRule type="cellIs" dxfId="1083" priority="1216" stopIfTrue="1" operator="equal">
      <formula>"Pass"</formula>
    </cfRule>
  </conditionalFormatting>
  <conditionalFormatting sqref="I696:I698">
    <cfRule type="cellIs" dxfId="1082" priority="1211" stopIfTrue="1" operator="equal">
      <formula>"Fail"</formula>
    </cfRule>
    <cfRule type="cellIs" dxfId="1081" priority="1212" stopIfTrue="1" operator="equal">
      <formula>"Pass"</formula>
    </cfRule>
  </conditionalFormatting>
  <conditionalFormatting sqref="C696:C698">
    <cfRule type="cellIs" dxfId="1080" priority="1209" stopIfTrue="1" operator="equal">
      <formula>"Fail"</formula>
    </cfRule>
    <cfRule type="cellIs" dxfId="1079" priority="1210" stopIfTrue="1" operator="equal">
      <formula>"Pass"</formula>
    </cfRule>
  </conditionalFormatting>
  <conditionalFormatting sqref="C705">
    <cfRule type="cellIs" dxfId="1078" priority="1203" stopIfTrue="1" operator="equal">
      <formula>"Fail"</formula>
    </cfRule>
    <cfRule type="cellIs" dxfId="1077" priority="1204" stopIfTrue="1" operator="equal">
      <formula>"Pass"</formula>
    </cfRule>
  </conditionalFormatting>
  <conditionalFormatting sqref="A705">
    <cfRule type="cellIs" dxfId="1076" priority="1207" stopIfTrue="1" operator="equal">
      <formula>"Fail"</formula>
    </cfRule>
    <cfRule type="cellIs" dxfId="1075" priority="1208" stopIfTrue="1" operator="equal">
      <formula>"Pass"</formula>
    </cfRule>
  </conditionalFormatting>
  <conditionalFormatting sqref="D705">
    <cfRule type="cellIs" dxfId="1074" priority="1201" stopIfTrue="1" operator="equal">
      <formula>"Fail"</formula>
    </cfRule>
    <cfRule type="cellIs" dxfId="1073" priority="1202" stopIfTrue="1" operator="equal">
      <formula>"Pass"</formula>
    </cfRule>
  </conditionalFormatting>
  <conditionalFormatting sqref="A702 D702:I702">
    <cfRule type="cellIs" dxfId="1072" priority="1197" stopIfTrue="1" operator="equal">
      <formula>"Fail"</formula>
    </cfRule>
    <cfRule type="cellIs" dxfId="1071" priority="1198" stopIfTrue="1" operator="equal">
      <formula>"Pass"</formula>
    </cfRule>
  </conditionalFormatting>
  <conditionalFormatting sqref="A702 C702:I702">
    <cfRule type="cellIs" dxfId="1070" priority="1199" stopIfTrue="1" operator="equal">
      <formula>"Fail"</formula>
    </cfRule>
    <cfRule type="cellIs" dxfId="1069" priority="1200" stopIfTrue="1" operator="equal">
      <formula>"Pass"</formula>
    </cfRule>
  </conditionalFormatting>
  <conditionalFormatting sqref="I702">
    <cfRule type="cellIs" dxfId="1068" priority="1195" stopIfTrue="1" operator="equal">
      <formula>"Fail"</formula>
    </cfRule>
    <cfRule type="cellIs" dxfId="1067" priority="1196" stopIfTrue="1" operator="equal">
      <formula>"Pass"</formula>
    </cfRule>
  </conditionalFormatting>
  <conditionalFormatting sqref="C702">
    <cfRule type="cellIs" dxfId="1066" priority="1193" stopIfTrue="1" operator="equal">
      <formula>"Fail"</formula>
    </cfRule>
    <cfRule type="cellIs" dxfId="1065" priority="1194" stopIfTrue="1" operator="equal">
      <formula>"Pass"</formula>
    </cfRule>
  </conditionalFormatting>
  <conditionalFormatting sqref="B706">
    <cfRule type="cellIs" dxfId="1064" priority="1191" stopIfTrue="1" operator="equal">
      <formula>"Fail"</formula>
    </cfRule>
    <cfRule type="cellIs" dxfId="1063" priority="1192" stopIfTrue="1" operator="equal">
      <formula>"Pass"</formula>
    </cfRule>
  </conditionalFormatting>
  <conditionalFormatting sqref="A703:A704 D703:I703 D704 F704:I704">
    <cfRule type="cellIs" dxfId="1062" priority="1179" stopIfTrue="1" operator="equal">
      <formula>"Fail"</formula>
    </cfRule>
    <cfRule type="cellIs" dxfId="1061" priority="1180" stopIfTrue="1" operator="equal">
      <formula>"Pass"</formula>
    </cfRule>
  </conditionalFormatting>
  <conditionalFormatting sqref="A703:A704 C703:I703 C704:D704 F704:I704">
    <cfRule type="cellIs" dxfId="1060" priority="1181" stopIfTrue="1" operator="equal">
      <formula>"Fail"</formula>
    </cfRule>
    <cfRule type="cellIs" dxfId="1059" priority="1182" stopIfTrue="1" operator="equal">
      <formula>"Pass"</formula>
    </cfRule>
  </conditionalFormatting>
  <conditionalFormatting sqref="I703:I704">
    <cfRule type="cellIs" dxfId="1058" priority="1177" stopIfTrue="1" operator="equal">
      <formula>"Fail"</formula>
    </cfRule>
    <cfRule type="cellIs" dxfId="1057" priority="1178" stopIfTrue="1" operator="equal">
      <formula>"Pass"</formula>
    </cfRule>
  </conditionalFormatting>
  <conditionalFormatting sqref="C703:C704">
    <cfRule type="cellIs" dxfId="1056" priority="1175" stopIfTrue="1" operator="equal">
      <formula>"Fail"</formula>
    </cfRule>
    <cfRule type="cellIs" dxfId="1055" priority="1176" stopIfTrue="1" operator="equal">
      <formula>"Pass"</formula>
    </cfRule>
  </conditionalFormatting>
  <conditionalFormatting sqref="A837">
    <cfRule type="cellIs" dxfId="1054" priority="1093" stopIfTrue="1" operator="equal">
      <formula>"Fail"</formula>
    </cfRule>
    <cfRule type="cellIs" dxfId="1053" priority="1094" stopIfTrue="1" operator="equal">
      <formula>"Pass"</formula>
    </cfRule>
  </conditionalFormatting>
  <conditionalFormatting sqref="C837">
    <cfRule type="cellIs" dxfId="1052" priority="1089" stopIfTrue="1" operator="equal">
      <formula>"Fail"</formula>
    </cfRule>
    <cfRule type="cellIs" dxfId="1051" priority="1090" stopIfTrue="1" operator="equal">
      <formula>"Pass"</formula>
    </cfRule>
  </conditionalFormatting>
  <conditionalFormatting sqref="D837">
    <cfRule type="cellIs" dxfId="1050" priority="1087" stopIfTrue="1" operator="equal">
      <formula>"Fail"</formula>
    </cfRule>
    <cfRule type="cellIs" dxfId="1049" priority="1088" stopIfTrue="1" operator="equal">
      <formula>"Pass"</formula>
    </cfRule>
  </conditionalFormatting>
  <conditionalFormatting sqref="A838 C838:I838">
    <cfRule type="cellIs" dxfId="1048" priority="1085" stopIfTrue="1" operator="equal">
      <formula>"Fail"</formula>
    </cfRule>
    <cfRule type="cellIs" dxfId="1047" priority="1086" stopIfTrue="1" operator="equal">
      <formula>"Pass"</formula>
    </cfRule>
  </conditionalFormatting>
  <conditionalFormatting sqref="B838">
    <cfRule type="cellIs" dxfId="1046" priority="1083" stopIfTrue="1" operator="equal">
      <formula>"Fail"</formula>
    </cfRule>
    <cfRule type="cellIs" dxfId="1045" priority="1084" stopIfTrue="1" operator="equal">
      <formula>"Pass"</formula>
    </cfRule>
  </conditionalFormatting>
  <conditionalFormatting sqref="A844 C844:I844">
    <cfRule type="cellIs" dxfId="1044" priority="1081" stopIfTrue="1" operator="equal">
      <formula>"Fail"</formula>
    </cfRule>
    <cfRule type="cellIs" dxfId="1043" priority="1082" stopIfTrue="1" operator="equal">
      <formula>"Pass"</formula>
    </cfRule>
  </conditionalFormatting>
  <conditionalFormatting sqref="I833">
    <cfRule type="cellIs" dxfId="1042" priority="1075" stopIfTrue="1" operator="equal">
      <formula>"Fail"</formula>
    </cfRule>
    <cfRule type="cellIs" dxfId="1041" priority="1076" stopIfTrue="1" operator="equal">
      <formula>"Pass"</formula>
    </cfRule>
  </conditionalFormatting>
  <conditionalFormatting sqref="C833">
    <cfRule type="cellIs" dxfId="1040" priority="1073" stopIfTrue="1" operator="equal">
      <formula>"Fail"</formula>
    </cfRule>
    <cfRule type="cellIs" dxfId="1039" priority="1074" stopIfTrue="1" operator="equal">
      <formula>"Pass"</formula>
    </cfRule>
  </conditionalFormatting>
  <conditionalFormatting sqref="C833:I833 A833">
    <cfRule type="cellIs" dxfId="1038" priority="1079" stopIfTrue="1" operator="equal">
      <formula>"Fail"</formula>
    </cfRule>
    <cfRule type="cellIs" dxfId="1037" priority="1080" stopIfTrue="1" operator="equal">
      <formula>"Pass"</formula>
    </cfRule>
  </conditionalFormatting>
  <conditionalFormatting sqref="D833:I833 A833">
    <cfRule type="cellIs" dxfId="1036" priority="1077" stopIfTrue="1" operator="equal">
      <formula>"Fail"</formula>
    </cfRule>
    <cfRule type="cellIs" dxfId="1035" priority="1078" stopIfTrue="1" operator="equal">
      <formula>"Pass"</formula>
    </cfRule>
  </conditionalFormatting>
  <conditionalFormatting sqref="I839">
    <cfRule type="cellIs" dxfId="1034" priority="1067" stopIfTrue="1" operator="equal">
      <formula>"Fail"</formula>
    </cfRule>
    <cfRule type="cellIs" dxfId="1033" priority="1068" stopIfTrue="1" operator="equal">
      <formula>"Pass"</formula>
    </cfRule>
  </conditionalFormatting>
  <conditionalFormatting sqref="C839">
    <cfRule type="cellIs" dxfId="1032" priority="1065" stopIfTrue="1" operator="equal">
      <formula>"Fail"</formula>
    </cfRule>
    <cfRule type="cellIs" dxfId="1031" priority="1066" stopIfTrue="1" operator="equal">
      <formula>"Pass"</formula>
    </cfRule>
  </conditionalFormatting>
  <conditionalFormatting sqref="C839:I839 A839">
    <cfRule type="cellIs" dxfId="1030" priority="1071" stopIfTrue="1" operator="equal">
      <formula>"Fail"</formula>
    </cfRule>
    <cfRule type="cellIs" dxfId="1029" priority="1072" stopIfTrue="1" operator="equal">
      <formula>"Pass"</formula>
    </cfRule>
  </conditionalFormatting>
  <conditionalFormatting sqref="D839:I839 A839">
    <cfRule type="cellIs" dxfId="1028" priority="1069" stopIfTrue="1" operator="equal">
      <formula>"Fail"</formula>
    </cfRule>
    <cfRule type="cellIs" dxfId="1027" priority="1070" stopIfTrue="1" operator="equal">
      <formula>"Pass"</formula>
    </cfRule>
  </conditionalFormatting>
  <conditionalFormatting sqref="A834:A836 D834:I836">
    <cfRule type="cellIs" dxfId="1026" priority="1061" stopIfTrue="1" operator="equal">
      <formula>"Fail"</formula>
    </cfRule>
    <cfRule type="cellIs" dxfId="1025" priority="1062" stopIfTrue="1" operator="equal">
      <formula>"Pass"</formula>
    </cfRule>
  </conditionalFormatting>
  <conditionalFormatting sqref="A834:A836 C834:I836">
    <cfRule type="cellIs" dxfId="1024" priority="1063" stopIfTrue="1" operator="equal">
      <formula>"Fail"</formula>
    </cfRule>
    <cfRule type="cellIs" dxfId="1023" priority="1064" stopIfTrue="1" operator="equal">
      <formula>"Pass"</formula>
    </cfRule>
  </conditionalFormatting>
  <conditionalFormatting sqref="I834:I836">
    <cfRule type="cellIs" dxfId="1022" priority="1059" stopIfTrue="1" operator="equal">
      <formula>"Fail"</formula>
    </cfRule>
    <cfRule type="cellIs" dxfId="1021" priority="1060" stopIfTrue="1" operator="equal">
      <formula>"Pass"</formula>
    </cfRule>
  </conditionalFormatting>
  <conditionalFormatting sqref="C834:C836">
    <cfRule type="cellIs" dxfId="1020" priority="1057" stopIfTrue="1" operator="equal">
      <formula>"Fail"</formula>
    </cfRule>
    <cfRule type="cellIs" dxfId="1019" priority="1058" stopIfTrue="1" operator="equal">
      <formula>"Pass"</formula>
    </cfRule>
  </conditionalFormatting>
  <conditionalFormatting sqref="C843">
    <cfRule type="cellIs" dxfId="1018" priority="1051" stopIfTrue="1" operator="equal">
      <formula>"Fail"</formula>
    </cfRule>
    <cfRule type="cellIs" dxfId="1017" priority="1052" stopIfTrue="1" operator="equal">
      <formula>"Pass"</formula>
    </cfRule>
  </conditionalFormatting>
  <conditionalFormatting sqref="A843">
    <cfRule type="cellIs" dxfId="1016" priority="1055" stopIfTrue="1" operator="equal">
      <formula>"Fail"</formula>
    </cfRule>
    <cfRule type="cellIs" dxfId="1015" priority="1056" stopIfTrue="1" operator="equal">
      <formula>"Pass"</formula>
    </cfRule>
  </conditionalFormatting>
  <conditionalFormatting sqref="D843">
    <cfRule type="cellIs" dxfId="1014" priority="1049" stopIfTrue="1" operator="equal">
      <formula>"Fail"</formula>
    </cfRule>
    <cfRule type="cellIs" dxfId="1013" priority="1050" stopIfTrue="1" operator="equal">
      <formula>"Pass"</formula>
    </cfRule>
  </conditionalFormatting>
  <conditionalFormatting sqref="A840 D840:I840">
    <cfRule type="cellIs" dxfId="1012" priority="1045" stopIfTrue="1" operator="equal">
      <formula>"Fail"</formula>
    </cfRule>
    <cfRule type="cellIs" dxfId="1011" priority="1046" stopIfTrue="1" operator="equal">
      <formula>"Pass"</formula>
    </cfRule>
  </conditionalFormatting>
  <conditionalFormatting sqref="A840 C840:I840">
    <cfRule type="cellIs" dxfId="1010" priority="1047" stopIfTrue="1" operator="equal">
      <formula>"Fail"</formula>
    </cfRule>
    <cfRule type="cellIs" dxfId="1009" priority="1048" stopIfTrue="1" operator="equal">
      <formula>"Pass"</formula>
    </cfRule>
  </conditionalFormatting>
  <conditionalFormatting sqref="I840">
    <cfRule type="cellIs" dxfId="1008" priority="1043" stopIfTrue="1" operator="equal">
      <formula>"Fail"</formula>
    </cfRule>
    <cfRule type="cellIs" dxfId="1007" priority="1044" stopIfTrue="1" operator="equal">
      <formula>"Pass"</formula>
    </cfRule>
  </conditionalFormatting>
  <conditionalFormatting sqref="C840">
    <cfRule type="cellIs" dxfId="1006" priority="1041" stopIfTrue="1" operator="equal">
      <formula>"Fail"</formula>
    </cfRule>
    <cfRule type="cellIs" dxfId="1005" priority="1042" stopIfTrue="1" operator="equal">
      <formula>"Pass"</formula>
    </cfRule>
  </conditionalFormatting>
  <conditionalFormatting sqref="B844">
    <cfRule type="cellIs" dxfId="1004" priority="1039" stopIfTrue="1" operator="equal">
      <formula>"Fail"</formula>
    </cfRule>
    <cfRule type="cellIs" dxfId="1003" priority="1040" stopIfTrue="1" operator="equal">
      <formula>"Pass"</formula>
    </cfRule>
  </conditionalFormatting>
  <conditionalFormatting sqref="A841 D841:I841">
    <cfRule type="cellIs" dxfId="1002" priority="1027" stopIfTrue="1" operator="equal">
      <formula>"Fail"</formula>
    </cfRule>
    <cfRule type="cellIs" dxfId="1001" priority="1028" stopIfTrue="1" operator="equal">
      <formula>"Pass"</formula>
    </cfRule>
  </conditionalFormatting>
  <conditionalFormatting sqref="A841 C841:I841">
    <cfRule type="cellIs" dxfId="1000" priority="1029" stopIfTrue="1" operator="equal">
      <formula>"Fail"</formula>
    </cfRule>
    <cfRule type="cellIs" dxfId="999" priority="1030" stopIfTrue="1" operator="equal">
      <formula>"Pass"</formula>
    </cfRule>
  </conditionalFormatting>
  <conditionalFormatting sqref="I841">
    <cfRule type="cellIs" dxfId="998" priority="1025" stopIfTrue="1" operator="equal">
      <formula>"Fail"</formula>
    </cfRule>
    <cfRule type="cellIs" dxfId="997" priority="1026" stopIfTrue="1" operator="equal">
      <formula>"Pass"</formula>
    </cfRule>
  </conditionalFormatting>
  <conditionalFormatting sqref="C841">
    <cfRule type="cellIs" dxfId="996" priority="1023" stopIfTrue="1" operator="equal">
      <formula>"Fail"</formula>
    </cfRule>
    <cfRule type="cellIs" dxfId="995" priority="1024" stopIfTrue="1" operator="equal">
      <formula>"Pass"</formula>
    </cfRule>
  </conditionalFormatting>
  <conditionalFormatting sqref="A1023">
    <cfRule type="cellIs" dxfId="994" priority="997" stopIfTrue="1" operator="equal">
      <formula>"Fail"</formula>
    </cfRule>
    <cfRule type="cellIs" dxfId="993" priority="998" stopIfTrue="1" operator="equal">
      <formula>"Pass"</formula>
    </cfRule>
  </conditionalFormatting>
  <conditionalFormatting sqref="C1023">
    <cfRule type="cellIs" dxfId="992" priority="995" stopIfTrue="1" operator="equal">
      <formula>"Fail"</formula>
    </cfRule>
    <cfRule type="cellIs" dxfId="991" priority="996" stopIfTrue="1" operator="equal">
      <formula>"Pass"</formula>
    </cfRule>
  </conditionalFormatting>
  <conditionalFormatting sqref="D1023">
    <cfRule type="cellIs" dxfId="990" priority="993" stopIfTrue="1" operator="equal">
      <formula>"Fail"</formula>
    </cfRule>
    <cfRule type="cellIs" dxfId="989" priority="994" stopIfTrue="1" operator="equal">
      <formula>"Pass"</formula>
    </cfRule>
  </conditionalFormatting>
  <conditionalFormatting sqref="A1024 C1024:I1024">
    <cfRule type="cellIs" dxfId="988" priority="991" stopIfTrue="1" operator="equal">
      <formula>"Fail"</formula>
    </cfRule>
    <cfRule type="cellIs" dxfId="987" priority="992" stopIfTrue="1" operator="equal">
      <formula>"Pass"</formula>
    </cfRule>
  </conditionalFormatting>
  <conditionalFormatting sqref="B1024">
    <cfRule type="cellIs" dxfId="986" priority="989" stopIfTrue="1" operator="equal">
      <formula>"Fail"</formula>
    </cfRule>
    <cfRule type="cellIs" dxfId="985" priority="990" stopIfTrue="1" operator="equal">
      <formula>"Pass"</formula>
    </cfRule>
  </conditionalFormatting>
  <conditionalFormatting sqref="A1030 C1030:I1030">
    <cfRule type="cellIs" dxfId="984" priority="987" stopIfTrue="1" operator="equal">
      <formula>"Fail"</formula>
    </cfRule>
    <cfRule type="cellIs" dxfId="983" priority="988" stopIfTrue="1" operator="equal">
      <formula>"Pass"</formula>
    </cfRule>
  </conditionalFormatting>
  <conditionalFormatting sqref="I1019">
    <cfRule type="cellIs" dxfId="982" priority="981" stopIfTrue="1" operator="equal">
      <formula>"Fail"</formula>
    </cfRule>
    <cfRule type="cellIs" dxfId="981" priority="982" stopIfTrue="1" operator="equal">
      <formula>"Pass"</formula>
    </cfRule>
  </conditionalFormatting>
  <conditionalFormatting sqref="C1019">
    <cfRule type="cellIs" dxfId="980" priority="979" stopIfTrue="1" operator="equal">
      <formula>"Fail"</formula>
    </cfRule>
    <cfRule type="cellIs" dxfId="979" priority="980" stopIfTrue="1" operator="equal">
      <formula>"Pass"</formula>
    </cfRule>
  </conditionalFormatting>
  <conditionalFormatting sqref="C1019:I1019 A1019">
    <cfRule type="cellIs" dxfId="978" priority="985" stopIfTrue="1" operator="equal">
      <formula>"Fail"</formula>
    </cfRule>
    <cfRule type="cellIs" dxfId="977" priority="986" stopIfTrue="1" operator="equal">
      <formula>"Pass"</formula>
    </cfRule>
  </conditionalFormatting>
  <conditionalFormatting sqref="D1019:I1019 A1019">
    <cfRule type="cellIs" dxfId="976" priority="983" stopIfTrue="1" operator="equal">
      <formula>"Fail"</formula>
    </cfRule>
    <cfRule type="cellIs" dxfId="975" priority="984" stopIfTrue="1" operator="equal">
      <formula>"Pass"</formula>
    </cfRule>
  </conditionalFormatting>
  <conditionalFormatting sqref="I1025">
    <cfRule type="cellIs" dxfId="974" priority="973" stopIfTrue="1" operator="equal">
      <formula>"Fail"</formula>
    </cfRule>
    <cfRule type="cellIs" dxfId="973" priority="974" stopIfTrue="1" operator="equal">
      <formula>"Pass"</formula>
    </cfRule>
  </conditionalFormatting>
  <conditionalFormatting sqref="C1025">
    <cfRule type="cellIs" dxfId="972" priority="971" stopIfTrue="1" operator="equal">
      <formula>"Fail"</formula>
    </cfRule>
    <cfRule type="cellIs" dxfId="971" priority="972" stopIfTrue="1" operator="equal">
      <formula>"Pass"</formula>
    </cfRule>
  </conditionalFormatting>
  <conditionalFormatting sqref="C1025:I1025 A1025">
    <cfRule type="cellIs" dxfId="970" priority="977" stopIfTrue="1" operator="equal">
      <formula>"Fail"</formula>
    </cfRule>
    <cfRule type="cellIs" dxfId="969" priority="978" stopIfTrue="1" operator="equal">
      <formula>"Pass"</formula>
    </cfRule>
  </conditionalFormatting>
  <conditionalFormatting sqref="D1025:I1025 A1025">
    <cfRule type="cellIs" dxfId="968" priority="975" stopIfTrue="1" operator="equal">
      <formula>"Fail"</formula>
    </cfRule>
    <cfRule type="cellIs" dxfId="967" priority="976" stopIfTrue="1" operator="equal">
      <formula>"Pass"</formula>
    </cfRule>
  </conditionalFormatting>
  <conditionalFormatting sqref="A1020:A1021 D1020:I1021">
    <cfRule type="cellIs" dxfId="966" priority="967" stopIfTrue="1" operator="equal">
      <formula>"Fail"</formula>
    </cfRule>
    <cfRule type="cellIs" dxfId="965" priority="968" stopIfTrue="1" operator="equal">
      <formula>"Pass"</formula>
    </cfRule>
  </conditionalFormatting>
  <conditionalFormatting sqref="A1020:A1021 C1020:I1021">
    <cfRule type="cellIs" dxfId="964" priority="969" stopIfTrue="1" operator="equal">
      <formula>"Fail"</formula>
    </cfRule>
    <cfRule type="cellIs" dxfId="963" priority="970" stopIfTrue="1" operator="equal">
      <formula>"Pass"</formula>
    </cfRule>
  </conditionalFormatting>
  <conditionalFormatting sqref="I1020:I1021">
    <cfRule type="cellIs" dxfId="962" priority="965" stopIfTrue="1" operator="equal">
      <formula>"Fail"</formula>
    </cfRule>
    <cfRule type="cellIs" dxfId="961" priority="966" stopIfTrue="1" operator="equal">
      <formula>"Pass"</formula>
    </cfRule>
  </conditionalFormatting>
  <conditionalFormatting sqref="C1020:C1021">
    <cfRule type="cellIs" dxfId="960" priority="963" stopIfTrue="1" operator="equal">
      <formula>"Fail"</formula>
    </cfRule>
    <cfRule type="cellIs" dxfId="959" priority="964" stopIfTrue="1" operator="equal">
      <formula>"Pass"</formula>
    </cfRule>
  </conditionalFormatting>
  <conditionalFormatting sqref="C1029">
    <cfRule type="cellIs" dxfId="958" priority="959" stopIfTrue="1" operator="equal">
      <formula>"Fail"</formula>
    </cfRule>
    <cfRule type="cellIs" dxfId="957" priority="960" stopIfTrue="1" operator="equal">
      <formula>"Pass"</formula>
    </cfRule>
  </conditionalFormatting>
  <conditionalFormatting sqref="A1029">
    <cfRule type="cellIs" dxfId="956" priority="961" stopIfTrue="1" operator="equal">
      <formula>"Fail"</formula>
    </cfRule>
    <cfRule type="cellIs" dxfId="955" priority="962" stopIfTrue="1" operator="equal">
      <formula>"Pass"</formula>
    </cfRule>
  </conditionalFormatting>
  <conditionalFormatting sqref="D1029">
    <cfRule type="cellIs" dxfId="954" priority="957" stopIfTrue="1" operator="equal">
      <formula>"Fail"</formula>
    </cfRule>
    <cfRule type="cellIs" dxfId="953" priority="958" stopIfTrue="1" operator="equal">
      <formula>"Pass"</formula>
    </cfRule>
  </conditionalFormatting>
  <conditionalFormatting sqref="A1026 D1026:I1026">
    <cfRule type="cellIs" dxfId="952" priority="953" stopIfTrue="1" operator="equal">
      <formula>"Fail"</formula>
    </cfRule>
    <cfRule type="cellIs" dxfId="951" priority="954" stopIfTrue="1" operator="equal">
      <formula>"Pass"</formula>
    </cfRule>
  </conditionalFormatting>
  <conditionalFormatting sqref="A1026 C1026:I1026">
    <cfRule type="cellIs" dxfId="950" priority="955" stopIfTrue="1" operator="equal">
      <formula>"Fail"</formula>
    </cfRule>
    <cfRule type="cellIs" dxfId="949" priority="956" stopIfTrue="1" operator="equal">
      <formula>"Pass"</formula>
    </cfRule>
  </conditionalFormatting>
  <conditionalFormatting sqref="I1026">
    <cfRule type="cellIs" dxfId="948" priority="951" stopIfTrue="1" operator="equal">
      <formula>"Fail"</formula>
    </cfRule>
    <cfRule type="cellIs" dxfId="947" priority="952" stopIfTrue="1" operator="equal">
      <formula>"Pass"</formula>
    </cfRule>
  </conditionalFormatting>
  <conditionalFormatting sqref="C1026">
    <cfRule type="cellIs" dxfId="946" priority="949" stopIfTrue="1" operator="equal">
      <formula>"Fail"</formula>
    </cfRule>
    <cfRule type="cellIs" dxfId="945" priority="950" stopIfTrue="1" operator="equal">
      <formula>"Pass"</formula>
    </cfRule>
  </conditionalFormatting>
  <conditionalFormatting sqref="B1030">
    <cfRule type="cellIs" dxfId="944" priority="947" stopIfTrue="1" operator="equal">
      <formula>"Fail"</formula>
    </cfRule>
    <cfRule type="cellIs" dxfId="943" priority="948" stopIfTrue="1" operator="equal">
      <formula>"Pass"</formula>
    </cfRule>
  </conditionalFormatting>
  <conditionalFormatting sqref="A1027 D1027:I1027">
    <cfRule type="cellIs" dxfId="942" priority="935" stopIfTrue="1" operator="equal">
      <formula>"Fail"</formula>
    </cfRule>
    <cfRule type="cellIs" dxfId="941" priority="936" stopIfTrue="1" operator="equal">
      <formula>"Pass"</formula>
    </cfRule>
  </conditionalFormatting>
  <conditionalFormatting sqref="A1027 C1027:I1027">
    <cfRule type="cellIs" dxfId="940" priority="937" stopIfTrue="1" operator="equal">
      <formula>"Fail"</formula>
    </cfRule>
    <cfRule type="cellIs" dxfId="939" priority="938" stopIfTrue="1" operator="equal">
      <formula>"Pass"</formula>
    </cfRule>
  </conditionalFormatting>
  <conditionalFormatting sqref="I1027">
    <cfRule type="cellIs" dxfId="938" priority="933" stopIfTrue="1" operator="equal">
      <formula>"Fail"</formula>
    </cfRule>
    <cfRule type="cellIs" dxfId="937" priority="934" stopIfTrue="1" operator="equal">
      <formula>"Pass"</formula>
    </cfRule>
  </conditionalFormatting>
  <conditionalFormatting sqref="C1027">
    <cfRule type="cellIs" dxfId="936" priority="931" stopIfTrue="1" operator="equal">
      <formula>"Fail"</formula>
    </cfRule>
    <cfRule type="cellIs" dxfId="935" priority="932" stopIfTrue="1" operator="equal">
      <formula>"Pass"</formula>
    </cfRule>
  </conditionalFormatting>
  <conditionalFormatting sqref="I1031">
    <cfRule type="cellIs" dxfId="934" priority="913" stopIfTrue="1" operator="equal">
      <formula>"Fail"</formula>
    </cfRule>
    <cfRule type="cellIs" dxfId="933" priority="914" stopIfTrue="1" operator="equal">
      <formula>"Pass"</formula>
    </cfRule>
  </conditionalFormatting>
  <conditionalFormatting sqref="C1031">
    <cfRule type="cellIs" dxfId="932" priority="911" stopIfTrue="1" operator="equal">
      <formula>"Fail"</formula>
    </cfRule>
    <cfRule type="cellIs" dxfId="931" priority="912" stopIfTrue="1" operator="equal">
      <formula>"Pass"</formula>
    </cfRule>
  </conditionalFormatting>
  <conditionalFormatting sqref="C1031:I1031 A1031">
    <cfRule type="cellIs" dxfId="930" priority="917" stopIfTrue="1" operator="equal">
      <formula>"Fail"</formula>
    </cfRule>
    <cfRule type="cellIs" dxfId="929" priority="918" stopIfTrue="1" operator="equal">
      <formula>"Pass"</formula>
    </cfRule>
  </conditionalFormatting>
  <conditionalFormatting sqref="D1031:I1031 A1031">
    <cfRule type="cellIs" dxfId="928" priority="915" stopIfTrue="1" operator="equal">
      <formula>"Fail"</formula>
    </cfRule>
    <cfRule type="cellIs" dxfId="927" priority="916" stopIfTrue="1" operator="equal">
      <formula>"Pass"</formula>
    </cfRule>
  </conditionalFormatting>
  <conditionalFormatting sqref="A1079 C1079:I1079">
    <cfRule type="cellIs" dxfId="926" priority="903" stopIfTrue="1" operator="equal">
      <formula>"Fail"</formula>
    </cfRule>
    <cfRule type="cellIs" dxfId="925" priority="904" stopIfTrue="1" operator="equal">
      <formula>"Pass"</formula>
    </cfRule>
  </conditionalFormatting>
  <conditionalFormatting sqref="B1079">
    <cfRule type="cellIs" dxfId="924" priority="901" stopIfTrue="1" operator="equal">
      <formula>"Fail"</formula>
    </cfRule>
    <cfRule type="cellIs" dxfId="923" priority="902" stopIfTrue="1" operator="equal">
      <formula>"Pass"</formula>
    </cfRule>
  </conditionalFormatting>
  <conditionalFormatting sqref="A1085 C1085:I1085">
    <cfRule type="cellIs" dxfId="922" priority="899" stopIfTrue="1" operator="equal">
      <formula>"Fail"</formula>
    </cfRule>
    <cfRule type="cellIs" dxfId="921" priority="900" stopIfTrue="1" operator="equal">
      <formula>"Pass"</formula>
    </cfRule>
  </conditionalFormatting>
  <conditionalFormatting sqref="I1074">
    <cfRule type="cellIs" dxfId="920" priority="893" stopIfTrue="1" operator="equal">
      <formula>"Fail"</formula>
    </cfRule>
    <cfRule type="cellIs" dxfId="919" priority="894" stopIfTrue="1" operator="equal">
      <formula>"Pass"</formula>
    </cfRule>
  </conditionalFormatting>
  <conditionalFormatting sqref="C1074">
    <cfRule type="cellIs" dxfId="918" priority="891" stopIfTrue="1" operator="equal">
      <formula>"Fail"</formula>
    </cfRule>
    <cfRule type="cellIs" dxfId="917" priority="892" stopIfTrue="1" operator="equal">
      <formula>"Pass"</formula>
    </cfRule>
  </conditionalFormatting>
  <conditionalFormatting sqref="C1074:I1074 A1074">
    <cfRule type="cellIs" dxfId="916" priority="897" stopIfTrue="1" operator="equal">
      <formula>"Fail"</formula>
    </cfRule>
    <cfRule type="cellIs" dxfId="915" priority="898" stopIfTrue="1" operator="equal">
      <formula>"Pass"</formula>
    </cfRule>
  </conditionalFormatting>
  <conditionalFormatting sqref="D1074:I1074 A1074">
    <cfRule type="cellIs" dxfId="914" priority="895" stopIfTrue="1" operator="equal">
      <formula>"Fail"</formula>
    </cfRule>
    <cfRule type="cellIs" dxfId="913" priority="896" stopIfTrue="1" operator="equal">
      <formula>"Pass"</formula>
    </cfRule>
  </conditionalFormatting>
  <conditionalFormatting sqref="I1080">
    <cfRule type="cellIs" dxfId="912" priority="885" stopIfTrue="1" operator="equal">
      <formula>"Fail"</formula>
    </cfRule>
    <cfRule type="cellIs" dxfId="911" priority="886" stopIfTrue="1" operator="equal">
      <formula>"Pass"</formula>
    </cfRule>
  </conditionalFormatting>
  <conditionalFormatting sqref="C1080">
    <cfRule type="cellIs" dxfId="910" priority="883" stopIfTrue="1" operator="equal">
      <formula>"Fail"</formula>
    </cfRule>
    <cfRule type="cellIs" dxfId="909" priority="884" stopIfTrue="1" operator="equal">
      <formula>"Pass"</formula>
    </cfRule>
  </conditionalFormatting>
  <conditionalFormatting sqref="C1080:I1080 A1080">
    <cfRule type="cellIs" dxfId="908" priority="889" stopIfTrue="1" operator="equal">
      <formula>"Fail"</formula>
    </cfRule>
    <cfRule type="cellIs" dxfId="907" priority="890" stopIfTrue="1" operator="equal">
      <formula>"Pass"</formula>
    </cfRule>
  </conditionalFormatting>
  <conditionalFormatting sqref="D1080:I1080 A1080">
    <cfRule type="cellIs" dxfId="906" priority="887" stopIfTrue="1" operator="equal">
      <formula>"Fail"</formula>
    </cfRule>
    <cfRule type="cellIs" dxfId="905" priority="888" stopIfTrue="1" operator="equal">
      <formula>"Pass"</formula>
    </cfRule>
  </conditionalFormatting>
  <conditionalFormatting sqref="A1075:A1076 D1075:I1076">
    <cfRule type="cellIs" dxfId="904" priority="879" stopIfTrue="1" operator="equal">
      <formula>"Fail"</formula>
    </cfRule>
    <cfRule type="cellIs" dxfId="903" priority="880" stopIfTrue="1" operator="equal">
      <formula>"Pass"</formula>
    </cfRule>
  </conditionalFormatting>
  <conditionalFormatting sqref="A1075:A1076 C1075:I1076">
    <cfRule type="cellIs" dxfId="902" priority="881" stopIfTrue="1" operator="equal">
      <formula>"Fail"</formula>
    </cfRule>
    <cfRule type="cellIs" dxfId="901" priority="882" stopIfTrue="1" operator="equal">
      <formula>"Pass"</formula>
    </cfRule>
  </conditionalFormatting>
  <conditionalFormatting sqref="I1075:I1076">
    <cfRule type="cellIs" dxfId="900" priority="877" stopIfTrue="1" operator="equal">
      <formula>"Fail"</formula>
    </cfRule>
    <cfRule type="cellIs" dxfId="899" priority="878" stopIfTrue="1" operator="equal">
      <formula>"Pass"</formula>
    </cfRule>
  </conditionalFormatting>
  <conditionalFormatting sqref="C1075:C1076">
    <cfRule type="cellIs" dxfId="898" priority="875" stopIfTrue="1" operator="equal">
      <formula>"Fail"</formula>
    </cfRule>
    <cfRule type="cellIs" dxfId="897" priority="876" stopIfTrue="1" operator="equal">
      <formula>"Pass"</formula>
    </cfRule>
  </conditionalFormatting>
  <conditionalFormatting sqref="A1081 D1081:I1081">
    <cfRule type="cellIs" dxfId="896" priority="865" stopIfTrue="1" operator="equal">
      <formula>"Fail"</formula>
    </cfRule>
    <cfRule type="cellIs" dxfId="895" priority="866" stopIfTrue="1" operator="equal">
      <formula>"Pass"</formula>
    </cfRule>
  </conditionalFormatting>
  <conditionalFormatting sqref="A1081 C1081:I1081">
    <cfRule type="cellIs" dxfId="894" priority="867" stopIfTrue="1" operator="equal">
      <formula>"Fail"</formula>
    </cfRule>
    <cfRule type="cellIs" dxfId="893" priority="868" stopIfTrue="1" operator="equal">
      <formula>"Pass"</formula>
    </cfRule>
  </conditionalFormatting>
  <conditionalFormatting sqref="I1081">
    <cfRule type="cellIs" dxfId="892" priority="863" stopIfTrue="1" operator="equal">
      <formula>"Fail"</formula>
    </cfRule>
    <cfRule type="cellIs" dxfId="891" priority="864" stopIfTrue="1" operator="equal">
      <formula>"Pass"</formula>
    </cfRule>
  </conditionalFormatting>
  <conditionalFormatting sqref="C1081">
    <cfRule type="cellIs" dxfId="890" priority="861" stopIfTrue="1" operator="equal">
      <formula>"Fail"</formula>
    </cfRule>
    <cfRule type="cellIs" dxfId="889" priority="862" stopIfTrue="1" operator="equal">
      <formula>"Pass"</formula>
    </cfRule>
  </conditionalFormatting>
  <conditionalFormatting sqref="B1085">
    <cfRule type="cellIs" dxfId="888" priority="859" stopIfTrue="1" operator="equal">
      <formula>"Fail"</formula>
    </cfRule>
    <cfRule type="cellIs" dxfId="887" priority="860" stopIfTrue="1" operator="equal">
      <formula>"Pass"</formula>
    </cfRule>
  </conditionalFormatting>
  <conditionalFormatting sqref="A1082 D1082:I1082">
    <cfRule type="cellIs" dxfId="886" priority="847" stopIfTrue="1" operator="equal">
      <formula>"Fail"</formula>
    </cfRule>
    <cfRule type="cellIs" dxfId="885" priority="848" stopIfTrue="1" operator="equal">
      <formula>"Pass"</formula>
    </cfRule>
  </conditionalFormatting>
  <conditionalFormatting sqref="A1082 C1082:I1082">
    <cfRule type="cellIs" dxfId="884" priority="849" stopIfTrue="1" operator="equal">
      <formula>"Fail"</formula>
    </cfRule>
    <cfRule type="cellIs" dxfId="883" priority="850" stopIfTrue="1" operator="equal">
      <formula>"Pass"</formula>
    </cfRule>
  </conditionalFormatting>
  <conditionalFormatting sqref="I1082">
    <cfRule type="cellIs" dxfId="882" priority="845" stopIfTrue="1" operator="equal">
      <formula>"Fail"</formula>
    </cfRule>
    <cfRule type="cellIs" dxfId="881" priority="846" stopIfTrue="1" operator="equal">
      <formula>"Pass"</formula>
    </cfRule>
  </conditionalFormatting>
  <conditionalFormatting sqref="C1082">
    <cfRule type="cellIs" dxfId="880" priority="843" stopIfTrue="1" operator="equal">
      <formula>"Fail"</formula>
    </cfRule>
    <cfRule type="cellIs" dxfId="879" priority="844" stopIfTrue="1" operator="equal">
      <formula>"Pass"</formula>
    </cfRule>
  </conditionalFormatting>
  <conditionalFormatting sqref="I1086">
    <cfRule type="cellIs" dxfId="878" priority="825" stopIfTrue="1" operator="equal">
      <formula>"Fail"</formula>
    </cfRule>
    <cfRule type="cellIs" dxfId="877" priority="826" stopIfTrue="1" operator="equal">
      <formula>"Pass"</formula>
    </cfRule>
  </conditionalFormatting>
  <conditionalFormatting sqref="C1086">
    <cfRule type="cellIs" dxfId="876" priority="823" stopIfTrue="1" operator="equal">
      <formula>"Fail"</formula>
    </cfRule>
    <cfRule type="cellIs" dxfId="875" priority="824" stopIfTrue="1" operator="equal">
      <formula>"Pass"</formula>
    </cfRule>
  </conditionalFormatting>
  <conditionalFormatting sqref="C1086:I1086 A1086">
    <cfRule type="cellIs" dxfId="874" priority="829" stopIfTrue="1" operator="equal">
      <formula>"Fail"</formula>
    </cfRule>
    <cfRule type="cellIs" dxfId="873" priority="830" stopIfTrue="1" operator="equal">
      <formula>"Pass"</formula>
    </cfRule>
  </conditionalFormatting>
  <conditionalFormatting sqref="D1086:I1086 A1086">
    <cfRule type="cellIs" dxfId="872" priority="827" stopIfTrue="1" operator="equal">
      <formula>"Fail"</formula>
    </cfRule>
    <cfRule type="cellIs" dxfId="871" priority="828" stopIfTrue="1" operator="equal">
      <formula>"Pass"</formula>
    </cfRule>
  </conditionalFormatting>
  <conditionalFormatting sqref="I533">
    <cfRule type="cellIs" dxfId="870" priority="775" stopIfTrue="1" operator="equal">
      <formula>"Fail"</formula>
    </cfRule>
    <cfRule type="cellIs" dxfId="869" priority="776" stopIfTrue="1" operator="equal">
      <formula>"Pass"</formula>
    </cfRule>
  </conditionalFormatting>
  <conditionalFormatting sqref="I533">
    <cfRule type="cellIs" dxfId="868" priority="779" stopIfTrue="1" operator="equal">
      <formula>"Fail"</formula>
    </cfRule>
    <cfRule type="cellIs" dxfId="867" priority="780" stopIfTrue="1" operator="equal">
      <formula>"Pass"</formula>
    </cfRule>
  </conditionalFormatting>
  <conditionalFormatting sqref="I533">
    <cfRule type="cellIs" dxfId="866" priority="777" stopIfTrue="1" operator="equal">
      <formula>"Fail"</formula>
    </cfRule>
    <cfRule type="cellIs" dxfId="865" priority="778" stopIfTrue="1" operator="equal">
      <formula>"Pass"</formula>
    </cfRule>
  </conditionalFormatting>
  <conditionalFormatting sqref="A538:A539">
    <cfRule type="cellIs" dxfId="864" priority="767" stopIfTrue="1" operator="equal">
      <formula>"Fail"</formula>
    </cfRule>
    <cfRule type="cellIs" dxfId="863" priority="768" stopIfTrue="1" operator="equal">
      <formula>"Pass"</formula>
    </cfRule>
  </conditionalFormatting>
  <conditionalFormatting sqref="C538:C539">
    <cfRule type="cellIs" dxfId="862" priority="765" stopIfTrue="1" operator="equal">
      <formula>"Fail"</formula>
    </cfRule>
    <cfRule type="cellIs" dxfId="861" priority="766" stopIfTrue="1" operator="equal">
      <formula>"Pass"</formula>
    </cfRule>
  </conditionalFormatting>
  <conditionalFormatting sqref="F538:I538">
    <cfRule type="cellIs" dxfId="860" priority="759" stopIfTrue="1" operator="equal">
      <formula>"Fail"</formula>
    </cfRule>
    <cfRule type="cellIs" dxfId="859" priority="760" stopIfTrue="1" operator="equal">
      <formula>"Pass"</formula>
    </cfRule>
  </conditionalFormatting>
  <conditionalFormatting sqref="F538:I538">
    <cfRule type="cellIs" dxfId="858" priority="761" stopIfTrue="1" operator="equal">
      <formula>"Fail"</formula>
    </cfRule>
    <cfRule type="cellIs" dxfId="857" priority="762" stopIfTrue="1" operator="equal">
      <formula>"Pass"</formula>
    </cfRule>
  </conditionalFormatting>
  <conditionalFormatting sqref="I538">
    <cfRule type="cellIs" dxfId="856" priority="757" stopIfTrue="1" operator="equal">
      <formula>"Fail"</formula>
    </cfRule>
    <cfRule type="cellIs" dxfId="855" priority="758" stopIfTrue="1" operator="equal">
      <formula>"Pass"</formula>
    </cfRule>
  </conditionalFormatting>
  <conditionalFormatting sqref="I539">
    <cfRule type="cellIs" dxfId="854" priority="749" stopIfTrue="1" operator="equal">
      <formula>"Fail"</formula>
    </cfRule>
    <cfRule type="cellIs" dxfId="853" priority="750" stopIfTrue="1" operator="equal">
      <formula>"Pass"</formula>
    </cfRule>
  </conditionalFormatting>
  <conditionalFormatting sqref="I539">
    <cfRule type="cellIs" dxfId="852" priority="753" stopIfTrue="1" operator="equal">
      <formula>"Fail"</formula>
    </cfRule>
    <cfRule type="cellIs" dxfId="851" priority="754" stopIfTrue="1" operator="equal">
      <formula>"Pass"</formula>
    </cfRule>
  </conditionalFormatting>
  <conditionalFormatting sqref="I539">
    <cfRule type="cellIs" dxfId="850" priority="751" stopIfTrue="1" operator="equal">
      <formula>"Fail"</formula>
    </cfRule>
    <cfRule type="cellIs" dxfId="849" priority="752" stopIfTrue="1" operator="equal">
      <formula>"Pass"</formula>
    </cfRule>
  </conditionalFormatting>
  <conditionalFormatting sqref="C272">
    <cfRule type="cellIs" dxfId="848" priority="745" stopIfTrue="1" operator="equal">
      <formula>"Fail"</formula>
    </cfRule>
    <cfRule type="cellIs" dxfId="847" priority="746" stopIfTrue="1" operator="equal">
      <formula>"Pass"</formula>
    </cfRule>
  </conditionalFormatting>
  <conditionalFormatting sqref="C273">
    <cfRule type="cellIs" dxfId="846" priority="733" stopIfTrue="1" operator="equal">
      <formula>"Fail"</formula>
    </cfRule>
    <cfRule type="cellIs" dxfId="845" priority="734" stopIfTrue="1" operator="equal">
      <formula>"Pass"</formula>
    </cfRule>
  </conditionalFormatting>
  <conditionalFormatting sqref="B272">
    <cfRule type="cellIs" dxfId="844" priority="747" stopIfTrue="1" operator="equal">
      <formula>"Fail"</formula>
    </cfRule>
    <cfRule type="cellIs" dxfId="843" priority="748" stopIfTrue="1" operator="equal">
      <formula>"Pass"</formula>
    </cfRule>
  </conditionalFormatting>
  <conditionalFormatting sqref="A273">
    <cfRule type="cellIs" dxfId="842" priority="743" stopIfTrue="1" operator="equal">
      <formula>"Fail"</formula>
    </cfRule>
    <cfRule type="cellIs" dxfId="841" priority="744" stopIfTrue="1" operator="equal">
      <formula>"Pass"</formula>
    </cfRule>
  </conditionalFormatting>
  <conditionalFormatting sqref="I273">
    <cfRule type="cellIs" dxfId="840" priority="737" stopIfTrue="1" operator="equal">
      <formula>"Fail"</formula>
    </cfRule>
    <cfRule type="cellIs" dxfId="839" priority="738" stopIfTrue="1" operator="equal">
      <formula>"Pass"</formula>
    </cfRule>
  </conditionalFormatting>
  <conditionalFormatting sqref="I273">
    <cfRule type="cellIs" dxfId="838" priority="741" stopIfTrue="1" operator="equal">
      <formula>"Fail"</formula>
    </cfRule>
    <cfRule type="cellIs" dxfId="837" priority="742" stopIfTrue="1" operator="equal">
      <formula>"Pass"</formula>
    </cfRule>
  </conditionalFormatting>
  <conditionalFormatting sqref="I273">
    <cfRule type="cellIs" dxfId="836" priority="739" stopIfTrue="1" operator="equal">
      <formula>"Fail"</formula>
    </cfRule>
    <cfRule type="cellIs" dxfId="835" priority="740" stopIfTrue="1" operator="equal">
      <formula>"Pass"</formula>
    </cfRule>
  </conditionalFormatting>
  <conditionalFormatting sqref="B273">
    <cfRule type="cellIs" dxfId="834" priority="735" stopIfTrue="1" operator="equal">
      <formula>"Fail"</formula>
    </cfRule>
    <cfRule type="cellIs" dxfId="833" priority="736" stopIfTrue="1" operator="equal">
      <formula>"Pass"</formula>
    </cfRule>
  </conditionalFormatting>
  <conditionalFormatting sqref="B270">
    <cfRule type="cellIs" dxfId="832" priority="731" stopIfTrue="1" operator="equal">
      <formula>"Fail"</formula>
    </cfRule>
    <cfRule type="cellIs" dxfId="831" priority="732" stopIfTrue="1" operator="equal">
      <formula>"Pass"</formula>
    </cfRule>
  </conditionalFormatting>
  <conditionalFormatting sqref="C271">
    <cfRule type="cellIs" dxfId="830" priority="729" stopIfTrue="1" operator="equal">
      <formula>"Fail"</formula>
    </cfRule>
    <cfRule type="cellIs" dxfId="829" priority="730" stopIfTrue="1" operator="equal">
      <formula>"Pass"</formula>
    </cfRule>
  </conditionalFormatting>
  <conditionalFormatting sqref="A270:A271">
    <cfRule type="cellIs" dxfId="828" priority="727" stopIfTrue="1" operator="equal">
      <formula>"Fail"</formula>
    </cfRule>
    <cfRule type="cellIs" dxfId="827" priority="728" stopIfTrue="1" operator="equal">
      <formula>"Pass"</formula>
    </cfRule>
  </conditionalFormatting>
  <conditionalFormatting sqref="I269">
    <cfRule type="cellIs" dxfId="826" priority="721" stopIfTrue="1" operator="equal">
      <formula>"Fail"</formula>
    </cfRule>
    <cfRule type="cellIs" dxfId="825" priority="722" stopIfTrue="1" operator="equal">
      <formula>"Pass"</formula>
    </cfRule>
  </conditionalFormatting>
  <conditionalFormatting sqref="C269">
    <cfRule type="cellIs" dxfId="824" priority="719" stopIfTrue="1" operator="equal">
      <formula>"Fail"</formula>
    </cfRule>
    <cfRule type="cellIs" dxfId="823" priority="720" stopIfTrue="1" operator="equal">
      <formula>"Pass"</formula>
    </cfRule>
  </conditionalFormatting>
  <conditionalFormatting sqref="A269 C269:D269 F269:I269">
    <cfRule type="cellIs" dxfId="822" priority="725" stopIfTrue="1" operator="equal">
      <formula>"Fail"</formula>
    </cfRule>
    <cfRule type="cellIs" dxfId="821" priority="726" stopIfTrue="1" operator="equal">
      <formula>"Pass"</formula>
    </cfRule>
  </conditionalFormatting>
  <conditionalFormatting sqref="A269 D269 F269:I269">
    <cfRule type="cellIs" dxfId="820" priority="723" stopIfTrue="1" operator="equal">
      <formula>"Fail"</formula>
    </cfRule>
    <cfRule type="cellIs" dxfId="819" priority="724" stopIfTrue="1" operator="equal">
      <formula>"Pass"</formula>
    </cfRule>
  </conditionalFormatting>
  <conditionalFormatting sqref="C270">
    <cfRule type="cellIs" dxfId="818" priority="717" stopIfTrue="1" operator="equal">
      <formula>"Fail"</formula>
    </cfRule>
    <cfRule type="cellIs" dxfId="817" priority="718" stopIfTrue="1" operator="equal">
      <formula>"Pass"</formula>
    </cfRule>
  </conditionalFormatting>
  <conditionalFormatting sqref="I270">
    <cfRule type="cellIs" dxfId="816" priority="715" stopIfTrue="1" operator="equal">
      <formula>"Fail"</formula>
    </cfRule>
    <cfRule type="cellIs" dxfId="815" priority="716" stopIfTrue="1" operator="equal">
      <formula>"Pass"</formula>
    </cfRule>
  </conditionalFormatting>
  <conditionalFormatting sqref="I270">
    <cfRule type="cellIs" dxfId="814" priority="713" stopIfTrue="1" operator="equal">
      <formula>"Fail"</formula>
    </cfRule>
    <cfRule type="cellIs" dxfId="813" priority="714" stopIfTrue="1" operator="equal">
      <formula>"Pass"</formula>
    </cfRule>
  </conditionalFormatting>
  <conditionalFormatting sqref="I270">
    <cfRule type="cellIs" dxfId="812" priority="711" stopIfTrue="1" operator="equal">
      <formula>"Fail"</formula>
    </cfRule>
    <cfRule type="cellIs" dxfId="811" priority="712" stopIfTrue="1" operator="equal">
      <formula>"Pass"</formula>
    </cfRule>
  </conditionalFormatting>
  <conditionalFormatting sqref="A274 C274:I274">
    <cfRule type="cellIs" dxfId="810" priority="709" stopIfTrue="1" operator="equal">
      <formula>"Fail"</formula>
    </cfRule>
    <cfRule type="cellIs" dxfId="809" priority="710" stopIfTrue="1" operator="equal">
      <formula>"Pass"</formula>
    </cfRule>
  </conditionalFormatting>
  <conditionalFormatting sqref="B274">
    <cfRule type="cellIs" dxfId="808" priority="707" stopIfTrue="1" operator="equal">
      <formula>"Fail"</formula>
    </cfRule>
    <cfRule type="cellIs" dxfId="807" priority="708" stopIfTrue="1" operator="equal">
      <formula>"Pass"</formula>
    </cfRule>
  </conditionalFormatting>
  <conditionalFormatting sqref="I275">
    <cfRule type="cellIs" dxfId="806" priority="701" stopIfTrue="1" operator="equal">
      <formula>"Fail"</formula>
    </cfRule>
    <cfRule type="cellIs" dxfId="805" priority="702" stopIfTrue="1" operator="equal">
      <formula>"Pass"</formula>
    </cfRule>
  </conditionalFormatting>
  <conditionalFormatting sqref="C275">
    <cfRule type="cellIs" dxfId="804" priority="699" stopIfTrue="1" operator="equal">
      <formula>"Fail"</formula>
    </cfRule>
    <cfRule type="cellIs" dxfId="803" priority="700" stopIfTrue="1" operator="equal">
      <formula>"Pass"</formula>
    </cfRule>
  </conditionalFormatting>
  <conditionalFormatting sqref="C275:I275 A275">
    <cfRule type="cellIs" dxfId="802" priority="705" stopIfTrue="1" operator="equal">
      <formula>"Fail"</formula>
    </cfRule>
    <cfRule type="cellIs" dxfId="801" priority="706" stopIfTrue="1" operator="equal">
      <formula>"Pass"</formula>
    </cfRule>
  </conditionalFormatting>
  <conditionalFormatting sqref="D275:I275 A275">
    <cfRule type="cellIs" dxfId="800" priority="703" stopIfTrue="1" operator="equal">
      <formula>"Fail"</formula>
    </cfRule>
    <cfRule type="cellIs" dxfId="799" priority="704" stopIfTrue="1" operator="equal">
      <formula>"Pass"</formula>
    </cfRule>
  </conditionalFormatting>
  <conditionalFormatting sqref="A276 D276:I276">
    <cfRule type="cellIs" dxfId="798" priority="695" stopIfTrue="1" operator="equal">
      <formula>"Fail"</formula>
    </cfRule>
    <cfRule type="cellIs" dxfId="797" priority="696" stopIfTrue="1" operator="equal">
      <formula>"Pass"</formula>
    </cfRule>
  </conditionalFormatting>
  <conditionalFormatting sqref="A276 C276:I276">
    <cfRule type="cellIs" dxfId="796" priority="697" stopIfTrue="1" operator="equal">
      <formula>"Fail"</formula>
    </cfRule>
    <cfRule type="cellIs" dxfId="795" priority="698" stopIfTrue="1" operator="equal">
      <formula>"Pass"</formula>
    </cfRule>
  </conditionalFormatting>
  <conditionalFormatting sqref="I276">
    <cfRule type="cellIs" dxfId="794" priority="693" stopIfTrue="1" operator="equal">
      <formula>"Fail"</formula>
    </cfRule>
    <cfRule type="cellIs" dxfId="793" priority="694" stopIfTrue="1" operator="equal">
      <formula>"Pass"</formula>
    </cfRule>
  </conditionalFormatting>
  <conditionalFormatting sqref="C276">
    <cfRule type="cellIs" dxfId="792" priority="691" stopIfTrue="1" operator="equal">
      <formula>"Fail"</formula>
    </cfRule>
    <cfRule type="cellIs" dxfId="791" priority="692" stopIfTrue="1" operator="equal">
      <formula>"Pass"</formula>
    </cfRule>
  </conditionalFormatting>
  <conditionalFormatting sqref="I441">
    <cfRule type="cellIs" dxfId="790" priority="685" stopIfTrue="1" operator="equal">
      <formula>"Fail"</formula>
    </cfRule>
    <cfRule type="cellIs" dxfId="789" priority="686" stopIfTrue="1" operator="equal">
      <formula>"Pass"</formula>
    </cfRule>
  </conditionalFormatting>
  <conditionalFormatting sqref="C441">
    <cfRule type="cellIs" dxfId="788" priority="683" stopIfTrue="1" operator="equal">
      <formula>"Fail"</formula>
    </cfRule>
    <cfRule type="cellIs" dxfId="787" priority="684" stopIfTrue="1" operator="equal">
      <formula>"Pass"</formula>
    </cfRule>
  </conditionalFormatting>
  <conditionalFormatting sqref="C441:I441 A441">
    <cfRule type="cellIs" dxfId="786" priority="689" stopIfTrue="1" operator="equal">
      <formula>"Fail"</formula>
    </cfRule>
    <cfRule type="cellIs" dxfId="785" priority="690" stopIfTrue="1" operator="equal">
      <formula>"Pass"</formula>
    </cfRule>
  </conditionalFormatting>
  <conditionalFormatting sqref="D441:I441 A441">
    <cfRule type="cellIs" dxfId="784" priority="687" stopIfTrue="1" operator="equal">
      <formula>"Fail"</formula>
    </cfRule>
    <cfRule type="cellIs" dxfId="783" priority="688" stopIfTrue="1" operator="equal">
      <formula>"Pass"</formula>
    </cfRule>
  </conditionalFormatting>
  <conditionalFormatting sqref="A442:A443 D442:I443">
    <cfRule type="cellIs" dxfId="782" priority="679" stopIfTrue="1" operator="equal">
      <formula>"Fail"</formula>
    </cfRule>
    <cfRule type="cellIs" dxfId="781" priority="680" stopIfTrue="1" operator="equal">
      <formula>"Pass"</formula>
    </cfRule>
  </conditionalFormatting>
  <conditionalFormatting sqref="A442:A443 C442:I443">
    <cfRule type="cellIs" dxfId="780" priority="681" stopIfTrue="1" operator="equal">
      <formula>"Fail"</formula>
    </cfRule>
    <cfRule type="cellIs" dxfId="779" priority="682" stopIfTrue="1" operator="equal">
      <formula>"Pass"</formula>
    </cfRule>
  </conditionalFormatting>
  <conditionalFormatting sqref="I442:I443">
    <cfRule type="cellIs" dxfId="778" priority="677" stopIfTrue="1" operator="equal">
      <formula>"Fail"</formula>
    </cfRule>
    <cfRule type="cellIs" dxfId="777" priority="678" stopIfTrue="1" operator="equal">
      <formula>"Pass"</formula>
    </cfRule>
  </conditionalFormatting>
  <conditionalFormatting sqref="C442:C443">
    <cfRule type="cellIs" dxfId="776" priority="675" stopIfTrue="1" operator="equal">
      <formula>"Fail"</formula>
    </cfRule>
    <cfRule type="cellIs" dxfId="775" priority="676" stopIfTrue="1" operator="equal">
      <formula>"Pass"</formula>
    </cfRule>
  </conditionalFormatting>
  <conditionalFormatting sqref="I521">
    <cfRule type="cellIs" dxfId="774" priority="669" stopIfTrue="1" operator="equal">
      <formula>"Fail"</formula>
    </cfRule>
    <cfRule type="cellIs" dxfId="773" priority="670" stopIfTrue="1" operator="equal">
      <formula>"Pass"</formula>
    </cfRule>
  </conditionalFormatting>
  <conditionalFormatting sqref="C521">
    <cfRule type="cellIs" dxfId="772" priority="667" stopIfTrue="1" operator="equal">
      <formula>"Fail"</formula>
    </cfRule>
    <cfRule type="cellIs" dxfId="771" priority="668" stopIfTrue="1" operator="equal">
      <formula>"Pass"</formula>
    </cfRule>
  </conditionalFormatting>
  <conditionalFormatting sqref="C521:I521 A521">
    <cfRule type="cellIs" dxfId="770" priority="673" stopIfTrue="1" operator="equal">
      <formula>"Fail"</formula>
    </cfRule>
    <cfRule type="cellIs" dxfId="769" priority="674" stopIfTrue="1" operator="equal">
      <formula>"Pass"</formula>
    </cfRule>
  </conditionalFormatting>
  <conditionalFormatting sqref="D521:I521 A521">
    <cfRule type="cellIs" dxfId="768" priority="671" stopIfTrue="1" operator="equal">
      <formula>"Fail"</formula>
    </cfRule>
    <cfRule type="cellIs" dxfId="767" priority="672" stopIfTrue="1" operator="equal">
      <formula>"Pass"</formula>
    </cfRule>
  </conditionalFormatting>
  <conditionalFormatting sqref="I679">
    <cfRule type="cellIs" dxfId="766" priority="661" stopIfTrue="1" operator="equal">
      <formula>"Fail"</formula>
    </cfRule>
    <cfRule type="cellIs" dxfId="765" priority="662" stopIfTrue="1" operator="equal">
      <formula>"Pass"</formula>
    </cfRule>
  </conditionalFormatting>
  <conditionalFormatting sqref="C679">
    <cfRule type="cellIs" dxfId="764" priority="659" stopIfTrue="1" operator="equal">
      <formula>"Fail"</formula>
    </cfRule>
    <cfRule type="cellIs" dxfId="763" priority="660" stopIfTrue="1" operator="equal">
      <formula>"Pass"</formula>
    </cfRule>
  </conditionalFormatting>
  <conditionalFormatting sqref="C679:I679 A679">
    <cfRule type="cellIs" dxfId="762" priority="665" stopIfTrue="1" operator="equal">
      <formula>"Fail"</formula>
    </cfRule>
    <cfRule type="cellIs" dxfId="761" priority="666" stopIfTrue="1" operator="equal">
      <formula>"Pass"</formula>
    </cfRule>
  </conditionalFormatting>
  <conditionalFormatting sqref="D679:I679 A679">
    <cfRule type="cellIs" dxfId="760" priority="663" stopIfTrue="1" operator="equal">
      <formula>"Fail"</formula>
    </cfRule>
    <cfRule type="cellIs" dxfId="759" priority="664" stopIfTrue="1" operator="equal">
      <formula>"Pass"</formula>
    </cfRule>
  </conditionalFormatting>
  <conditionalFormatting sqref="A680 D680:I680">
    <cfRule type="cellIs" dxfId="758" priority="655" stopIfTrue="1" operator="equal">
      <formula>"Fail"</formula>
    </cfRule>
    <cfRule type="cellIs" dxfId="757" priority="656" stopIfTrue="1" operator="equal">
      <formula>"Pass"</formula>
    </cfRule>
  </conditionalFormatting>
  <conditionalFormatting sqref="A680 C680:I680">
    <cfRule type="cellIs" dxfId="756" priority="657" stopIfTrue="1" operator="equal">
      <formula>"Fail"</formula>
    </cfRule>
    <cfRule type="cellIs" dxfId="755" priority="658" stopIfTrue="1" operator="equal">
      <formula>"Pass"</formula>
    </cfRule>
  </conditionalFormatting>
  <conditionalFormatting sqref="I680">
    <cfRule type="cellIs" dxfId="754" priority="653" stopIfTrue="1" operator="equal">
      <formula>"Fail"</formula>
    </cfRule>
    <cfRule type="cellIs" dxfId="753" priority="654" stopIfTrue="1" operator="equal">
      <formula>"Pass"</formula>
    </cfRule>
  </conditionalFormatting>
  <conditionalFormatting sqref="C680">
    <cfRule type="cellIs" dxfId="752" priority="651" stopIfTrue="1" operator="equal">
      <formula>"Fail"</formula>
    </cfRule>
    <cfRule type="cellIs" dxfId="751" priority="652" stopIfTrue="1" operator="equal">
      <formula>"Pass"</formula>
    </cfRule>
  </conditionalFormatting>
  <conditionalFormatting sqref="I699">
    <cfRule type="cellIs" dxfId="750" priority="607" stopIfTrue="1" operator="equal">
      <formula>"Fail"</formula>
    </cfRule>
    <cfRule type="cellIs" dxfId="749" priority="608" stopIfTrue="1" operator="equal">
      <formula>"Pass"</formula>
    </cfRule>
  </conditionalFormatting>
  <conditionalFormatting sqref="I699">
    <cfRule type="cellIs" dxfId="748" priority="611" stopIfTrue="1" operator="equal">
      <formula>"Fail"</formula>
    </cfRule>
    <cfRule type="cellIs" dxfId="747" priority="612" stopIfTrue="1" operator="equal">
      <formula>"Pass"</formula>
    </cfRule>
  </conditionalFormatting>
  <conditionalFormatting sqref="I699">
    <cfRule type="cellIs" dxfId="746" priority="609" stopIfTrue="1" operator="equal">
      <formula>"Fail"</formula>
    </cfRule>
    <cfRule type="cellIs" dxfId="745" priority="610" stopIfTrue="1" operator="equal">
      <formula>"Pass"</formula>
    </cfRule>
  </conditionalFormatting>
  <conditionalFormatting sqref="I705">
    <cfRule type="cellIs" dxfId="744" priority="601" stopIfTrue="1" operator="equal">
      <formula>"Fail"</formula>
    </cfRule>
    <cfRule type="cellIs" dxfId="743" priority="602" stopIfTrue="1" operator="equal">
      <formula>"Pass"</formula>
    </cfRule>
  </conditionalFormatting>
  <conditionalFormatting sqref="I705">
    <cfRule type="cellIs" dxfId="742" priority="605" stopIfTrue="1" operator="equal">
      <formula>"Fail"</formula>
    </cfRule>
    <cfRule type="cellIs" dxfId="741" priority="606" stopIfTrue="1" operator="equal">
      <formula>"Pass"</formula>
    </cfRule>
  </conditionalFormatting>
  <conditionalFormatting sqref="I705">
    <cfRule type="cellIs" dxfId="740" priority="603" stopIfTrue="1" operator="equal">
      <formula>"Fail"</formula>
    </cfRule>
    <cfRule type="cellIs" dxfId="739" priority="604" stopIfTrue="1" operator="equal">
      <formula>"Pass"</formula>
    </cfRule>
  </conditionalFormatting>
  <conditionalFormatting sqref="I794">
    <cfRule type="cellIs" dxfId="738" priority="595" stopIfTrue="1" operator="equal">
      <formula>"Fail"</formula>
    </cfRule>
    <cfRule type="cellIs" dxfId="737" priority="596" stopIfTrue="1" operator="equal">
      <formula>"Pass"</formula>
    </cfRule>
  </conditionalFormatting>
  <conditionalFormatting sqref="C794">
    <cfRule type="cellIs" dxfId="736" priority="593" stopIfTrue="1" operator="equal">
      <formula>"Fail"</formula>
    </cfRule>
    <cfRule type="cellIs" dxfId="735" priority="594" stopIfTrue="1" operator="equal">
      <formula>"Pass"</formula>
    </cfRule>
  </conditionalFormatting>
  <conditionalFormatting sqref="C794:I794 A794">
    <cfRule type="cellIs" dxfId="734" priority="599" stopIfTrue="1" operator="equal">
      <formula>"Fail"</formula>
    </cfRule>
    <cfRule type="cellIs" dxfId="733" priority="600" stopIfTrue="1" operator="equal">
      <formula>"Pass"</formula>
    </cfRule>
  </conditionalFormatting>
  <conditionalFormatting sqref="D794:I794 A794">
    <cfRule type="cellIs" dxfId="732" priority="597" stopIfTrue="1" operator="equal">
      <formula>"Fail"</formula>
    </cfRule>
    <cfRule type="cellIs" dxfId="731" priority="598" stopIfTrue="1" operator="equal">
      <formula>"Pass"</formula>
    </cfRule>
  </conditionalFormatting>
  <conditionalFormatting sqref="C880:I880 A880">
    <cfRule type="cellIs" dxfId="730" priority="551" stopIfTrue="1" operator="equal">
      <formula>"Fail"</formula>
    </cfRule>
    <cfRule type="cellIs" dxfId="729" priority="552" stopIfTrue="1" operator="equal">
      <formula>"Pass"</formula>
    </cfRule>
  </conditionalFormatting>
  <conditionalFormatting sqref="D880:I880 A880">
    <cfRule type="cellIs" dxfId="728" priority="549" stopIfTrue="1" operator="equal">
      <formula>"Fail"</formula>
    </cfRule>
    <cfRule type="cellIs" dxfId="727" priority="550" stopIfTrue="1" operator="equal">
      <formula>"Pass"</formula>
    </cfRule>
  </conditionalFormatting>
  <conditionalFormatting sqref="I880">
    <cfRule type="cellIs" dxfId="726" priority="547" stopIfTrue="1" operator="equal">
      <formula>"Fail"</formula>
    </cfRule>
    <cfRule type="cellIs" dxfId="725" priority="548" stopIfTrue="1" operator="equal">
      <formula>"Pass"</formula>
    </cfRule>
  </conditionalFormatting>
  <conditionalFormatting sqref="C880">
    <cfRule type="cellIs" dxfId="724" priority="545" stopIfTrue="1" operator="equal">
      <formula>"Fail"</formula>
    </cfRule>
    <cfRule type="cellIs" dxfId="723" priority="546" stopIfTrue="1" operator="equal">
      <formula>"Pass"</formula>
    </cfRule>
  </conditionalFormatting>
  <conditionalFormatting sqref="I879">
    <cfRule type="cellIs" dxfId="722" priority="539" stopIfTrue="1" operator="equal">
      <formula>"Fail"</formula>
    </cfRule>
    <cfRule type="cellIs" dxfId="721" priority="540" stopIfTrue="1" operator="equal">
      <formula>"Pass"</formula>
    </cfRule>
  </conditionalFormatting>
  <conditionalFormatting sqref="C879">
    <cfRule type="cellIs" dxfId="720" priority="537" stopIfTrue="1" operator="equal">
      <formula>"Fail"</formula>
    </cfRule>
    <cfRule type="cellIs" dxfId="719" priority="538" stopIfTrue="1" operator="equal">
      <formula>"Pass"</formula>
    </cfRule>
  </conditionalFormatting>
  <conditionalFormatting sqref="C879:I879 A879">
    <cfRule type="cellIs" dxfId="718" priority="543" stopIfTrue="1" operator="equal">
      <formula>"Fail"</formula>
    </cfRule>
    <cfRule type="cellIs" dxfId="717" priority="544" stopIfTrue="1" operator="equal">
      <formula>"Pass"</formula>
    </cfRule>
  </conditionalFormatting>
  <conditionalFormatting sqref="D879:I879 A879">
    <cfRule type="cellIs" dxfId="716" priority="541" stopIfTrue="1" operator="equal">
      <formula>"Fail"</formula>
    </cfRule>
    <cfRule type="cellIs" dxfId="715" priority="542" stopIfTrue="1" operator="equal">
      <formula>"Pass"</formula>
    </cfRule>
  </conditionalFormatting>
  <conditionalFormatting sqref="A842 D842:I842">
    <cfRule type="cellIs" dxfId="714" priority="533" stopIfTrue="1" operator="equal">
      <formula>"Fail"</formula>
    </cfRule>
    <cfRule type="cellIs" dxfId="713" priority="534" stopIfTrue="1" operator="equal">
      <formula>"Pass"</formula>
    </cfRule>
  </conditionalFormatting>
  <conditionalFormatting sqref="A842 C842:I842">
    <cfRule type="cellIs" dxfId="712" priority="535" stopIfTrue="1" operator="equal">
      <formula>"Fail"</formula>
    </cfRule>
    <cfRule type="cellIs" dxfId="711" priority="536" stopIfTrue="1" operator="equal">
      <formula>"Pass"</formula>
    </cfRule>
  </conditionalFormatting>
  <conditionalFormatting sqref="I842">
    <cfRule type="cellIs" dxfId="710" priority="531" stopIfTrue="1" operator="equal">
      <formula>"Fail"</formula>
    </cfRule>
    <cfRule type="cellIs" dxfId="709" priority="532" stopIfTrue="1" operator="equal">
      <formula>"Pass"</formula>
    </cfRule>
  </conditionalFormatting>
  <conditionalFormatting sqref="C842">
    <cfRule type="cellIs" dxfId="708" priority="529" stopIfTrue="1" operator="equal">
      <formula>"Fail"</formula>
    </cfRule>
    <cfRule type="cellIs" dxfId="707" priority="530" stopIfTrue="1" operator="equal">
      <formula>"Pass"</formula>
    </cfRule>
  </conditionalFormatting>
  <conditionalFormatting sqref="E837">
    <cfRule type="cellIs" dxfId="706" priority="525" stopIfTrue="1" operator="equal">
      <formula>"Fail"</formula>
    </cfRule>
    <cfRule type="cellIs" dxfId="705" priority="526" stopIfTrue="1" operator="equal">
      <formula>"Pass"</formula>
    </cfRule>
  </conditionalFormatting>
  <conditionalFormatting sqref="E837">
    <cfRule type="cellIs" dxfId="704" priority="527" stopIfTrue="1" operator="equal">
      <formula>"Fail"</formula>
    </cfRule>
    <cfRule type="cellIs" dxfId="703" priority="528" stopIfTrue="1" operator="equal">
      <formula>"Pass"</formula>
    </cfRule>
  </conditionalFormatting>
  <conditionalFormatting sqref="E843">
    <cfRule type="cellIs" dxfId="702" priority="517" stopIfTrue="1" operator="equal">
      <formula>"Fail"</formula>
    </cfRule>
    <cfRule type="cellIs" dxfId="701" priority="518" stopIfTrue="1" operator="equal">
      <formula>"Pass"</formula>
    </cfRule>
  </conditionalFormatting>
  <conditionalFormatting sqref="E843">
    <cfRule type="cellIs" dxfId="700" priority="519" stopIfTrue="1" operator="equal">
      <formula>"Fail"</formula>
    </cfRule>
    <cfRule type="cellIs" dxfId="699" priority="520" stopIfTrue="1" operator="equal">
      <formula>"Pass"</formula>
    </cfRule>
  </conditionalFormatting>
  <conditionalFormatting sqref="I837">
    <cfRule type="cellIs" dxfId="698" priority="511" stopIfTrue="1" operator="equal">
      <formula>"Fail"</formula>
    </cfRule>
    <cfRule type="cellIs" dxfId="697" priority="512" stopIfTrue="1" operator="equal">
      <formula>"Pass"</formula>
    </cfRule>
  </conditionalFormatting>
  <conditionalFormatting sqref="I837">
    <cfRule type="cellIs" dxfId="696" priority="515" stopIfTrue="1" operator="equal">
      <formula>"Fail"</formula>
    </cfRule>
    <cfRule type="cellIs" dxfId="695" priority="516" stopIfTrue="1" operator="equal">
      <formula>"Pass"</formula>
    </cfRule>
  </conditionalFormatting>
  <conditionalFormatting sqref="I837">
    <cfRule type="cellIs" dxfId="694" priority="513" stopIfTrue="1" operator="equal">
      <formula>"Fail"</formula>
    </cfRule>
    <cfRule type="cellIs" dxfId="693" priority="514" stopIfTrue="1" operator="equal">
      <formula>"Pass"</formula>
    </cfRule>
  </conditionalFormatting>
  <conditionalFormatting sqref="I843">
    <cfRule type="cellIs" dxfId="692" priority="505" stopIfTrue="1" operator="equal">
      <formula>"Fail"</formula>
    </cfRule>
    <cfRule type="cellIs" dxfId="691" priority="506" stopIfTrue="1" operator="equal">
      <formula>"Pass"</formula>
    </cfRule>
  </conditionalFormatting>
  <conditionalFormatting sqref="I843">
    <cfRule type="cellIs" dxfId="690" priority="509" stopIfTrue="1" operator="equal">
      <formula>"Fail"</formula>
    </cfRule>
    <cfRule type="cellIs" dxfId="689" priority="510" stopIfTrue="1" operator="equal">
      <formula>"Pass"</formula>
    </cfRule>
  </conditionalFormatting>
  <conditionalFormatting sqref="I843">
    <cfRule type="cellIs" dxfId="688" priority="507" stopIfTrue="1" operator="equal">
      <formula>"Fail"</formula>
    </cfRule>
    <cfRule type="cellIs" dxfId="687" priority="508" stopIfTrue="1" operator="equal">
      <formula>"Pass"</formula>
    </cfRule>
  </conditionalFormatting>
  <conditionalFormatting sqref="I831">
    <cfRule type="cellIs" dxfId="686" priority="497" stopIfTrue="1" operator="equal">
      <formula>"Fail"</formula>
    </cfRule>
    <cfRule type="cellIs" dxfId="685" priority="498" stopIfTrue="1" operator="equal">
      <formula>"Pass"</formula>
    </cfRule>
  </conditionalFormatting>
  <conditionalFormatting sqref="I831">
    <cfRule type="cellIs" dxfId="684" priority="501" stopIfTrue="1" operator="equal">
      <formula>"Fail"</formula>
    </cfRule>
    <cfRule type="cellIs" dxfId="683" priority="502" stopIfTrue="1" operator="equal">
      <formula>"Pass"</formula>
    </cfRule>
  </conditionalFormatting>
  <conditionalFormatting sqref="I831">
    <cfRule type="cellIs" dxfId="682" priority="499" stopIfTrue="1" operator="equal">
      <formula>"Fail"</formula>
    </cfRule>
    <cfRule type="cellIs" dxfId="681" priority="500" stopIfTrue="1" operator="equal">
      <formula>"Pass"</formula>
    </cfRule>
  </conditionalFormatting>
  <conditionalFormatting sqref="A831">
    <cfRule type="cellIs" dxfId="680" priority="503" stopIfTrue="1" operator="equal">
      <formula>"Fail"</formula>
    </cfRule>
    <cfRule type="cellIs" dxfId="679" priority="504" stopIfTrue="1" operator="equal">
      <formula>"Pass"</formula>
    </cfRule>
  </conditionalFormatting>
  <conditionalFormatting sqref="B831">
    <cfRule type="cellIs" dxfId="678" priority="495" stopIfTrue="1" operator="equal">
      <formula>"Fail"</formula>
    </cfRule>
    <cfRule type="cellIs" dxfId="677" priority="496" stopIfTrue="1" operator="equal">
      <formula>"Pass"</formula>
    </cfRule>
  </conditionalFormatting>
  <conditionalFormatting sqref="C831">
    <cfRule type="cellIs" dxfId="676" priority="493" stopIfTrue="1" operator="equal">
      <formula>"Fail"</formula>
    </cfRule>
    <cfRule type="cellIs" dxfId="675" priority="494" stopIfTrue="1" operator="equal">
      <formula>"Pass"</formula>
    </cfRule>
  </conditionalFormatting>
  <conditionalFormatting sqref="I976">
    <cfRule type="cellIs" dxfId="674" priority="487" stopIfTrue="1" operator="equal">
      <formula>"Fail"</formula>
    </cfRule>
    <cfRule type="cellIs" dxfId="673" priority="488" stopIfTrue="1" operator="equal">
      <formula>"Pass"</formula>
    </cfRule>
  </conditionalFormatting>
  <conditionalFormatting sqref="C976">
    <cfRule type="cellIs" dxfId="672" priority="485" stopIfTrue="1" operator="equal">
      <formula>"Fail"</formula>
    </cfRule>
    <cfRule type="cellIs" dxfId="671" priority="486" stopIfTrue="1" operator="equal">
      <formula>"Pass"</formula>
    </cfRule>
  </conditionalFormatting>
  <conditionalFormatting sqref="C976:I976 A976">
    <cfRule type="cellIs" dxfId="670" priority="491" stopIfTrue="1" operator="equal">
      <formula>"Fail"</formula>
    </cfRule>
    <cfRule type="cellIs" dxfId="669" priority="492" stopIfTrue="1" operator="equal">
      <formula>"Pass"</formula>
    </cfRule>
  </conditionalFormatting>
  <conditionalFormatting sqref="D976:I976 A976">
    <cfRule type="cellIs" dxfId="668" priority="489" stopIfTrue="1" operator="equal">
      <formula>"Fail"</formula>
    </cfRule>
    <cfRule type="cellIs" dxfId="667" priority="490" stopIfTrue="1" operator="equal">
      <formula>"Pass"</formula>
    </cfRule>
  </conditionalFormatting>
  <conditionalFormatting sqref="C991">
    <cfRule type="cellIs" dxfId="666" priority="483" stopIfTrue="1" operator="equal">
      <formula>"Fail"</formula>
    </cfRule>
    <cfRule type="cellIs" dxfId="665" priority="484" stopIfTrue="1" operator="equal">
      <formula>"Pass"</formula>
    </cfRule>
  </conditionalFormatting>
  <conditionalFormatting sqref="C991">
    <cfRule type="cellIs" dxfId="664" priority="481" stopIfTrue="1" operator="equal">
      <formula>"Fail"</formula>
    </cfRule>
    <cfRule type="cellIs" dxfId="663" priority="482" stopIfTrue="1" operator="equal">
      <formula>"Pass"</formula>
    </cfRule>
  </conditionalFormatting>
  <conditionalFormatting sqref="C1003">
    <cfRule type="cellIs" dxfId="662" priority="479" stopIfTrue="1" operator="equal">
      <formula>"Fail"</formula>
    </cfRule>
    <cfRule type="cellIs" dxfId="661" priority="480" stopIfTrue="1" operator="equal">
      <formula>"Pass"</formula>
    </cfRule>
  </conditionalFormatting>
  <conditionalFormatting sqref="C1003">
    <cfRule type="cellIs" dxfId="660" priority="477" stopIfTrue="1" operator="equal">
      <formula>"Fail"</formula>
    </cfRule>
    <cfRule type="cellIs" dxfId="659" priority="478" stopIfTrue="1" operator="equal">
      <formula>"Pass"</formula>
    </cfRule>
  </conditionalFormatting>
  <conditionalFormatting sqref="C1012">
    <cfRule type="cellIs" dxfId="658" priority="475" stopIfTrue="1" operator="equal">
      <formula>"Fail"</formula>
    </cfRule>
    <cfRule type="cellIs" dxfId="657" priority="476" stopIfTrue="1" operator="equal">
      <formula>"Pass"</formula>
    </cfRule>
  </conditionalFormatting>
  <conditionalFormatting sqref="C1012">
    <cfRule type="cellIs" dxfId="656" priority="473" stopIfTrue="1" operator="equal">
      <formula>"Fail"</formula>
    </cfRule>
    <cfRule type="cellIs" dxfId="655" priority="474" stopIfTrue="1" operator="equal">
      <formula>"Pass"</formula>
    </cfRule>
  </conditionalFormatting>
  <conditionalFormatting sqref="C1039">
    <cfRule type="cellIs" dxfId="654" priority="471" stopIfTrue="1" operator="equal">
      <formula>"Fail"</formula>
    </cfRule>
    <cfRule type="cellIs" dxfId="653" priority="472" stopIfTrue="1" operator="equal">
      <formula>"Pass"</formula>
    </cfRule>
  </conditionalFormatting>
  <conditionalFormatting sqref="C1039">
    <cfRule type="cellIs" dxfId="652" priority="469" stopIfTrue="1" operator="equal">
      <formula>"Fail"</formula>
    </cfRule>
    <cfRule type="cellIs" dxfId="651" priority="470" stopIfTrue="1" operator="equal">
      <formula>"Pass"</formula>
    </cfRule>
  </conditionalFormatting>
  <conditionalFormatting sqref="C1044">
    <cfRule type="cellIs" dxfId="650" priority="467" stopIfTrue="1" operator="equal">
      <formula>"Fail"</formula>
    </cfRule>
    <cfRule type="cellIs" dxfId="649" priority="468" stopIfTrue="1" operator="equal">
      <formula>"Pass"</formula>
    </cfRule>
  </conditionalFormatting>
  <conditionalFormatting sqref="C1044">
    <cfRule type="cellIs" dxfId="648" priority="465" stopIfTrue="1" operator="equal">
      <formula>"Fail"</formula>
    </cfRule>
    <cfRule type="cellIs" dxfId="647" priority="466" stopIfTrue="1" operator="equal">
      <formula>"Pass"</formula>
    </cfRule>
  </conditionalFormatting>
  <conditionalFormatting sqref="C1057">
    <cfRule type="cellIs" dxfId="646" priority="463" stopIfTrue="1" operator="equal">
      <formula>"Fail"</formula>
    </cfRule>
    <cfRule type="cellIs" dxfId="645" priority="464" stopIfTrue="1" operator="equal">
      <formula>"Pass"</formula>
    </cfRule>
  </conditionalFormatting>
  <conditionalFormatting sqref="C1057">
    <cfRule type="cellIs" dxfId="644" priority="461" stopIfTrue="1" operator="equal">
      <formula>"Fail"</formula>
    </cfRule>
    <cfRule type="cellIs" dxfId="643" priority="462" stopIfTrue="1" operator="equal">
      <formula>"Pass"</formula>
    </cfRule>
  </conditionalFormatting>
  <conditionalFormatting sqref="C1067">
    <cfRule type="cellIs" dxfId="642" priority="459" stopIfTrue="1" operator="equal">
      <formula>"Fail"</formula>
    </cfRule>
    <cfRule type="cellIs" dxfId="641" priority="460" stopIfTrue="1" operator="equal">
      <formula>"Pass"</formula>
    </cfRule>
  </conditionalFormatting>
  <conditionalFormatting sqref="C1067">
    <cfRule type="cellIs" dxfId="640" priority="457" stopIfTrue="1" operator="equal">
      <formula>"Fail"</formula>
    </cfRule>
    <cfRule type="cellIs" dxfId="639" priority="458" stopIfTrue="1" operator="equal">
      <formula>"Pass"</formula>
    </cfRule>
  </conditionalFormatting>
  <conditionalFormatting sqref="C1094">
    <cfRule type="cellIs" dxfId="638" priority="455" stopIfTrue="1" operator="equal">
      <formula>"Fail"</formula>
    </cfRule>
    <cfRule type="cellIs" dxfId="637" priority="456" stopIfTrue="1" operator="equal">
      <formula>"Pass"</formula>
    </cfRule>
  </conditionalFormatting>
  <conditionalFormatting sqref="C1094">
    <cfRule type="cellIs" dxfId="636" priority="453" stopIfTrue="1" operator="equal">
      <formula>"Fail"</formula>
    </cfRule>
    <cfRule type="cellIs" dxfId="635" priority="454" stopIfTrue="1" operator="equal">
      <formula>"Pass"</formula>
    </cfRule>
  </conditionalFormatting>
  <conditionalFormatting sqref="C1099">
    <cfRule type="cellIs" dxfId="634" priority="451" stopIfTrue="1" operator="equal">
      <formula>"Fail"</formula>
    </cfRule>
    <cfRule type="cellIs" dxfId="633" priority="452" stopIfTrue="1" operator="equal">
      <formula>"Pass"</formula>
    </cfRule>
  </conditionalFormatting>
  <conditionalFormatting sqref="C1099">
    <cfRule type="cellIs" dxfId="632" priority="449" stopIfTrue="1" operator="equal">
      <formula>"Fail"</formula>
    </cfRule>
    <cfRule type="cellIs" dxfId="631" priority="450" stopIfTrue="1" operator="equal">
      <formula>"Pass"</formula>
    </cfRule>
  </conditionalFormatting>
  <conditionalFormatting sqref="A1004:I1004">
    <cfRule type="cellIs" dxfId="630" priority="443" stopIfTrue="1" operator="equal">
      <formula>"Fail"</formula>
    </cfRule>
    <cfRule type="cellIs" dxfId="629" priority="444" stopIfTrue="1" operator="equal">
      <formula>"Pass"</formula>
    </cfRule>
  </conditionalFormatting>
  <conditionalFormatting sqref="I1004">
    <cfRule type="cellIs" dxfId="628" priority="437" stopIfTrue="1" operator="equal">
      <formula>"Fail"</formula>
    </cfRule>
    <cfRule type="cellIs" dxfId="627" priority="438" stopIfTrue="1" operator="equal">
      <formula>"Pass"</formula>
    </cfRule>
  </conditionalFormatting>
  <conditionalFormatting sqref="C1004">
    <cfRule type="cellIs" dxfId="626" priority="435" stopIfTrue="1" operator="equal">
      <formula>"Fail"</formula>
    </cfRule>
    <cfRule type="cellIs" dxfId="625" priority="436" stopIfTrue="1" operator="equal">
      <formula>"Pass"</formula>
    </cfRule>
  </conditionalFormatting>
  <conditionalFormatting sqref="A1004 C1004:D1004 F1004:I1004">
    <cfRule type="cellIs" dxfId="624" priority="441" stopIfTrue="1" operator="equal">
      <formula>"Fail"</formula>
    </cfRule>
    <cfRule type="cellIs" dxfId="623" priority="442" stopIfTrue="1" operator="equal">
      <formula>"Pass"</formula>
    </cfRule>
  </conditionalFormatting>
  <conditionalFormatting sqref="A1004 D1004 F1004:I1004">
    <cfRule type="cellIs" dxfId="622" priority="439" stopIfTrue="1" operator="equal">
      <formula>"Fail"</formula>
    </cfRule>
    <cfRule type="cellIs" dxfId="621" priority="440" stopIfTrue="1" operator="equal">
      <formula>"Pass"</formula>
    </cfRule>
  </conditionalFormatting>
  <conditionalFormatting sqref="A1059:I1059">
    <cfRule type="cellIs" dxfId="620" priority="433" stopIfTrue="1" operator="equal">
      <formula>"Fail"</formula>
    </cfRule>
    <cfRule type="cellIs" dxfId="619" priority="434" stopIfTrue="1" operator="equal">
      <formula>"Pass"</formula>
    </cfRule>
  </conditionalFormatting>
  <conditionalFormatting sqref="I1059">
    <cfRule type="cellIs" dxfId="618" priority="427" stopIfTrue="1" operator="equal">
      <formula>"Fail"</formula>
    </cfRule>
    <cfRule type="cellIs" dxfId="617" priority="428" stopIfTrue="1" operator="equal">
      <formula>"Pass"</formula>
    </cfRule>
  </conditionalFormatting>
  <conditionalFormatting sqref="C1059">
    <cfRule type="cellIs" dxfId="616" priority="425" stopIfTrue="1" operator="equal">
      <formula>"Fail"</formula>
    </cfRule>
    <cfRule type="cellIs" dxfId="615" priority="426" stopIfTrue="1" operator="equal">
      <formula>"Pass"</formula>
    </cfRule>
  </conditionalFormatting>
  <conditionalFormatting sqref="A1059 C1059:D1059 F1059:I1059">
    <cfRule type="cellIs" dxfId="614" priority="431" stopIfTrue="1" operator="equal">
      <formula>"Fail"</formula>
    </cfRule>
    <cfRule type="cellIs" dxfId="613" priority="432" stopIfTrue="1" operator="equal">
      <formula>"Pass"</formula>
    </cfRule>
  </conditionalFormatting>
  <conditionalFormatting sqref="A1059 D1059 F1059:I1059">
    <cfRule type="cellIs" dxfId="612" priority="429" stopIfTrue="1" operator="equal">
      <formula>"Fail"</formula>
    </cfRule>
    <cfRule type="cellIs" dxfId="611" priority="430" stopIfTrue="1" operator="equal">
      <formula>"Pass"</formula>
    </cfRule>
  </conditionalFormatting>
  <conditionalFormatting sqref="A1022 D1022 F1022:I1022">
    <cfRule type="cellIs" dxfId="610" priority="421" stopIfTrue="1" operator="equal">
      <formula>"Fail"</formula>
    </cfRule>
    <cfRule type="cellIs" dxfId="609" priority="422" stopIfTrue="1" operator="equal">
      <formula>"Pass"</formula>
    </cfRule>
  </conditionalFormatting>
  <conditionalFormatting sqref="A1022 C1022:D1022 F1022:I1022">
    <cfRule type="cellIs" dxfId="608" priority="423" stopIfTrue="1" operator="equal">
      <formula>"Fail"</formula>
    </cfRule>
    <cfRule type="cellIs" dxfId="607" priority="424" stopIfTrue="1" operator="equal">
      <formula>"Pass"</formula>
    </cfRule>
  </conditionalFormatting>
  <conditionalFormatting sqref="I1022">
    <cfRule type="cellIs" dxfId="606" priority="419" stopIfTrue="1" operator="equal">
      <formula>"Fail"</formula>
    </cfRule>
    <cfRule type="cellIs" dxfId="605" priority="420" stopIfTrue="1" operator="equal">
      <formula>"Pass"</formula>
    </cfRule>
  </conditionalFormatting>
  <conditionalFormatting sqref="C1022">
    <cfRule type="cellIs" dxfId="604" priority="417" stopIfTrue="1" operator="equal">
      <formula>"Fail"</formula>
    </cfRule>
    <cfRule type="cellIs" dxfId="603" priority="418" stopIfTrue="1" operator="equal">
      <formula>"Pass"</formula>
    </cfRule>
  </conditionalFormatting>
  <conditionalFormatting sqref="A1028 D1028 F1028:I1028">
    <cfRule type="cellIs" dxfId="602" priority="411" stopIfTrue="1" operator="equal">
      <formula>"Fail"</formula>
    </cfRule>
    <cfRule type="cellIs" dxfId="601" priority="412" stopIfTrue="1" operator="equal">
      <formula>"Pass"</formula>
    </cfRule>
  </conditionalFormatting>
  <conditionalFormatting sqref="A1028 C1028:D1028 F1028:I1028">
    <cfRule type="cellIs" dxfId="600" priority="413" stopIfTrue="1" operator="equal">
      <formula>"Fail"</formula>
    </cfRule>
    <cfRule type="cellIs" dxfId="599" priority="414" stopIfTrue="1" operator="equal">
      <formula>"Pass"</formula>
    </cfRule>
  </conditionalFormatting>
  <conditionalFormatting sqref="I1028">
    <cfRule type="cellIs" dxfId="598" priority="409" stopIfTrue="1" operator="equal">
      <formula>"Fail"</formula>
    </cfRule>
    <cfRule type="cellIs" dxfId="597" priority="410" stopIfTrue="1" operator="equal">
      <formula>"Pass"</formula>
    </cfRule>
  </conditionalFormatting>
  <conditionalFormatting sqref="C1028">
    <cfRule type="cellIs" dxfId="596" priority="407" stopIfTrue="1" operator="equal">
      <formula>"Fail"</formula>
    </cfRule>
    <cfRule type="cellIs" dxfId="595" priority="408" stopIfTrue="1" operator="equal">
      <formula>"Pass"</formula>
    </cfRule>
  </conditionalFormatting>
  <conditionalFormatting sqref="A1078">
    <cfRule type="cellIs" dxfId="594" priority="403" stopIfTrue="1" operator="equal">
      <formula>"Fail"</formula>
    </cfRule>
    <cfRule type="cellIs" dxfId="593" priority="404" stopIfTrue="1" operator="equal">
      <formula>"Pass"</formula>
    </cfRule>
  </conditionalFormatting>
  <conditionalFormatting sqref="C1078">
    <cfRule type="cellIs" dxfId="592" priority="401" stopIfTrue="1" operator="equal">
      <formula>"Fail"</formula>
    </cfRule>
    <cfRule type="cellIs" dxfId="591" priority="402" stopIfTrue="1" operator="equal">
      <formula>"Pass"</formula>
    </cfRule>
  </conditionalFormatting>
  <conditionalFormatting sqref="D1078">
    <cfRule type="cellIs" dxfId="590" priority="399" stopIfTrue="1" operator="equal">
      <formula>"Fail"</formula>
    </cfRule>
    <cfRule type="cellIs" dxfId="589" priority="400" stopIfTrue="1" operator="equal">
      <formula>"Pass"</formula>
    </cfRule>
  </conditionalFormatting>
  <conditionalFormatting sqref="A1077 D1077 F1077:I1077">
    <cfRule type="cellIs" dxfId="588" priority="385" stopIfTrue="1" operator="equal">
      <formula>"Fail"</formula>
    </cfRule>
    <cfRule type="cellIs" dxfId="587" priority="386" stopIfTrue="1" operator="equal">
      <formula>"Pass"</formula>
    </cfRule>
  </conditionalFormatting>
  <conditionalFormatting sqref="A1077 C1077:D1077 F1077:I1077">
    <cfRule type="cellIs" dxfId="586" priority="387" stopIfTrue="1" operator="equal">
      <formula>"Fail"</formula>
    </cfRule>
    <cfRule type="cellIs" dxfId="585" priority="388" stopIfTrue="1" operator="equal">
      <formula>"Pass"</formula>
    </cfRule>
  </conditionalFormatting>
  <conditionalFormatting sqref="I1077">
    <cfRule type="cellIs" dxfId="584" priority="383" stopIfTrue="1" operator="equal">
      <formula>"Fail"</formula>
    </cfRule>
    <cfRule type="cellIs" dxfId="583" priority="384" stopIfTrue="1" operator="equal">
      <formula>"Pass"</formula>
    </cfRule>
  </conditionalFormatting>
  <conditionalFormatting sqref="C1077">
    <cfRule type="cellIs" dxfId="582" priority="381" stopIfTrue="1" operator="equal">
      <formula>"Fail"</formula>
    </cfRule>
    <cfRule type="cellIs" dxfId="581" priority="382" stopIfTrue="1" operator="equal">
      <formula>"Pass"</formula>
    </cfRule>
  </conditionalFormatting>
  <conditionalFormatting sqref="A1084">
    <cfRule type="cellIs" dxfId="580" priority="377" stopIfTrue="1" operator="equal">
      <formula>"Fail"</formula>
    </cfRule>
    <cfRule type="cellIs" dxfId="579" priority="378" stopIfTrue="1" operator="equal">
      <formula>"Pass"</formula>
    </cfRule>
  </conditionalFormatting>
  <conditionalFormatting sqref="C1084">
    <cfRule type="cellIs" dxfId="578" priority="375" stopIfTrue="1" operator="equal">
      <formula>"Fail"</formula>
    </cfRule>
    <cfRule type="cellIs" dxfId="577" priority="376" stopIfTrue="1" operator="equal">
      <formula>"Pass"</formula>
    </cfRule>
  </conditionalFormatting>
  <conditionalFormatting sqref="D1084">
    <cfRule type="cellIs" dxfId="576" priority="373" stopIfTrue="1" operator="equal">
      <formula>"Fail"</formula>
    </cfRule>
    <cfRule type="cellIs" dxfId="575" priority="374" stopIfTrue="1" operator="equal">
      <formula>"Pass"</formula>
    </cfRule>
  </conditionalFormatting>
  <conditionalFormatting sqref="A1083 D1083 F1083:I1083">
    <cfRule type="cellIs" dxfId="574" priority="359" stopIfTrue="1" operator="equal">
      <formula>"Fail"</formula>
    </cfRule>
    <cfRule type="cellIs" dxfId="573" priority="360" stopIfTrue="1" operator="equal">
      <formula>"Pass"</formula>
    </cfRule>
  </conditionalFormatting>
  <conditionalFormatting sqref="A1083 C1083:D1083 F1083:I1083">
    <cfRule type="cellIs" dxfId="572" priority="361" stopIfTrue="1" operator="equal">
      <formula>"Fail"</formula>
    </cfRule>
    <cfRule type="cellIs" dxfId="571" priority="362" stopIfTrue="1" operator="equal">
      <formula>"Pass"</formula>
    </cfRule>
  </conditionalFormatting>
  <conditionalFormatting sqref="I1083">
    <cfRule type="cellIs" dxfId="570" priority="357" stopIfTrue="1" operator="equal">
      <formula>"Fail"</formula>
    </cfRule>
    <cfRule type="cellIs" dxfId="569" priority="358" stopIfTrue="1" operator="equal">
      <formula>"Pass"</formula>
    </cfRule>
  </conditionalFormatting>
  <conditionalFormatting sqref="C1083">
    <cfRule type="cellIs" dxfId="568" priority="355" stopIfTrue="1" operator="equal">
      <formula>"Fail"</formula>
    </cfRule>
    <cfRule type="cellIs" dxfId="567" priority="356" stopIfTrue="1" operator="equal">
      <formula>"Pass"</formula>
    </cfRule>
  </conditionalFormatting>
  <conditionalFormatting sqref="I1043">
    <cfRule type="cellIs" dxfId="566" priority="347" stopIfTrue="1" operator="equal">
      <formula>"Fail"</formula>
    </cfRule>
    <cfRule type="cellIs" dxfId="565" priority="348" stopIfTrue="1" operator="equal">
      <formula>"Pass"</formula>
    </cfRule>
  </conditionalFormatting>
  <conditionalFormatting sqref="C1043">
    <cfRule type="cellIs" dxfId="564" priority="345" stopIfTrue="1" operator="equal">
      <formula>"Fail"</formula>
    </cfRule>
    <cfRule type="cellIs" dxfId="563" priority="346" stopIfTrue="1" operator="equal">
      <formula>"Pass"</formula>
    </cfRule>
  </conditionalFormatting>
  <conditionalFormatting sqref="C1043:I1043 A1043">
    <cfRule type="cellIs" dxfId="562" priority="351" stopIfTrue="1" operator="equal">
      <formula>"Fail"</formula>
    </cfRule>
    <cfRule type="cellIs" dxfId="561" priority="352" stopIfTrue="1" operator="equal">
      <formula>"Pass"</formula>
    </cfRule>
  </conditionalFormatting>
  <conditionalFormatting sqref="D1043:I1043 A1043">
    <cfRule type="cellIs" dxfId="560" priority="349" stopIfTrue="1" operator="equal">
      <formula>"Fail"</formula>
    </cfRule>
    <cfRule type="cellIs" dxfId="559" priority="350" stopIfTrue="1" operator="equal">
      <formula>"Pass"</formula>
    </cfRule>
  </conditionalFormatting>
  <conditionalFormatting sqref="I1098">
    <cfRule type="cellIs" dxfId="558" priority="339" stopIfTrue="1" operator="equal">
      <formula>"Fail"</formula>
    </cfRule>
    <cfRule type="cellIs" dxfId="557" priority="340" stopIfTrue="1" operator="equal">
      <formula>"Pass"</formula>
    </cfRule>
  </conditionalFormatting>
  <conditionalFormatting sqref="C1098">
    <cfRule type="cellIs" dxfId="556" priority="337" stopIfTrue="1" operator="equal">
      <formula>"Fail"</formula>
    </cfRule>
    <cfRule type="cellIs" dxfId="555" priority="338" stopIfTrue="1" operator="equal">
      <formula>"Pass"</formula>
    </cfRule>
  </conditionalFormatting>
  <conditionalFormatting sqref="C1098:I1098 A1098">
    <cfRule type="cellIs" dxfId="554" priority="343" stopIfTrue="1" operator="equal">
      <formula>"Fail"</formula>
    </cfRule>
    <cfRule type="cellIs" dxfId="553" priority="344" stopIfTrue="1" operator="equal">
      <formula>"Pass"</formula>
    </cfRule>
  </conditionalFormatting>
  <conditionalFormatting sqref="D1098:I1098 A1098">
    <cfRule type="cellIs" dxfId="552" priority="341" stopIfTrue="1" operator="equal">
      <formula>"Fail"</formula>
    </cfRule>
    <cfRule type="cellIs" dxfId="551" priority="342" stopIfTrue="1" operator="equal">
      <formula>"Pass"</formula>
    </cfRule>
  </conditionalFormatting>
  <conditionalFormatting sqref="F1192:I1192">
    <cfRule type="cellIs" dxfId="550" priority="335" stopIfTrue="1" operator="equal">
      <formula>"Fail"</formula>
    </cfRule>
    <cfRule type="cellIs" dxfId="549" priority="336" stopIfTrue="1" operator="equal">
      <formula>"Pass"</formula>
    </cfRule>
  </conditionalFormatting>
  <conditionalFormatting sqref="C1192">
    <cfRule type="cellIs" dxfId="548" priority="329" stopIfTrue="1" operator="equal">
      <formula>"Fail"</formula>
    </cfRule>
    <cfRule type="cellIs" dxfId="547" priority="330" stopIfTrue="1" operator="equal">
      <formula>"Pass"</formula>
    </cfRule>
  </conditionalFormatting>
  <conditionalFormatting sqref="C1192:D1192 A1192">
    <cfRule type="cellIs" dxfId="546" priority="333" stopIfTrue="1" operator="equal">
      <formula>"Fail"</formula>
    </cfRule>
    <cfRule type="cellIs" dxfId="545" priority="334" stopIfTrue="1" operator="equal">
      <formula>"Pass"</formula>
    </cfRule>
  </conditionalFormatting>
  <conditionalFormatting sqref="D1192 A1192">
    <cfRule type="cellIs" dxfId="544" priority="331" stopIfTrue="1" operator="equal">
      <formula>"Fail"</formula>
    </cfRule>
    <cfRule type="cellIs" dxfId="543" priority="332" stopIfTrue="1" operator="equal">
      <formula>"Pass"</formula>
    </cfRule>
  </conditionalFormatting>
  <conditionalFormatting sqref="I286">
    <cfRule type="cellIs" dxfId="542" priority="311" stopIfTrue="1" operator="equal">
      <formula>"Fail"</formula>
    </cfRule>
    <cfRule type="cellIs" dxfId="541" priority="312" stopIfTrue="1" operator="equal">
      <formula>"Pass"</formula>
    </cfRule>
  </conditionalFormatting>
  <conditionalFormatting sqref="I286">
    <cfRule type="cellIs" dxfId="540" priority="315" stopIfTrue="1" operator="equal">
      <formula>"Fail"</formula>
    </cfRule>
    <cfRule type="cellIs" dxfId="539" priority="316" stopIfTrue="1" operator="equal">
      <formula>"Pass"</formula>
    </cfRule>
  </conditionalFormatting>
  <conditionalFormatting sqref="I286">
    <cfRule type="cellIs" dxfId="538" priority="313" stopIfTrue="1" operator="equal">
      <formula>"Fail"</formula>
    </cfRule>
    <cfRule type="cellIs" dxfId="537" priority="314" stopIfTrue="1" operator="equal">
      <formula>"Pass"</formula>
    </cfRule>
  </conditionalFormatting>
  <conditionalFormatting sqref="C286">
    <cfRule type="cellIs" dxfId="536" priority="303" stopIfTrue="1" operator="equal">
      <formula>"Fail"</formula>
    </cfRule>
    <cfRule type="cellIs" dxfId="535" priority="304" stopIfTrue="1" operator="equal">
      <formula>"Pass"</formula>
    </cfRule>
  </conditionalFormatting>
  <conditionalFormatting sqref="C291">
    <cfRule type="cellIs" dxfId="534" priority="301" stopIfTrue="1" operator="equal">
      <formula>"Fail"</formula>
    </cfRule>
    <cfRule type="cellIs" dxfId="533" priority="302" stopIfTrue="1" operator="equal">
      <formula>"Pass"</formula>
    </cfRule>
  </conditionalFormatting>
  <conditionalFormatting sqref="B126">
    <cfRule type="cellIs" dxfId="532" priority="299" stopIfTrue="1" operator="equal">
      <formula>"Fail"</formula>
    </cfRule>
    <cfRule type="cellIs" dxfId="531" priority="300" stopIfTrue="1" operator="equal">
      <formula>"Pass"</formula>
    </cfRule>
  </conditionalFormatting>
  <conditionalFormatting sqref="B250">
    <cfRule type="cellIs" dxfId="530" priority="297" stopIfTrue="1" operator="equal">
      <formula>"Fail"</formula>
    </cfRule>
    <cfRule type="cellIs" dxfId="529" priority="298" stopIfTrue="1" operator="equal">
      <formula>"Pass"</formula>
    </cfRule>
  </conditionalFormatting>
  <conditionalFormatting sqref="B250">
    <cfRule type="cellIs" dxfId="528" priority="295" stopIfTrue="1" operator="equal">
      <formula>"Fail"</formula>
    </cfRule>
    <cfRule type="cellIs" dxfId="527" priority="296" stopIfTrue="1" operator="equal">
      <formula>"Pass"</formula>
    </cfRule>
  </conditionalFormatting>
  <conditionalFormatting sqref="B255">
    <cfRule type="cellIs" dxfId="526" priority="293" stopIfTrue="1" operator="equal">
      <formula>"Fail"</formula>
    </cfRule>
    <cfRule type="cellIs" dxfId="525" priority="294" stopIfTrue="1" operator="equal">
      <formula>"Pass"</formula>
    </cfRule>
  </conditionalFormatting>
  <conditionalFormatting sqref="B255">
    <cfRule type="cellIs" dxfId="524" priority="291" stopIfTrue="1" operator="equal">
      <formula>"Fail"</formula>
    </cfRule>
    <cfRule type="cellIs" dxfId="523" priority="292" stopIfTrue="1" operator="equal">
      <formula>"Pass"</formula>
    </cfRule>
  </conditionalFormatting>
  <conditionalFormatting sqref="B257">
    <cfRule type="cellIs" dxfId="522" priority="289" stopIfTrue="1" operator="equal">
      <formula>"Fail"</formula>
    </cfRule>
    <cfRule type="cellIs" dxfId="521" priority="290" stopIfTrue="1" operator="equal">
      <formula>"Pass"</formula>
    </cfRule>
  </conditionalFormatting>
  <conditionalFormatting sqref="B257">
    <cfRule type="cellIs" dxfId="520" priority="287" stopIfTrue="1" operator="equal">
      <formula>"Fail"</formula>
    </cfRule>
    <cfRule type="cellIs" dxfId="519" priority="288" stopIfTrue="1" operator="equal">
      <formula>"Pass"</formula>
    </cfRule>
  </conditionalFormatting>
  <conditionalFormatting sqref="B271">
    <cfRule type="cellIs" dxfId="518" priority="285" stopIfTrue="1" operator="equal">
      <formula>"Fail"</formula>
    </cfRule>
    <cfRule type="cellIs" dxfId="517" priority="286" stopIfTrue="1" operator="equal">
      <formula>"Pass"</formula>
    </cfRule>
  </conditionalFormatting>
  <conditionalFormatting sqref="B271">
    <cfRule type="cellIs" dxfId="516" priority="283" stopIfTrue="1" operator="equal">
      <formula>"Fail"</formula>
    </cfRule>
    <cfRule type="cellIs" dxfId="515" priority="284" stopIfTrue="1" operator="equal">
      <formula>"Pass"</formula>
    </cfRule>
  </conditionalFormatting>
  <conditionalFormatting sqref="B280">
    <cfRule type="cellIs" dxfId="514" priority="281" stopIfTrue="1" operator="equal">
      <formula>"Fail"</formula>
    </cfRule>
    <cfRule type="cellIs" dxfId="513" priority="282" stopIfTrue="1" operator="equal">
      <formula>"Pass"</formula>
    </cfRule>
  </conditionalFormatting>
  <conditionalFormatting sqref="B280">
    <cfRule type="cellIs" dxfId="512" priority="279" stopIfTrue="1" operator="equal">
      <formula>"Fail"</formula>
    </cfRule>
    <cfRule type="cellIs" dxfId="511" priority="280" stopIfTrue="1" operator="equal">
      <formula>"Pass"</formula>
    </cfRule>
  </conditionalFormatting>
  <conditionalFormatting sqref="B278">
    <cfRule type="cellIs" dxfId="510" priority="277" stopIfTrue="1" operator="equal">
      <formula>"Fail"</formula>
    </cfRule>
    <cfRule type="cellIs" dxfId="509" priority="278" stopIfTrue="1" operator="equal">
      <formula>"Pass"</formula>
    </cfRule>
  </conditionalFormatting>
  <conditionalFormatting sqref="B278">
    <cfRule type="cellIs" dxfId="508" priority="275" stopIfTrue="1" operator="equal">
      <formula>"Fail"</formula>
    </cfRule>
    <cfRule type="cellIs" dxfId="507" priority="276" stopIfTrue="1" operator="equal">
      <formula>"Pass"</formula>
    </cfRule>
  </conditionalFormatting>
  <conditionalFormatting sqref="B286">
    <cfRule type="cellIs" dxfId="506" priority="273" stopIfTrue="1" operator="equal">
      <formula>"Fail"</formula>
    </cfRule>
    <cfRule type="cellIs" dxfId="505" priority="274" stopIfTrue="1" operator="equal">
      <formula>"Pass"</formula>
    </cfRule>
  </conditionalFormatting>
  <conditionalFormatting sqref="B286">
    <cfRule type="cellIs" dxfId="504" priority="271" stopIfTrue="1" operator="equal">
      <formula>"Fail"</formula>
    </cfRule>
    <cfRule type="cellIs" dxfId="503" priority="272" stopIfTrue="1" operator="equal">
      <formula>"Pass"</formula>
    </cfRule>
  </conditionalFormatting>
  <conditionalFormatting sqref="B291">
    <cfRule type="cellIs" dxfId="502" priority="269" stopIfTrue="1" operator="equal">
      <formula>"Fail"</formula>
    </cfRule>
    <cfRule type="cellIs" dxfId="501" priority="270" stopIfTrue="1" operator="equal">
      <formula>"Pass"</formula>
    </cfRule>
  </conditionalFormatting>
  <conditionalFormatting sqref="B291">
    <cfRule type="cellIs" dxfId="500" priority="267" stopIfTrue="1" operator="equal">
      <formula>"Fail"</formula>
    </cfRule>
    <cfRule type="cellIs" dxfId="499" priority="268" stopIfTrue="1" operator="equal">
      <formula>"Pass"</formula>
    </cfRule>
  </conditionalFormatting>
  <conditionalFormatting sqref="B303">
    <cfRule type="cellIs" dxfId="498" priority="257" stopIfTrue="1" operator="equal">
      <formula>"Fail"</formula>
    </cfRule>
    <cfRule type="cellIs" dxfId="497" priority="258" stopIfTrue="1" operator="equal">
      <formula>"Pass"</formula>
    </cfRule>
  </conditionalFormatting>
  <conditionalFormatting sqref="B303">
    <cfRule type="cellIs" dxfId="496" priority="255" stopIfTrue="1" operator="equal">
      <formula>"Fail"</formula>
    </cfRule>
    <cfRule type="cellIs" dxfId="495" priority="256" stopIfTrue="1" operator="equal">
      <formula>"Pass"</formula>
    </cfRule>
  </conditionalFormatting>
  <conditionalFormatting sqref="B307">
    <cfRule type="cellIs" dxfId="494" priority="253" stopIfTrue="1" operator="equal">
      <formula>"Fail"</formula>
    </cfRule>
    <cfRule type="cellIs" dxfId="493" priority="254" stopIfTrue="1" operator="equal">
      <formula>"Pass"</formula>
    </cfRule>
  </conditionalFormatting>
  <conditionalFormatting sqref="B307">
    <cfRule type="cellIs" dxfId="492" priority="251" stopIfTrue="1" operator="equal">
      <formula>"Fail"</formula>
    </cfRule>
    <cfRule type="cellIs" dxfId="491" priority="252" stopIfTrue="1" operator="equal">
      <formula>"Pass"</formula>
    </cfRule>
  </conditionalFormatting>
  <conditionalFormatting sqref="B384:B385">
    <cfRule type="cellIs" dxfId="490" priority="249" stopIfTrue="1" operator="equal">
      <formula>"Fail"</formula>
    </cfRule>
    <cfRule type="cellIs" dxfId="489" priority="250" stopIfTrue="1" operator="equal">
      <formula>"Pass"</formula>
    </cfRule>
  </conditionalFormatting>
  <conditionalFormatting sqref="B388">
    <cfRule type="cellIs" dxfId="488" priority="247" stopIfTrue="1" operator="equal">
      <formula>"Fail"</formula>
    </cfRule>
    <cfRule type="cellIs" dxfId="487" priority="248" stopIfTrue="1" operator="equal">
      <formula>"Pass"</formula>
    </cfRule>
  </conditionalFormatting>
  <conditionalFormatting sqref="B387">
    <cfRule type="cellIs" dxfId="486" priority="245" stopIfTrue="1" operator="equal">
      <formula>"Fail"</formula>
    </cfRule>
    <cfRule type="cellIs" dxfId="485" priority="246" stopIfTrue="1" operator="equal">
      <formula>"Pass"</formula>
    </cfRule>
  </conditionalFormatting>
  <conditionalFormatting sqref="B392:B393">
    <cfRule type="cellIs" dxfId="484" priority="243" stopIfTrue="1" operator="equal">
      <formula>"Fail"</formula>
    </cfRule>
    <cfRule type="cellIs" dxfId="483" priority="244" stopIfTrue="1" operator="equal">
      <formula>"Pass"</formula>
    </cfRule>
  </conditionalFormatting>
  <conditionalFormatting sqref="B397:B398">
    <cfRule type="cellIs" dxfId="482" priority="241" stopIfTrue="1" operator="equal">
      <formula>"Fail"</formula>
    </cfRule>
    <cfRule type="cellIs" dxfId="481" priority="242" stopIfTrue="1" operator="equal">
      <formula>"Pass"</formula>
    </cfRule>
  </conditionalFormatting>
  <conditionalFormatting sqref="B400:B401">
    <cfRule type="cellIs" dxfId="480" priority="239" stopIfTrue="1" operator="equal">
      <formula>"Fail"</formula>
    </cfRule>
    <cfRule type="cellIs" dxfId="479" priority="240" stopIfTrue="1" operator="equal">
      <formula>"Pass"</formula>
    </cfRule>
  </conditionalFormatting>
  <conditionalFormatting sqref="B418">
    <cfRule type="cellIs" dxfId="478" priority="237" stopIfTrue="1" operator="equal">
      <formula>"Fail"</formula>
    </cfRule>
    <cfRule type="cellIs" dxfId="477" priority="238" stopIfTrue="1" operator="equal">
      <formula>"Pass"</formula>
    </cfRule>
  </conditionalFormatting>
  <conditionalFormatting sqref="B438">
    <cfRule type="cellIs" dxfId="476" priority="235" stopIfTrue="1" operator="equal">
      <formula>"Fail"</formula>
    </cfRule>
    <cfRule type="cellIs" dxfId="475" priority="236" stopIfTrue="1" operator="equal">
      <formula>"Pass"</formula>
    </cfRule>
  </conditionalFormatting>
  <conditionalFormatting sqref="B444">
    <cfRule type="cellIs" dxfId="474" priority="233" stopIfTrue="1" operator="equal">
      <formula>"Fail"</formula>
    </cfRule>
    <cfRule type="cellIs" dxfId="473" priority="234" stopIfTrue="1" operator="equal">
      <formula>"Pass"</formula>
    </cfRule>
  </conditionalFormatting>
  <conditionalFormatting sqref="B447">
    <cfRule type="cellIs" dxfId="472" priority="231" stopIfTrue="1" operator="equal">
      <formula>"Fail"</formula>
    </cfRule>
    <cfRule type="cellIs" dxfId="471" priority="232" stopIfTrue="1" operator="equal">
      <formula>"Pass"</formula>
    </cfRule>
  </conditionalFormatting>
  <conditionalFormatting sqref="B446">
    <cfRule type="cellIs" dxfId="470" priority="229" stopIfTrue="1" operator="equal">
      <formula>"Fail"</formula>
    </cfRule>
    <cfRule type="cellIs" dxfId="469" priority="230" stopIfTrue="1" operator="equal">
      <formula>"Pass"</formula>
    </cfRule>
  </conditionalFormatting>
  <conditionalFormatting sqref="B452:B453">
    <cfRule type="cellIs" dxfId="468" priority="227" stopIfTrue="1" operator="equal">
      <formula>"Fail"</formula>
    </cfRule>
    <cfRule type="cellIs" dxfId="467" priority="228" stopIfTrue="1" operator="equal">
      <formula>"Pass"</formula>
    </cfRule>
  </conditionalFormatting>
  <conditionalFormatting sqref="B458:B459">
    <cfRule type="cellIs" dxfId="466" priority="225" stopIfTrue="1" operator="equal">
      <formula>"Fail"</formula>
    </cfRule>
    <cfRule type="cellIs" dxfId="465" priority="226" stopIfTrue="1" operator="equal">
      <formula>"Pass"</formula>
    </cfRule>
  </conditionalFormatting>
  <conditionalFormatting sqref="B475">
    <cfRule type="cellIs" dxfId="464" priority="223" stopIfTrue="1" operator="equal">
      <formula>"Fail"</formula>
    </cfRule>
    <cfRule type="cellIs" dxfId="463" priority="224" stopIfTrue="1" operator="equal">
      <formula>"Pass"</formula>
    </cfRule>
  </conditionalFormatting>
  <conditionalFormatting sqref="B480">
    <cfRule type="cellIs" dxfId="462" priority="221" stopIfTrue="1" operator="equal">
      <formula>"Fail"</formula>
    </cfRule>
    <cfRule type="cellIs" dxfId="461" priority="222" stopIfTrue="1" operator="equal">
      <formula>"Pass"</formula>
    </cfRule>
  </conditionalFormatting>
  <conditionalFormatting sqref="B498">
    <cfRule type="cellIs" dxfId="460" priority="219" stopIfTrue="1" operator="equal">
      <formula>"Fail"</formula>
    </cfRule>
    <cfRule type="cellIs" dxfId="459" priority="220" stopIfTrue="1" operator="equal">
      <formula>"Pass"</formula>
    </cfRule>
  </conditionalFormatting>
  <conditionalFormatting sqref="B526">
    <cfRule type="cellIs" dxfId="458" priority="217" stopIfTrue="1" operator="equal">
      <formula>"Fail"</formula>
    </cfRule>
    <cfRule type="cellIs" dxfId="457" priority="218" stopIfTrue="1" operator="equal">
      <formula>"Pass"</formula>
    </cfRule>
  </conditionalFormatting>
  <conditionalFormatting sqref="B524">
    <cfRule type="cellIs" dxfId="456" priority="215" stopIfTrue="1" operator="equal">
      <formula>"Fail"</formula>
    </cfRule>
    <cfRule type="cellIs" dxfId="455" priority="216" stopIfTrue="1" operator="equal">
      <formula>"Pass"</formula>
    </cfRule>
  </conditionalFormatting>
  <conditionalFormatting sqref="B532:B533">
    <cfRule type="cellIs" dxfId="454" priority="213" stopIfTrue="1" operator="equal">
      <formula>"Fail"</formula>
    </cfRule>
    <cfRule type="cellIs" dxfId="453" priority="214" stopIfTrue="1" operator="equal">
      <formula>"Pass"</formula>
    </cfRule>
  </conditionalFormatting>
  <conditionalFormatting sqref="B538:B539">
    <cfRule type="cellIs" dxfId="452" priority="211" stopIfTrue="1" operator="equal">
      <formula>"Fail"</formula>
    </cfRule>
    <cfRule type="cellIs" dxfId="451" priority="212" stopIfTrue="1" operator="equal">
      <formula>"Pass"</formula>
    </cfRule>
  </conditionalFormatting>
  <conditionalFormatting sqref="B555">
    <cfRule type="cellIs" dxfId="450" priority="209" stopIfTrue="1" operator="equal">
      <formula>"Fail"</formula>
    </cfRule>
    <cfRule type="cellIs" dxfId="449" priority="210" stopIfTrue="1" operator="equal">
      <formula>"Pass"</formula>
    </cfRule>
  </conditionalFormatting>
  <conditionalFormatting sqref="B560">
    <cfRule type="cellIs" dxfId="448" priority="207" stopIfTrue="1" operator="equal">
      <formula>"Fail"</formula>
    </cfRule>
    <cfRule type="cellIs" dxfId="447" priority="208" stopIfTrue="1" operator="equal">
      <formula>"Pass"</formula>
    </cfRule>
  </conditionalFormatting>
  <conditionalFormatting sqref="B654">
    <cfRule type="cellIs" dxfId="446" priority="205" stopIfTrue="1" operator="equal">
      <formula>"Fail"</formula>
    </cfRule>
    <cfRule type="cellIs" dxfId="445" priority="206" stopIfTrue="1" operator="equal">
      <formula>"Pass"</formula>
    </cfRule>
  </conditionalFormatting>
  <conditionalFormatting sqref="B654">
    <cfRule type="cellIs" dxfId="444" priority="203" stopIfTrue="1" operator="equal">
      <formula>"Fail"</formula>
    </cfRule>
    <cfRule type="cellIs" dxfId="443" priority="204" stopIfTrue="1" operator="equal">
      <formula>"Pass"</formula>
    </cfRule>
  </conditionalFormatting>
  <conditionalFormatting sqref="B659">
    <cfRule type="cellIs" dxfId="442" priority="201" stopIfTrue="1" operator="equal">
      <formula>"Fail"</formula>
    </cfRule>
    <cfRule type="cellIs" dxfId="441" priority="202" stopIfTrue="1" operator="equal">
      <formula>"Pass"</formula>
    </cfRule>
  </conditionalFormatting>
  <conditionalFormatting sqref="B659">
    <cfRule type="cellIs" dxfId="440" priority="199" stopIfTrue="1" operator="equal">
      <formula>"Fail"</formula>
    </cfRule>
    <cfRule type="cellIs" dxfId="439" priority="200" stopIfTrue="1" operator="equal">
      <formula>"Pass"</formula>
    </cfRule>
  </conditionalFormatting>
  <conditionalFormatting sqref="B664">
    <cfRule type="cellIs" dxfId="438" priority="197" stopIfTrue="1" operator="equal">
      <formula>"Fail"</formula>
    </cfRule>
    <cfRule type="cellIs" dxfId="437" priority="198" stopIfTrue="1" operator="equal">
      <formula>"Pass"</formula>
    </cfRule>
  </conditionalFormatting>
  <conditionalFormatting sqref="B664">
    <cfRule type="cellIs" dxfId="436" priority="195" stopIfTrue="1" operator="equal">
      <formula>"Fail"</formula>
    </cfRule>
    <cfRule type="cellIs" dxfId="435" priority="196" stopIfTrue="1" operator="equal">
      <formula>"Pass"</formula>
    </cfRule>
  </conditionalFormatting>
  <conditionalFormatting sqref="B667">
    <cfRule type="cellIs" dxfId="434" priority="193" stopIfTrue="1" operator="equal">
      <formula>"Fail"</formula>
    </cfRule>
    <cfRule type="cellIs" dxfId="433" priority="194" stopIfTrue="1" operator="equal">
      <formula>"Pass"</formula>
    </cfRule>
  </conditionalFormatting>
  <conditionalFormatting sqref="B667">
    <cfRule type="cellIs" dxfId="432" priority="191" stopIfTrue="1" operator="equal">
      <formula>"Fail"</formula>
    </cfRule>
    <cfRule type="cellIs" dxfId="431" priority="192" stopIfTrue="1" operator="equal">
      <formula>"Pass"</formula>
    </cfRule>
  </conditionalFormatting>
  <conditionalFormatting sqref="B692">
    <cfRule type="cellIs" dxfId="430" priority="189" stopIfTrue="1" operator="equal">
      <formula>"Fail"</formula>
    </cfRule>
    <cfRule type="cellIs" dxfId="429" priority="190" stopIfTrue="1" operator="equal">
      <formula>"Pass"</formula>
    </cfRule>
  </conditionalFormatting>
  <conditionalFormatting sqref="B692">
    <cfRule type="cellIs" dxfId="428" priority="187" stopIfTrue="1" operator="equal">
      <formula>"Fail"</formula>
    </cfRule>
    <cfRule type="cellIs" dxfId="427" priority="188" stopIfTrue="1" operator="equal">
      <formula>"Pass"</formula>
    </cfRule>
  </conditionalFormatting>
  <conditionalFormatting sqref="B690">
    <cfRule type="cellIs" dxfId="426" priority="185" stopIfTrue="1" operator="equal">
      <formula>"Fail"</formula>
    </cfRule>
    <cfRule type="cellIs" dxfId="425" priority="186" stopIfTrue="1" operator="equal">
      <formula>"Pass"</formula>
    </cfRule>
  </conditionalFormatting>
  <conditionalFormatting sqref="B690">
    <cfRule type="cellIs" dxfId="424" priority="183" stopIfTrue="1" operator="equal">
      <formula>"Fail"</formula>
    </cfRule>
    <cfRule type="cellIs" dxfId="423" priority="184" stopIfTrue="1" operator="equal">
      <formula>"Pass"</formula>
    </cfRule>
  </conditionalFormatting>
  <conditionalFormatting sqref="B698:B699">
    <cfRule type="cellIs" dxfId="422" priority="181" stopIfTrue="1" operator="equal">
      <formula>"Fail"</formula>
    </cfRule>
    <cfRule type="cellIs" dxfId="421" priority="182" stopIfTrue="1" operator="equal">
      <formula>"Pass"</formula>
    </cfRule>
  </conditionalFormatting>
  <conditionalFormatting sqref="B698:B699">
    <cfRule type="cellIs" dxfId="420" priority="179" stopIfTrue="1" operator="equal">
      <formula>"Fail"</formula>
    </cfRule>
    <cfRule type="cellIs" dxfId="419" priority="180" stopIfTrue="1" operator="equal">
      <formula>"Pass"</formula>
    </cfRule>
  </conditionalFormatting>
  <conditionalFormatting sqref="B704:B705">
    <cfRule type="cellIs" dxfId="418" priority="177" stopIfTrue="1" operator="equal">
      <formula>"Fail"</formula>
    </cfRule>
    <cfRule type="cellIs" dxfId="417" priority="178" stopIfTrue="1" operator="equal">
      <formula>"Pass"</formula>
    </cfRule>
  </conditionalFormatting>
  <conditionalFormatting sqref="B704:B705">
    <cfRule type="cellIs" dxfId="416" priority="175" stopIfTrue="1" operator="equal">
      <formula>"Fail"</formula>
    </cfRule>
    <cfRule type="cellIs" dxfId="415" priority="176" stopIfTrue="1" operator="equal">
      <formula>"Pass"</formula>
    </cfRule>
  </conditionalFormatting>
  <conditionalFormatting sqref="B721">
    <cfRule type="cellIs" dxfId="414" priority="173" stopIfTrue="1" operator="equal">
      <formula>"Fail"</formula>
    </cfRule>
    <cfRule type="cellIs" dxfId="413" priority="174" stopIfTrue="1" operator="equal">
      <formula>"Pass"</formula>
    </cfRule>
  </conditionalFormatting>
  <conditionalFormatting sqref="B721">
    <cfRule type="cellIs" dxfId="412" priority="171" stopIfTrue="1" operator="equal">
      <formula>"Fail"</formula>
    </cfRule>
    <cfRule type="cellIs" dxfId="411" priority="172" stopIfTrue="1" operator="equal">
      <formula>"Pass"</formula>
    </cfRule>
  </conditionalFormatting>
  <conditionalFormatting sqref="B725">
    <cfRule type="cellIs" dxfId="410" priority="169" stopIfTrue="1" operator="equal">
      <formula>"Fail"</formula>
    </cfRule>
    <cfRule type="cellIs" dxfId="409" priority="170" stopIfTrue="1" operator="equal">
      <formula>"Pass"</formula>
    </cfRule>
  </conditionalFormatting>
  <conditionalFormatting sqref="B725">
    <cfRule type="cellIs" dxfId="408" priority="167" stopIfTrue="1" operator="equal">
      <formula>"Fail"</formula>
    </cfRule>
    <cfRule type="cellIs" dxfId="407" priority="168" stopIfTrue="1" operator="equal">
      <formula>"Pass"</formula>
    </cfRule>
  </conditionalFormatting>
  <conditionalFormatting sqref="B801">
    <cfRule type="cellIs" dxfId="406" priority="165" stopIfTrue="1" operator="equal">
      <formula>"Fail"</formula>
    </cfRule>
    <cfRule type="cellIs" dxfId="405" priority="166" stopIfTrue="1" operator="equal">
      <formula>"Pass"</formula>
    </cfRule>
  </conditionalFormatting>
  <conditionalFormatting sqref="B806">
    <cfRule type="cellIs" dxfId="404" priority="163" stopIfTrue="1" operator="equal">
      <formula>"Fail"</formula>
    </cfRule>
    <cfRule type="cellIs" dxfId="403" priority="164" stopIfTrue="1" operator="equal">
      <formula>"Pass"</formula>
    </cfRule>
  </conditionalFormatting>
  <conditionalFormatting sqref="B821">
    <cfRule type="cellIs" dxfId="402" priority="161" stopIfTrue="1" operator="equal">
      <formula>"Fail"</formula>
    </cfRule>
    <cfRule type="cellIs" dxfId="401" priority="162" stopIfTrue="1" operator="equal">
      <formula>"Pass"</formula>
    </cfRule>
  </conditionalFormatting>
  <conditionalFormatting sqref="B823">
    <cfRule type="cellIs" dxfId="400" priority="159" stopIfTrue="1" operator="equal">
      <formula>"Fail"</formula>
    </cfRule>
    <cfRule type="cellIs" dxfId="399" priority="160" stopIfTrue="1" operator="equal">
      <formula>"Pass"</formula>
    </cfRule>
  </conditionalFormatting>
  <conditionalFormatting sqref="B829:B830">
    <cfRule type="cellIs" dxfId="398" priority="157" stopIfTrue="1" operator="equal">
      <formula>"Fail"</formula>
    </cfRule>
    <cfRule type="cellIs" dxfId="397" priority="158" stopIfTrue="1" operator="equal">
      <formula>"Pass"</formula>
    </cfRule>
  </conditionalFormatting>
  <conditionalFormatting sqref="B837">
    <cfRule type="cellIs" dxfId="396" priority="155" stopIfTrue="1" operator="equal">
      <formula>"Fail"</formula>
    </cfRule>
    <cfRule type="cellIs" dxfId="395" priority="156" stopIfTrue="1" operator="equal">
      <formula>"Pass"</formula>
    </cfRule>
  </conditionalFormatting>
  <conditionalFormatting sqref="B843">
    <cfRule type="cellIs" dxfId="394" priority="153" stopIfTrue="1" operator="equal">
      <formula>"Fail"</formula>
    </cfRule>
    <cfRule type="cellIs" dxfId="393" priority="154" stopIfTrue="1" operator="equal">
      <formula>"Pass"</formula>
    </cfRule>
  </conditionalFormatting>
  <conditionalFormatting sqref="B858">
    <cfRule type="cellIs" dxfId="392" priority="151" stopIfTrue="1" operator="equal">
      <formula>"Fail"</formula>
    </cfRule>
    <cfRule type="cellIs" dxfId="391" priority="152" stopIfTrue="1" operator="equal">
      <formula>"Pass"</formula>
    </cfRule>
  </conditionalFormatting>
  <conditionalFormatting sqref="B860">
    <cfRule type="cellIs" dxfId="390" priority="149" stopIfTrue="1" operator="equal">
      <formula>"Fail"</formula>
    </cfRule>
    <cfRule type="cellIs" dxfId="389" priority="150" stopIfTrue="1" operator="equal">
      <formula>"Pass"</formula>
    </cfRule>
  </conditionalFormatting>
  <conditionalFormatting sqref="B877">
    <cfRule type="cellIs" dxfId="388" priority="147" stopIfTrue="1" operator="equal">
      <formula>"Fail"</formula>
    </cfRule>
    <cfRule type="cellIs" dxfId="387" priority="148" stopIfTrue="1" operator="equal">
      <formula>"Pass"</formula>
    </cfRule>
  </conditionalFormatting>
  <conditionalFormatting sqref="B883">
    <cfRule type="cellIs" dxfId="386" priority="145" stopIfTrue="1" operator="equal">
      <formula>"Fail"</formula>
    </cfRule>
    <cfRule type="cellIs" dxfId="385" priority="146" stopIfTrue="1" operator="equal">
      <formula>"Pass"</formula>
    </cfRule>
  </conditionalFormatting>
  <conditionalFormatting sqref="B900">
    <cfRule type="cellIs" dxfId="384" priority="143" stopIfTrue="1" operator="equal">
      <formula>"Fail"</formula>
    </cfRule>
    <cfRule type="cellIs" dxfId="383" priority="144" stopIfTrue="1" operator="equal">
      <formula>"Pass"</formula>
    </cfRule>
  </conditionalFormatting>
  <conditionalFormatting sqref="B983">
    <cfRule type="cellIs" dxfId="382" priority="141" stopIfTrue="1" operator="equal">
      <formula>"Fail"</formula>
    </cfRule>
    <cfRule type="cellIs" dxfId="381" priority="142" stopIfTrue="1" operator="equal">
      <formula>"Pass"</formula>
    </cfRule>
  </conditionalFormatting>
  <conditionalFormatting sqref="B988">
    <cfRule type="cellIs" dxfId="380" priority="139" stopIfTrue="1" operator="equal">
      <formula>"Fail"</formula>
    </cfRule>
    <cfRule type="cellIs" dxfId="379" priority="140" stopIfTrue="1" operator="equal">
      <formula>"Pass"</formula>
    </cfRule>
  </conditionalFormatting>
  <conditionalFormatting sqref="B993">
    <cfRule type="cellIs" dxfId="378" priority="137" stopIfTrue="1" operator="equal">
      <formula>"Fail"</formula>
    </cfRule>
    <cfRule type="cellIs" dxfId="377" priority="138" stopIfTrue="1" operator="equal">
      <formula>"Pass"</formula>
    </cfRule>
  </conditionalFormatting>
  <conditionalFormatting sqref="B1005">
    <cfRule type="cellIs" dxfId="376" priority="135" stopIfTrue="1" operator="equal">
      <formula>"Fail"</formula>
    </cfRule>
    <cfRule type="cellIs" dxfId="375" priority="136" stopIfTrue="1" operator="equal">
      <formula>"Pass"</formula>
    </cfRule>
  </conditionalFormatting>
  <conditionalFormatting sqref="B1014">
    <cfRule type="cellIs" dxfId="374" priority="133" stopIfTrue="1" operator="equal">
      <formula>"Fail"</formula>
    </cfRule>
    <cfRule type="cellIs" dxfId="373" priority="134" stopIfTrue="1" operator="equal">
      <formula>"Pass"</formula>
    </cfRule>
  </conditionalFormatting>
  <conditionalFormatting sqref="B1016">
    <cfRule type="cellIs" dxfId="372" priority="131" stopIfTrue="1" operator="equal">
      <formula>"Fail"</formula>
    </cfRule>
    <cfRule type="cellIs" dxfId="371" priority="132" stopIfTrue="1" operator="equal">
      <formula>"Pass"</formula>
    </cfRule>
  </conditionalFormatting>
  <conditionalFormatting sqref="B1022:B1023">
    <cfRule type="cellIs" dxfId="370" priority="129" stopIfTrue="1" operator="equal">
      <formula>"Fail"</formula>
    </cfRule>
    <cfRule type="cellIs" dxfId="369" priority="130" stopIfTrue="1" operator="equal">
      <formula>"Pass"</formula>
    </cfRule>
  </conditionalFormatting>
  <conditionalFormatting sqref="B1028:B1029">
    <cfRule type="cellIs" dxfId="368" priority="127" stopIfTrue="1" operator="equal">
      <formula>"Fail"</formula>
    </cfRule>
    <cfRule type="cellIs" dxfId="367" priority="128" stopIfTrue="1" operator="equal">
      <formula>"Pass"</formula>
    </cfRule>
  </conditionalFormatting>
  <conditionalFormatting sqref="B1041">
    <cfRule type="cellIs" dxfId="366" priority="125" stopIfTrue="1" operator="equal">
      <formula>"Fail"</formula>
    </cfRule>
    <cfRule type="cellIs" dxfId="365" priority="126" stopIfTrue="1" operator="equal">
      <formula>"Pass"</formula>
    </cfRule>
  </conditionalFormatting>
  <conditionalFormatting sqref="B1046">
    <cfRule type="cellIs" dxfId="364" priority="123" stopIfTrue="1" operator="equal">
      <formula>"Fail"</formula>
    </cfRule>
    <cfRule type="cellIs" dxfId="363" priority="124" stopIfTrue="1" operator="equal">
      <formula>"Pass"</formula>
    </cfRule>
  </conditionalFormatting>
  <conditionalFormatting sqref="B1060">
    <cfRule type="cellIs" dxfId="362" priority="121" stopIfTrue="1" operator="equal">
      <formula>"Fail"</formula>
    </cfRule>
    <cfRule type="cellIs" dxfId="361" priority="122" stopIfTrue="1" operator="equal">
      <formula>"Pass"</formula>
    </cfRule>
  </conditionalFormatting>
  <conditionalFormatting sqref="B1069">
    <cfRule type="cellIs" dxfId="360" priority="119" stopIfTrue="1" operator="equal">
      <formula>"Fail"</formula>
    </cfRule>
    <cfRule type="cellIs" dxfId="359" priority="120" stopIfTrue="1" operator="equal">
      <formula>"Pass"</formula>
    </cfRule>
  </conditionalFormatting>
  <conditionalFormatting sqref="B1071">
    <cfRule type="cellIs" dxfId="358" priority="117" stopIfTrue="1" operator="equal">
      <formula>"Fail"</formula>
    </cfRule>
    <cfRule type="cellIs" dxfId="357" priority="118" stopIfTrue="1" operator="equal">
      <formula>"Pass"</formula>
    </cfRule>
  </conditionalFormatting>
  <conditionalFormatting sqref="B1077:B1078">
    <cfRule type="cellIs" dxfId="356" priority="115" stopIfTrue="1" operator="equal">
      <formula>"Fail"</formula>
    </cfRule>
    <cfRule type="cellIs" dxfId="355" priority="116" stopIfTrue="1" operator="equal">
      <formula>"Pass"</formula>
    </cfRule>
  </conditionalFormatting>
  <conditionalFormatting sqref="B1083:B1084">
    <cfRule type="cellIs" dxfId="354" priority="113" stopIfTrue="1" operator="equal">
      <formula>"Fail"</formula>
    </cfRule>
    <cfRule type="cellIs" dxfId="353" priority="114" stopIfTrue="1" operator="equal">
      <formula>"Pass"</formula>
    </cfRule>
  </conditionalFormatting>
  <conditionalFormatting sqref="B1096">
    <cfRule type="cellIs" dxfId="352" priority="111" stopIfTrue="1" operator="equal">
      <formula>"Fail"</formula>
    </cfRule>
    <cfRule type="cellIs" dxfId="351" priority="112" stopIfTrue="1" operator="equal">
      <formula>"Pass"</formula>
    </cfRule>
  </conditionalFormatting>
  <conditionalFormatting sqref="B1101">
    <cfRule type="cellIs" dxfId="350" priority="109" stopIfTrue="1" operator="equal">
      <formula>"Fail"</formula>
    </cfRule>
    <cfRule type="cellIs" dxfId="349" priority="110" stopIfTrue="1" operator="equal">
      <formula>"Pass"</formula>
    </cfRule>
  </conditionalFormatting>
  <conditionalFormatting sqref="B1171">
    <cfRule type="cellIs" dxfId="348" priority="107" stopIfTrue="1" operator="equal">
      <formula>"Fail"</formula>
    </cfRule>
    <cfRule type="cellIs" dxfId="347" priority="108" stopIfTrue="1" operator="equal">
      <formula>"Pass"</formula>
    </cfRule>
  </conditionalFormatting>
  <conditionalFormatting sqref="B1178">
    <cfRule type="cellIs" dxfId="346" priority="105" stopIfTrue="1" operator="equal">
      <formula>"Fail"</formula>
    </cfRule>
    <cfRule type="cellIs" dxfId="345" priority="106" stopIfTrue="1" operator="equal">
      <formula>"Pass"</formula>
    </cfRule>
  </conditionalFormatting>
  <conditionalFormatting sqref="B1186">
    <cfRule type="cellIs" dxfId="344" priority="103" stopIfTrue="1" operator="equal">
      <formula>"Fail"</formula>
    </cfRule>
    <cfRule type="cellIs" dxfId="343" priority="104" stopIfTrue="1" operator="equal">
      <formula>"Pass"</formula>
    </cfRule>
  </conditionalFormatting>
  <conditionalFormatting sqref="B1189">
    <cfRule type="cellIs" dxfId="342" priority="101" stopIfTrue="1" operator="equal">
      <formula>"Fail"</formula>
    </cfRule>
    <cfRule type="cellIs" dxfId="341" priority="102" stopIfTrue="1" operator="equal">
      <formula>"Pass"</formula>
    </cfRule>
  </conditionalFormatting>
  <conditionalFormatting sqref="B1188">
    <cfRule type="cellIs" dxfId="340" priority="99" stopIfTrue="1" operator="equal">
      <formula>"Fail"</formula>
    </cfRule>
    <cfRule type="cellIs" dxfId="339" priority="100" stopIfTrue="1" operator="equal">
      <formula>"Pass"</formula>
    </cfRule>
  </conditionalFormatting>
  <conditionalFormatting sqref="B1193">
    <cfRule type="cellIs" dxfId="338" priority="97" stopIfTrue="1" operator="equal">
      <formula>"Fail"</formula>
    </cfRule>
    <cfRule type="cellIs" dxfId="337" priority="98" stopIfTrue="1" operator="equal">
      <formula>"Pass"</formula>
    </cfRule>
  </conditionalFormatting>
  <conditionalFormatting sqref="B1209">
    <cfRule type="cellIs" dxfId="336" priority="95" stopIfTrue="1" operator="equal">
      <formula>"Fail"</formula>
    </cfRule>
    <cfRule type="cellIs" dxfId="335" priority="96" stopIfTrue="1" operator="equal">
      <formula>"Pass"</formula>
    </cfRule>
  </conditionalFormatting>
  <conditionalFormatting sqref="B1212">
    <cfRule type="cellIs" dxfId="334" priority="93" stopIfTrue="1" operator="equal">
      <formula>"Fail"</formula>
    </cfRule>
    <cfRule type="cellIs" dxfId="333" priority="94" stopIfTrue="1" operator="equal">
      <formula>"Pass"</formula>
    </cfRule>
  </conditionalFormatting>
  <conditionalFormatting sqref="G12">
    <cfRule type="cellIs" dxfId="332" priority="81" stopIfTrue="1" operator="equal">
      <formula>"Fail"</formula>
    </cfRule>
    <cfRule type="cellIs" dxfId="331" priority="82" stopIfTrue="1" operator="equal">
      <formula>"Pass"</formula>
    </cfRule>
  </conditionalFormatting>
  <conditionalFormatting sqref="G12">
    <cfRule type="cellIs" dxfId="330" priority="85" stopIfTrue="1" operator="equal">
      <formula>"Fail"</formula>
    </cfRule>
    <cfRule type="cellIs" dxfId="329" priority="86" stopIfTrue="1" operator="equal">
      <formula>"Pass"</formula>
    </cfRule>
  </conditionalFormatting>
  <conditionalFormatting sqref="G12">
    <cfRule type="cellIs" dxfId="328" priority="83" stopIfTrue="1" operator="equal">
      <formula>"Fail"</formula>
    </cfRule>
    <cfRule type="cellIs" dxfId="327" priority="84" stopIfTrue="1" operator="equal">
      <formula>"Pass"</formula>
    </cfRule>
  </conditionalFormatting>
  <conditionalFormatting sqref="G12">
    <cfRule type="cellIs" dxfId="326" priority="87" stopIfTrue="1" operator="equal">
      <formula>"Fail"</formula>
    </cfRule>
    <cfRule type="cellIs" dxfId="325" priority="88" stopIfTrue="1" operator="equal">
      <formula>"Pass"</formula>
    </cfRule>
  </conditionalFormatting>
  <conditionalFormatting sqref="G12">
    <cfRule type="cellIs" dxfId="324" priority="91" stopIfTrue="1" operator="equal">
      <formula>"Fail"</formula>
    </cfRule>
    <cfRule type="cellIs" dxfId="323" priority="92" stopIfTrue="1" operator="equal">
      <formula>"Pass"</formula>
    </cfRule>
  </conditionalFormatting>
  <conditionalFormatting sqref="G12">
    <cfRule type="cellIs" dxfId="322" priority="89" stopIfTrue="1" operator="equal">
      <formula>"Fail"</formula>
    </cfRule>
    <cfRule type="cellIs" dxfId="321" priority="90" stopIfTrue="1" operator="equal">
      <formula>"Pass"</formula>
    </cfRule>
  </conditionalFormatting>
  <conditionalFormatting sqref="D453 F453">
    <cfRule type="cellIs" dxfId="320" priority="79" stopIfTrue="1" operator="equal">
      <formula>"Fail"</formula>
    </cfRule>
    <cfRule type="cellIs" dxfId="319" priority="80" stopIfTrue="1" operator="equal">
      <formula>"Pass"</formula>
    </cfRule>
  </conditionalFormatting>
  <conditionalFormatting sqref="D453 F453">
    <cfRule type="cellIs" dxfId="318" priority="77" stopIfTrue="1" operator="equal">
      <formula>"Fail"</formula>
    </cfRule>
    <cfRule type="cellIs" dxfId="317" priority="78" stopIfTrue="1" operator="equal">
      <formula>"Pass"</formula>
    </cfRule>
  </conditionalFormatting>
  <conditionalFormatting sqref="D459 F459">
    <cfRule type="cellIs" dxfId="316" priority="75" stopIfTrue="1" operator="equal">
      <formula>"Fail"</formula>
    </cfRule>
    <cfRule type="cellIs" dxfId="315" priority="76" stopIfTrue="1" operator="equal">
      <formula>"Pass"</formula>
    </cfRule>
  </conditionalFormatting>
  <conditionalFormatting sqref="D459 F459">
    <cfRule type="cellIs" dxfId="314" priority="73" stopIfTrue="1" operator="equal">
      <formula>"Fail"</formula>
    </cfRule>
    <cfRule type="cellIs" dxfId="313" priority="74" stopIfTrue="1" operator="equal">
      <formula>"Pass"</formula>
    </cfRule>
  </conditionalFormatting>
  <conditionalFormatting sqref="I453">
    <cfRule type="cellIs" dxfId="312" priority="67" stopIfTrue="1" operator="equal">
      <formula>"Fail"</formula>
    </cfRule>
    <cfRule type="cellIs" dxfId="311" priority="68" stopIfTrue="1" operator="equal">
      <formula>"Pass"</formula>
    </cfRule>
  </conditionalFormatting>
  <conditionalFormatting sqref="I453">
    <cfRule type="cellIs" dxfId="310" priority="71" stopIfTrue="1" operator="equal">
      <formula>"Fail"</formula>
    </cfRule>
    <cfRule type="cellIs" dxfId="309" priority="72" stopIfTrue="1" operator="equal">
      <formula>"Pass"</formula>
    </cfRule>
  </conditionalFormatting>
  <conditionalFormatting sqref="I453">
    <cfRule type="cellIs" dxfId="308" priority="69" stopIfTrue="1" operator="equal">
      <formula>"Fail"</formula>
    </cfRule>
    <cfRule type="cellIs" dxfId="307" priority="70" stopIfTrue="1" operator="equal">
      <formula>"Pass"</formula>
    </cfRule>
  </conditionalFormatting>
  <conditionalFormatting sqref="I459">
    <cfRule type="cellIs" dxfId="306" priority="61" stopIfTrue="1" operator="equal">
      <formula>"Fail"</formula>
    </cfRule>
    <cfRule type="cellIs" dxfId="305" priority="62" stopIfTrue="1" operator="equal">
      <formula>"Pass"</formula>
    </cfRule>
  </conditionalFormatting>
  <conditionalFormatting sqref="I459">
    <cfRule type="cellIs" dxfId="304" priority="65" stopIfTrue="1" operator="equal">
      <formula>"Fail"</formula>
    </cfRule>
    <cfRule type="cellIs" dxfId="303" priority="66" stopIfTrue="1" operator="equal">
      <formula>"Pass"</formula>
    </cfRule>
  </conditionalFormatting>
  <conditionalFormatting sqref="I459">
    <cfRule type="cellIs" dxfId="302" priority="63" stopIfTrue="1" operator="equal">
      <formula>"Fail"</formula>
    </cfRule>
    <cfRule type="cellIs" dxfId="301" priority="64" stopIfTrue="1" operator="equal">
      <formula>"Pass"</formula>
    </cfRule>
  </conditionalFormatting>
  <conditionalFormatting sqref="D534">
    <cfRule type="cellIs" dxfId="300" priority="59" stopIfTrue="1" operator="equal">
      <formula>"Fail"</formula>
    </cfRule>
    <cfRule type="cellIs" dxfId="299" priority="60" stopIfTrue="1" operator="equal">
      <formula>"Pass"</formula>
    </cfRule>
  </conditionalFormatting>
  <conditionalFormatting sqref="D536">
    <cfRule type="cellIs" dxfId="298" priority="55" stopIfTrue="1" operator="equal">
      <formula>"Fail"</formula>
    </cfRule>
    <cfRule type="cellIs" dxfId="297" priority="56" stopIfTrue="1" operator="equal">
      <formula>"Pass"</formula>
    </cfRule>
  </conditionalFormatting>
  <conditionalFormatting sqref="D536">
    <cfRule type="cellIs" dxfId="296" priority="57" stopIfTrue="1" operator="equal">
      <formula>"Fail"</formula>
    </cfRule>
    <cfRule type="cellIs" dxfId="295" priority="58" stopIfTrue="1" operator="equal">
      <formula>"Pass"</formula>
    </cfRule>
  </conditionalFormatting>
  <conditionalFormatting sqref="D535">
    <cfRule type="cellIs" dxfId="294" priority="53" stopIfTrue="1" operator="equal">
      <formula>"Fail"</formula>
    </cfRule>
    <cfRule type="cellIs" dxfId="293" priority="54" stopIfTrue="1" operator="equal">
      <formula>"Pass"</formula>
    </cfRule>
  </conditionalFormatting>
  <conditionalFormatting sqref="D535">
    <cfRule type="cellIs" dxfId="292" priority="51" stopIfTrue="1" operator="equal">
      <formula>"Fail"</formula>
    </cfRule>
    <cfRule type="cellIs" dxfId="291" priority="52" stopIfTrue="1" operator="equal">
      <formula>"Pass"</formula>
    </cfRule>
  </conditionalFormatting>
  <conditionalFormatting sqref="D537:D538">
    <cfRule type="cellIs" dxfId="290" priority="47" stopIfTrue="1" operator="equal">
      <formula>"Fail"</formula>
    </cfRule>
    <cfRule type="cellIs" dxfId="289" priority="48" stopIfTrue="1" operator="equal">
      <formula>"Pass"</formula>
    </cfRule>
  </conditionalFormatting>
  <conditionalFormatting sqref="D537:D538">
    <cfRule type="cellIs" dxfId="288" priority="49" stopIfTrue="1" operator="equal">
      <formula>"Fail"</formula>
    </cfRule>
    <cfRule type="cellIs" dxfId="287" priority="50" stopIfTrue="1" operator="equal">
      <formula>"Pass"</formula>
    </cfRule>
  </conditionalFormatting>
  <conditionalFormatting sqref="D533">
    <cfRule type="cellIs" dxfId="286" priority="45" stopIfTrue="1" operator="equal">
      <formula>"Fail"</formula>
    </cfRule>
    <cfRule type="cellIs" dxfId="285" priority="46" stopIfTrue="1" operator="equal">
      <formula>"Pass"</formula>
    </cfRule>
  </conditionalFormatting>
  <conditionalFormatting sqref="D533">
    <cfRule type="cellIs" dxfId="284" priority="43" stopIfTrue="1" operator="equal">
      <formula>"Fail"</formula>
    </cfRule>
    <cfRule type="cellIs" dxfId="283" priority="44" stopIfTrue="1" operator="equal">
      <formula>"Pass"</formula>
    </cfRule>
  </conditionalFormatting>
  <conditionalFormatting sqref="D539">
    <cfRule type="cellIs" dxfId="282" priority="41" stopIfTrue="1" operator="equal">
      <formula>"Fail"</formula>
    </cfRule>
    <cfRule type="cellIs" dxfId="281" priority="42" stopIfTrue="1" operator="equal">
      <formula>"Pass"</formula>
    </cfRule>
  </conditionalFormatting>
  <conditionalFormatting sqref="D539">
    <cfRule type="cellIs" dxfId="280" priority="39" stopIfTrue="1" operator="equal">
      <formula>"Fail"</formula>
    </cfRule>
    <cfRule type="cellIs" dxfId="279" priority="40" stopIfTrue="1" operator="equal">
      <formula>"Pass"</formula>
    </cfRule>
  </conditionalFormatting>
  <conditionalFormatting sqref="I1023">
    <cfRule type="cellIs" dxfId="278" priority="33" stopIfTrue="1" operator="equal">
      <formula>"Fail"</formula>
    </cfRule>
    <cfRule type="cellIs" dxfId="277" priority="34" stopIfTrue="1" operator="equal">
      <formula>"Pass"</formula>
    </cfRule>
  </conditionalFormatting>
  <conditionalFormatting sqref="I1023">
    <cfRule type="cellIs" dxfId="276" priority="37" stopIfTrue="1" operator="equal">
      <formula>"Fail"</formula>
    </cfRule>
    <cfRule type="cellIs" dxfId="275" priority="38" stopIfTrue="1" operator="equal">
      <formula>"Pass"</formula>
    </cfRule>
  </conditionalFormatting>
  <conditionalFormatting sqref="I1023">
    <cfRule type="cellIs" dxfId="274" priority="35" stopIfTrue="1" operator="equal">
      <formula>"Fail"</formula>
    </cfRule>
    <cfRule type="cellIs" dxfId="273" priority="36" stopIfTrue="1" operator="equal">
      <formula>"Pass"</formula>
    </cfRule>
  </conditionalFormatting>
  <conditionalFormatting sqref="I1029">
    <cfRule type="cellIs" dxfId="272" priority="27" stopIfTrue="1" operator="equal">
      <formula>"Fail"</formula>
    </cfRule>
    <cfRule type="cellIs" dxfId="271" priority="28" stopIfTrue="1" operator="equal">
      <formula>"Pass"</formula>
    </cfRule>
  </conditionalFormatting>
  <conditionalFormatting sqref="I1029">
    <cfRule type="cellIs" dxfId="270" priority="31" stopIfTrue="1" operator="equal">
      <formula>"Fail"</formula>
    </cfRule>
    <cfRule type="cellIs" dxfId="269" priority="32" stopIfTrue="1" operator="equal">
      <formula>"Pass"</formula>
    </cfRule>
  </conditionalFormatting>
  <conditionalFormatting sqref="I1029">
    <cfRule type="cellIs" dxfId="268" priority="29" stopIfTrue="1" operator="equal">
      <formula>"Fail"</formula>
    </cfRule>
    <cfRule type="cellIs" dxfId="267" priority="30" stopIfTrue="1" operator="equal">
      <formula>"Pass"</formula>
    </cfRule>
  </conditionalFormatting>
  <conditionalFormatting sqref="I1078">
    <cfRule type="cellIs" dxfId="266" priority="21" stopIfTrue="1" operator="equal">
      <formula>"Fail"</formula>
    </cfRule>
    <cfRule type="cellIs" dxfId="265" priority="22" stopIfTrue="1" operator="equal">
      <formula>"Pass"</formula>
    </cfRule>
  </conditionalFormatting>
  <conditionalFormatting sqref="I1078">
    <cfRule type="cellIs" dxfId="264" priority="25" stopIfTrue="1" operator="equal">
      <formula>"Fail"</formula>
    </cfRule>
    <cfRule type="cellIs" dxfId="263" priority="26" stopIfTrue="1" operator="equal">
      <formula>"Pass"</formula>
    </cfRule>
  </conditionalFormatting>
  <conditionalFormatting sqref="I1078">
    <cfRule type="cellIs" dxfId="262" priority="23" stopIfTrue="1" operator="equal">
      <formula>"Fail"</formula>
    </cfRule>
    <cfRule type="cellIs" dxfId="261" priority="24" stopIfTrue="1" operator="equal">
      <formula>"Pass"</formula>
    </cfRule>
  </conditionalFormatting>
  <conditionalFormatting sqref="I1084">
    <cfRule type="cellIs" dxfId="260" priority="15" stopIfTrue="1" operator="equal">
      <formula>"Fail"</formula>
    </cfRule>
    <cfRule type="cellIs" dxfId="259" priority="16" stopIfTrue="1" operator="equal">
      <formula>"Pass"</formula>
    </cfRule>
  </conditionalFormatting>
  <conditionalFormatting sqref="I1084">
    <cfRule type="cellIs" dxfId="258" priority="19" stopIfTrue="1" operator="equal">
      <formula>"Fail"</formula>
    </cfRule>
    <cfRule type="cellIs" dxfId="257" priority="20" stopIfTrue="1" operator="equal">
      <formula>"Pass"</formula>
    </cfRule>
  </conditionalFormatting>
  <conditionalFormatting sqref="I1084">
    <cfRule type="cellIs" dxfId="256" priority="17" stopIfTrue="1" operator="equal">
      <formula>"Fail"</formula>
    </cfRule>
    <cfRule type="cellIs" dxfId="255" priority="18" stopIfTrue="1" operator="equal">
      <formula>"Pass"</formula>
    </cfRule>
  </conditionalFormatting>
  <conditionalFormatting sqref="D286">
    <cfRule type="cellIs" dxfId="254" priority="13" stopIfTrue="1" operator="equal">
      <formula>"Fail"</formula>
    </cfRule>
    <cfRule type="cellIs" dxfId="253" priority="14" stopIfTrue="1" operator="equal">
      <formula>"Pass"</formula>
    </cfRule>
  </conditionalFormatting>
  <conditionalFormatting sqref="D286">
    <cfRule type="cellIs" dxfId="252" priority="11" stopIfTrue="1" operator="equal">
      <formula>"Fail"</formula>
    </cfRule>
    <cfRule type="cellIs" dxfId="251" priority="12" stopIfTrue="1" operator="equal">
      <formula>"Pass"</formula>
    </cfRule>
  </conditionalFormatting>
  <conditionalFormatting sqref="D291">
    <cfRule type="cellIs" dxfId="250" priority="9" stopIfTrue="1" operator="equal">
      <formula>"Fail"</formula>
    </cfRule>
    <cfRule type="cellIs" dxfId="249" priority="10" stopIfTrue="1" operator="equal">
      <formula>"Pass"</formula>
    </cfRule>
  </conditionalFormatting>
  <conditionalFormatting sqref="D291">
    <cfRule type="cellIs" dxfId="248" priority="7" stopIfTrue="1" operator="equal">
      <formula>"Fail"</formula>
    </cfRule>
    <cfRule type="cellIs" dxfId="247" priority="8" stopIfTrue="1" operator="equal">
      <formula>"Pass"</formula>
    </cfRule>
  </conditionalFormatting>
  <conditionalFormatting sqref="I291">
    <cfRule type="cellIs" dxfId="246" priority="1" stopIfTrue="1" operator="equal">
      <formula>"Fail"</formula>
    </cfRule>
    <cfRule type="cellIs" dxfId="245" priority="2" stopIfTrue="1" operator="equal">
      <formula>"Pass"</formula>
    </cfRule>
  </conditionalFormatting>
  <conditionalFormatting sqref="I291">
    <cfRule type="cellIs" dxfId="244" priority="5" stopIfTrue="1" operator="equal">
      <formula>"Fail"</formula>
    </cfRule>
    <cfRule type="cellIs" dxfId="243" priority="6" stopIfTrue="1" operator="equal">
      <formula>"Pass"</formula>
    </cfRule>
  </conditionalFormatting>
  <conditionalFormatting sqref="I291">
    <cfRule type="cellIs" dxfId="242" priority="3" stopIfTrue="1" operator="equal">
      <formula>"Fail"</formula>
    </cfRule>
    <cfRule type="cellIs" dxfId="241" priority="4" stopIfTrue="1" operator="equal">
      <formula>"Pass"</formula>
    </cfRule>
  </conditionalFormatting>
  <dataValidations count="3">
    <dataValidation promptTitle="Select PCB Type" prompt="Please drop down list and select PCB Assembly type" sqref="C4:F4" xr:uid="{00000000-0002-0000-0000-000000000000}"/>
    <dataValidation type="list" allowBlank="1" showInputMessage="1" showErrorMessage="1" sqref="D15:H15" xr:uid="{BD2976E7-DB41-4C95-B395-14D08F185D62}">
      <formula1>INDIRECT("tblUnitType[Type]")</formula1>
    </dataValidation>
    <dataValidation type="list" allowBlank="1" showInputMessage="1" showErrorMessage="1" sqref="B94" xr:uid="{72B26831-6739-4435-A9A5-6CCEC16C78FA}">
      <formula1>INDIRECT("tblOPid[OP]")</formula1>
    </dataValidation>
  </dataValidations>
  <hyperlinks>
    <hyperlink ref="P449" r:id="rId1" display="\\shvukfs2\FIB Series\FIB35P_734 (FEI)\Test Equipment\FIB35P_734 SSATS\Final Test\Scope_Settings\Lens1_5mS.txt" xr:uid="{BCBD2B46-E1F6-4D9A-948C-EB4EF5920687}"/>
    <hyperlink ref="P455" r:id="rId2" display="\\shvukfs2\FIB Series\FIB35P_734 (FEI)\Test Equipment\FIB35P_734 SSATS\Final Test\Scope_Settings\Lens1_5mS.txt" xr:uid="{7B75BF8D-AA5E-40EA-86FE-5F3D20EFEDEF}"/>
    <hyperlink ref="P283" r:id="rId3" display="\\shvukfs2\FIB Series\FIB35P_734 (FEI)\Test Equipment\FIB35P_734 SSATS\Final Test\Scope_Settings\Lens1_5mS.txt" xr:uid="{525F0EDC-AA7B-49CA-A23A-FFAF2AA26B78}"/>
    <hyperlink ref="P288" r:id="rId4" display="\\shvukfs2\FIB Series\FIB35P_734 (FEI)\Test Equipment\FIB35P_734 SSATS\Final Test\Scope_Settings\Lens1_5mS.txt" xr:uid="{F90D8FA1-B3E3-4814-A2DB-3A871A7DC76F}"/>
    <hyperlink ref="M102" r:id="rId5" xr:uid="{7303F259-E443-4D95-9C06-4807BF79F39A}"/>
    <hyperlink ref="P529" r:id="rId6" display="\\shvukfs2\FIB Series\FIB35P_734 (FEI)\Test Equipment\FIB35P_734 SSATS\Final Test\Scope_Settings\Lens1_5mS.txt" xr:uid="{150C3022-331D-4D89-BF02-2B24E3EB2832}"/>
    <hyperlink ref="P535" r:id="rId7" display="\\shvukfs2\FIB Series\FIB35P_734 (FEI)\Test Equipment\FIB35P_734 SSATS\Final Test\Scope_Settings\Lens1_5mS.txt" xr:uid="{3B4A8B61-0CF5-4F70-A831-A0FC94298E32}"/>
    <hyperlink ref="P695" r:id="rId8" display="\\shvukfs2\FIB Series\FIB35P_734 (FEI)\Test Equipment\FIB35P_734 SSATS\Final Test\Scope_Settings\Lens1_5mS.txt" xr:uid="{12CAB042-4A0B-4449-8938-07791975DC80}"/>
    <hyperlink ref="P701" r:id="rId9" display="\\shvukfs2\FIB Series\FIB35P_734 (FEI)\Test Equipment\FIB35P_734 SSATS\Final Test\Scope_Settings\Lens1_5mS.txt" xr:uid="{9A27FF5C-2829-43C4-829F-5663CA6CDA27}"/>
    <hyperlink ref="P833" r:id="rId10" display="\\shvukfs2\FIB Series\FIB35P_734 (FEI)\Test Equipment\FIB35P_734 SSATS\Final Test\Scope_Settings\Lens1_5mS.txt" xr:uid="{F816B058-463A-4C82-8D94-140274A7D58B}"/>
    <hyperlink ref="P839" r:id="rId11" display="\\shvukfs2\FIB Series\FIB35P_734 (FEI)\Test Equipment\FIB35P_734 SSATS\Final Test\Scope_Settings\Lens1_5mS.txt" xr:uid="{E13AE25E-BDB5-439D-AB51-396A23B5A904}"/>
    <hyperlink ref="P1019" r:id="rId12" display="\\shvukfs2\FIB Series\FIB35P_734 (FEI)\Test Equipment\FIB35P_734 SSATS\Final Test\Scope_Settings\Lens1_5mS.txt" xr:uid="{EB5147F7-23B0-454A-9E5B-4FBCAFF30F76}"/>
    <hyperlink ref="P1025" r:id="rId13" display="\\shvukfs2\FIB Series\FIB35P_734 (FEI)\Test Equipment\FIB35P_734 SSATS\Final Test\Scope_Settings\Lens1_5mS.txt" xr:uid="{2672A6D0-A923-4340-A82B-6CC901F7A94A}"/>
    <hyperlink ref="P1074" r:id="rId14" display="\\shvukfs2\FIB Series\FIB35P_734 (FEI)\Test Equipment\FIB35P_734 SSATS\Final Test\Scope_Settings\Lens1_5mS.txt" xr:uid="{C1812C30-1FC6-4740-848B-E4178D3D9C9F}"/>
    <hyperlink ref="P1080" r:id="rId15" display="\\shvukfs2\FIB Series\FIB35P_734 (FEI)\Test Equipment\FIB35P_734 SSATS\Final Test\Scope_Settings\Lens1_5mS.txt" xr:uid="{74C3BD84-170D-4393-9E94-49112DFF85EF}"/>
  </hyperlinks>
  <pageMargins left="0.25" right="0.25" top="0.75" bottom="0.75" header="0.3" footer="0.3"/>
  <pageSetup paperSize="9" scale="26" fitToHeight="0" orientation="portrait" r:id="rId16"/>
  <headerFooter>
    <oddFooter>&amp;R&amp;F</oddFooter>
  </headerFooter>
  <drawing r:id="rId17"/>
  <legacyDrawing r:id="rId18"/>
  <mc:AlternateContent xmlns:mc="http://schemas.openxmlformats.org/markup-compatibility/2006">
    <mc:Choice Requires="x14">
      <controls>
        <mc:AlternateContent xmlns:mc="http://schemas.openxmlformats.org/markup-compatibility/2006">
          <mc:Choice Requires="x14">
            <control shapeId="1078" r:id="rId19" name="Button 54">
              <controlPr defaultSize="0" autoFill="0" autoPict="0" macro="[0]!processbuttons">
                <anchor moveWithCells="1" sizeWithCells="1">
                  <from>
                    <xdr:col>8</xdr:col>
                    <xdr:colOff>114300</xdr:colOff>
                    <xdr:row>31</xdr:row>
                    <xdr:rowOff>66675</xdr:rowOff>
                  </from>
                  <to>
                    <xdr:col>8</xdr:col>
                    <xdr:colOff>819150</xdr:colOff>
                    <xdr:row>31</xdr:row>
                    <xdr:rowOff>352425</xdr:rowOff>
                  </to>
                </anchor>
              </controlPr>
            </control>
          </mc:Choice>
        </mc:AlternateContent>
        <mc:AlternateContent xmlns:mc="http://schemas.openxmlformats.org/markup-compatibility/2006">
          <mc:Choice Requires="x14">
            <control shapeId="1233" r:id="rId20" name="Button 209">
              <controlPr defaultSize="0" autoFill="0" autoPict="0" macro="[0]!processbuttons">
                <anchor moveWithCells="1" sizeWithCells="1">
                  <from>
                    <xdr:col>9</xdr:col>
                    <xdr:colOff>133350</xdr:colOff>
                    <xdr:row>103</xdr:row>
                    <xdr:rowOff>123825</xdr:rowOff>
                  </from>
                  <to>
                    <xdr:col>9</xdr:col>
                    <xdr:colOff>1476375</xdr:colOff>
                    <xdr:row>103</xdr:row>
                    <xdr:rowOff>466725</xdr:rowOff>
                  </to>
                </anchor>
              </controlPr>
            </control>
          </mc:Choice>
        </mc:AlternateContent>
        <mc:AlternateContent xmlns:mc="http://schemas.openxmlformats.org/markup-compatibility/2006">
          <mc:Choice Requires="x14">
            <control shapeId="1293" r:id="rId21" name="Button 269">
              <controlPr defaultSize="0" autoFill="0" autoPict="0" macro="[0]!processbuttons">
                <anchor moveWithCells="1" sizeWithCells="1">
                  <from>
                    <xdr:col>9</xdr:col>
                    <xdr:colOff>133350</xdr:colOff>
                    <xdr:row>212</xdr:row>
                    <xdr:rowOff>123825</xdr:rowOff>
                  </from>
                  <to>
                    <xdr:col>9</xdr:col>
                    <xdr:colOff>1476375</xdr:colOff>
                    <xdr:row>212</xdr:row>
                    <xdr:rowOff>466725</xdr:rowOff>
                  </to>
                </anchor>
              </controlPr>
            </control>
          </mc:Choice>
        </mc:AlternateContent>
        <mc:AlternateContent xmlns:mc="http://schemas.openxmlformats.org/markup-compatibility/2006">
          <mc:Choice Requires="x14">
            <control shapeId="1363" r:id="rId22" name="Button 339">
              <controlPr defaultSize="0" autoFill="0" autoPict="0" macro="[0]!processbuttons">
                <anchor moveWithCells="1" sizeWithCells="1">
                  <from>
                    <xdr:col>9</xdr:col>
                    <xdr:colOff>133350</xdr:colOff>
                    <xdr:row>365</xdr:row>
                    <xdr:rowOff>123825</xdr:rowOff>
                  </from>
                  <to>
                    <xdr:col>9</xdr:col>
                    <xdr:colOff>1476375</xdr:colOff>
                    <xdr:row>365</xdr:row>
                    <xdr:rowOff>466725</xdr:rowOff>
                  </to>
                </anchor>
              </controlPr>
            </control>
          </mc:Choice>
        </mc:AlternateContent>
        <mc:AlternateContent xmlns:mc="http://schemas.openxmlformats.org/markup-compatibility/2006">
          <mc:Choice Requires="x14">
            <control shapeId="1394" r:id="rId23" name="Button 370">
              <controlPr defaultSize="0" autoFill="0" autoPict="0" macro="[0]!processbuttons">
                <anchor moveWithCells="1" sizeWithCells="1">
                  <from>
                    <xdr:col>9</xdr:col>
                    <xdr:colOff>133350</xdr:colOff>
                    <xdr:row>615</xdr:row>
                    <xdr:rowOff>123825</xdr:rowOff>
                  </from>
                  <to>
                    <xdr:col>9</xdr:col>
                    <xdr:colOff>1476375</xdr:colOff>
                    <xdr:row>615</xdr:row>
                    <xdr:rowOff>466725</xdr:rowOff>
                  </to>
                </anchor>
              </controlPr>
            </control>
          </mc:Choice>
        </mc:AlternateContent>
        <mc:AlternateContent xmlns:mc="http://schemas.openxmlformats.org/markup-compatibility/2006">
          <mc:Choice Requires="x14">
            <control shapeId="1396" r:id="rId24" name="Button 372">
              <controlPr defaultSize="0" autoFill="0" autoPict="0" macro="[0]!processbuttons">
                <anchor moveWithCells="1" sizeWithCells="1">
                  <from>
                    <xdr:col>9</xdr:col>
                    <xdr:colOff>133350</xdr:colOff>
                    <xdr:row>781</xdr:row>
                    <xdr:rowOff>123825</xdr:rowOff>
                  </from>
                  <to>
                    <xdr:col>9</xdr:col>
                    <xdr:colOff>1476375</xdr:colOff>
                    <xdr:row>781</xdr:row>
                    <xdr:rowOff>466725</xdr:rowOff>
                  </to>
                </anchor>
              </controlPr>
            </control>
          </mc:Choice>
        </mc:AlternateContent>
        <mc:AlternateContent xmlns:mc="http://schemas.openxmlformats.org/markup-compatibility/2006">
          <mc:Choice Requires="x14">
            <control shapeId="1428" r:id="rId25" name="Button 404">
              <controlPr defaultSize="0" autoFill="0" autoPict="0" macro="[0]!processbuttons">
                <anchor moveWithCells="1" sizeWithCells="1">
                  <from>
                    <xdr:col>9</xdr:col>
                    <xdr:colOff>133350</xdr:colOff>
                    <xdr:row>962</xdr:row>
                    <xdr:rowOff>123825</xdr:rowOff>
                  </from>
                  <to>
                    <xdr:col>9</xdr:col>
                    <xdr:colOff>1476375</xdr:colOff>
                    <xdr:row>962</xdr:row>
                    <xdr:rowOff>466725</xdr:rowOff>
                  </to>
                </anchor>
              </controlPr>
            </control>
          </mc:Choice>
        </mc:AlternateContent>
        <mc:AlternateContent xmlns:mc="http://schemas.openxmlformats.org/markup-compatibility/2006">
          <mc:Choice Requires="x14">
            <control shapeId="1429" r:id="rId26" name="Button 405">
              <controlPr defaultSize="0" autoFill="0" autoPict="0" macro="[0]!processbuttons">
                <anchor moveWithCells="1" sizeWithCells="1">
                  <from>
                    <xdr:col>9</xdr:col>
                    <xdr:colOff>133350</xdr:colOff>
                    <xdr:row>1156</xdr:row>
                    <xdr:rowOff>123825</xdr:rowOff>
                  </from>
                  <to>
                    <xdr:col>9</xdr:col>
                    <xdr:colOff>1476375</xdr:colOff>
                    <xdr:row>1156</xdr:row>
                    <xdr:rowOff>466725</xdr:rowOff>
                  </to>
                </anchor>
              </controlPr>
            </control>
          </mc:Choice>
        </mc:AlternateContent>
        <mc:AlternateContent xmlns:mc="http://schemas.openxmlformats.org/markup-compatibility/2006">
          <mc:Choice Requires="x14">
            <control shapeId="1433" r:id="rId27" name="Button 409">
              <controlPr defaultSize="0" autoFill="0" autoPict="0" macro="[0]!processbuttons">
                <anchor moveWithCells="1" sizeWithCells="1">
                  <from>
                    <xdr:col>9</xdr:col>
                    <xdr:colOff>85725</xdr:colOff>
                    <xdr:row>99</xdr:row>
                    <xdr:rowOff>66675</xdr:rowOff>
                  </from>
                  <to>
                    <xdr:col>9</xdr:col>
                    <xdr:colOff>1552575</xdr:colOff>
                    <xdr:row>99</xdr:row>
                    <xdr:rowOff>523875</xdr:rowOff>
                  </to>
                </anchor>
              </controlPr>
            </control>
          </mc:Choice>
        </mc:AlternateContent>
        <mc:AlternateContent xmlns:mc="http://schemas.openxmlformats.org/markup-compatibility/2006">
          <mc:Choice Requires="x14">
            <control shapeId="1434" r:id="rId28" name="Button 410">
              <controlPr defaultSize="0" print="0" autoFill="0" autoPict="0" macro="[0]!ChangeDiag">
                <anchor moveWithCells="1" sizeWithCells="1">
                  <from>
                    <xdr:col>1</xdr:col>
                    <xdr:colOff>3429000</xdr:colOff>
                    <xdr:row>40</xdr:row>
                    <xdr:rowOff>104775</xdr:rowOff>
                  </from>
                  <to>
                    <xdr:col>2</xdr:col>
                    <xdr:colOff>971550</xdr:colOff>
                    <xdr:row>42</xdr:row>
                    <xdr:rowOff>28575</xdr:rowOff>
                  </to>
                </anchor>
              </controlPr>
            </control>
          </mc:Choice>
        </mc:AlternateContent>
        <mc:AlternateContent xmlns:mc="http://schemas.openxmlformats.org/markup-compatibility/2006">
          <mc:Choice Requires="x14">
            <control shapeId="1435" r:id="rId29" name="Button 411">
              <controlPr defaultSize="0" print="0" autoFill="0" autoPict="0" macro="[0]!ChangeDiag">
                <anchor moveWithCells="1" sizeWithCells="1">
                  <from>
                    <xdr:col>2</xdr:col>
                    <xdr:colOff>971550</xdr:colOff>
                    <xdr:row>40</xdr:row>
                    <xdr:rowOff>104775</xdr:rowOff>
                  </from>
                  <to>
                    <xdr:col>3</xdr:col>
                    <xdr:colOff>962025</xdr:colOff>
                    <xdr:row>42</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2DC1731-6338-46D3-9DDD-3A1014832C54}">
          <x14:formula1>
            <xm:f>ATE_Settings!#REF!</xm:f>
          </x14:formula1>
          <xm:sqref>K214:K215 K1159 K618 K368 K784 K966 K122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24763-0F4F-49A0-93D5-467F2F2F9C0F}">
  <sheetPr codeName="Sheet6"/>
  <dimension ref="A1:H121"/>
  <sheetViews>
    <sheetView topLeftCell="A110" workbookViewId="0">
      <selection activeCell="A121" sqref="A121"/>
    </sheetView>
  </sheetViews>
  <sheetFormatPr defaultRowHeight="45.75" customHeight="1"/>
  <cols>
    <col min="1" max="1" width="44.5703125" style="43" customWidth="1"/>
    <col min="2" max="8" width="21.7109375" style="43" customWidth="1"/>
    <col min="9" max="9" width="9.140625" style="43" bestFit="1" customWidth="1"/>
    <col min="10" max="10" width="12.140625" style="43" bestFit="1" customWidth="1"/>
    <col min="11" max="11" width="11.28515625" style="43" bestFit="1" customWidth="1"/>
    <col min="12" max="12" width="30.85546875" style="43" bestFit="1" customWidth="1"/>
    <col min="13" max="13" width="18.7109375" style="43" bestFit="1" customWidth="1"/>
    <col min="14" max="14" width="8" style="43" bestFit="1" customWidth="1"/>
    <col min="15" max="15" width="14.7109375" style="43" bestFit="1" customWidth="1"/>
    <col min="16" max="16" width="10" style="43" bestFit="1" customWidth="1"/>
    <col min="17" max="17" width="7.28515625" style="43" bestFit="1" customWidth="1"/>
    <col min="18" max="18" width="11.28515625" style="43" bestFit="1" customWidth="1"/>
    <col min="19" max="16384" width="9.140625" style="43"/>
  </cols>
  <sheetData>
    <row r="1" spans="1:8" ht="20.25" customHeight="1" thickBot="1">
      <c r="A1" s="651" t="s">
        <v>167</v>
      </c>
      <c r="B1" s="651"/>
      <c r="C1" s="651"/>
    </row>
    <row r="2" spans="1:8" ht="20.25" customHeight="1">
      <c r="A2" s="101" t="s">
        <v>168</v>
      </c>
      <c r="B2" s="102" t="s">
        <v>169</v>
      </c>
      <c r="C2" s="103"/>
    </row>
    <row r="3" spans="1:8" ht="20.25" customHeight="1">
      <c r="A3" s="104"/>
      <c r="B3" s="105" t="s">
        <v>170</v>
      </c>
      <c r="C3" s="448" t="str">
        <f>overall_result</f>
        <v>Incomplete</v>
      </c>
    </row>
    <row r="4" spans="1:8" ht="20.25" customHeight="1">
      <c r="A4" s="104"/>
      <c r="B4" s="105" t="s">
        <v>172</v>
      </c>
      <c r="C4" s="449">
        <v>44832.698113425926</v>
      </c>
    </row>
    <row r="5" spans="1:8" ht="20.25" customHeight="1" thickBot="1">
      <c r="A5" s="106"/>
      <c r="B5" s="107" t="s">
        <v>171</v>
      </c>
      <c r="C5" s="450" t="s">
        <v>173</v>
      </c>
    </row>
    <row r="6" spans="1:8" ht="45.75" customHeight="1" thickBot="1"/>
    <row r="7" spans="1:8" ht="45.75" customHeight="1" thickBot="1">
      <c r="A7" s="651" t="s">
        <v>174</v>
      </c>
      <c r="B7" s="651"/>
      <c r="C7" s="651"/>
      <c r="D7" s="651"/>
      <c r="E7" s="651"/>
      <c r="F7" s="651"/>
      <c r="G7" s="651"/>
      <c r="H7" s="651"/>
    </row>
    <row r="8" spans="1:8" ht="45.75" customHeight="1" thickBot="1">
      <c r="A8" s="108" t="s">
        <v>175</v>
      </c>
      <c r="B8" s="109" t="s">
        <v>176</v>
      </c>
      <c r="C8" s="109" t="s">
        <v>177</v>
      </c>
      <c r="D8" s="109" t="s">
        <v>178</v>
      </c>
      <c r="E8" s="109" t="s">
        <v>179</v>
      </c>
      <c r="F8" s="109" t="s">
        <v>180</v>
      </c>
      <c r="G8" s="109" t="s">
        <v>181</v>
      </c>
      <c r="H8" s="110" t="s">
        <v>182</v>
      </c>
    </row>
    <row r="9" spans="1:8" ht="45.75" customHeight="1" thickBot="1">
      <c r="A9" s="230" t="str">
        <f t="shared" ref="A9:A36" si="0">C9</f>
        <v>Lens 2 Buck</v>
      </c>
      <c r="B9" s="231">
        <f>Test!A127</f>
        <v>1.0900000000000001</v>
      </c>
      <c r="C9" s="231" t="str">
        <f>Test!B127</f>
        <v>Lens 2 Buck</v>
      </c>
      <c r="D9" s="231">
        <f>Test!E127</f>
        <v>0</v>
      </c>
      <c r="E9" s="231">
        <f>Test!F127</f>
        <v>10</v>
      </c>
      <c r="F9" s="231">
        <f>Test!G127</f>
        <v>50</v>
      </c>
      <c r="G9" s="231" t="str">
        <f>Test!H127</f>
        <v>°C</v>
      </c>
      <c r="H9" s="232" t="str">
        <f>Test!I127</f>
        <v>TBC</v>
      </c>
    </row>
    <row r="10" spans="1:8" ht="45.75" customHeight="1" thickBot="1">
      <c r="A10" s="230" t="str">
        <f t="shared" si="0"/>
        <v>Lens 2 Pos Control</v>
      </c>
      <c r="B10" s="231">
        <f>Test!A128</f>
        <v>1.1000000000000001</v>
      </c>
      <c r="C10" s="231" t="str">
        <f>Test!B128</f>
        <v>Lens 2 Pos Control</v>
      </c>
      <c r="D10" s="231">
        <f>Test!E128</f>
        <v>0</v>
      </c>
      <c r="E10" s="231">
        <f>Test!F128</f>
        <v>10</v>
      </c>
      <c r="F10" s="231">
        <f>Test!G128</f>
        <v>50</v>
      </c>
      <c r="G10" s="231" t="str">
        <f>Test!H128</f>
        <v>°C</v>
      </c>
      <c r="H10" s="232" t="str">
        <f>Test!I128</f>
        <v>TBC</v>
      </c>
    </row>
    <row r="11" spans="1:8" ht="45.75" customHeight="1" thickBot="1">
      <c r="A11" s="230" t="str">
        <f t="shared" si="0"/>
        <v>Lens 2 Neg Control</v>
      </c>
      <c r="B11" s="231">
        <f>Test!A129</f>
        <v>1.1100000000000001</v>
      </c>
      <c r="C11" s="231" t="str">
        <f>Test!B129</f>
        <v>Lens 2 Neg Control</v>
      </c>
      <c r="D11" s="231">
        <f>Test!E129</f>
        <v>0</v>
      </c>
      <c r="E11" s="231">
        <f>Test!F129</f>
        <v>10</v>
      </c>
      <c r="F11" s="231">
        <f>Test!G129</f>
        <v>50</v>
      </c>
      <c r="G11" s="231" t="str">
        <f>Test!H129</f>
        <v>°C</v>
      </c>
      <c r="H11" s="232" t="str">
        <f>Test!I129</f>
        <v>TBC</v>
      </c>
    </row>
    <row r="12" spans="1:8" ht="45.75" customHeight="1" thickBot="1">
      <c r="A12" s="230" t="str">
        <f t="shared" si="0"/>
        <v>Lens 2 Regulator</v>
      </c>
      <c r="B12" s="231">
        <f>Test!A130</f>
        <v>1.1200000000000001</v>
      </c>
      <c r="C12" s="231" t="str">
        <f>Test!B130</f>
        <v>Lens 2 Regulator</v>
      </c>
      <c r="D12" s="231">
        <f>Test!E130</f>
        <v>0</v>
      </c>
      <c r="E12" s="231">
        <f>Test!F130</f>
        <v>10</v>
      </c>
      <c r="F12" s="231">
        <f>Test!G130</f>
        <v>50</v>
      </c>
      <c r="G12" s="231" t="str">
        <f>Test!H130</f>
        <v>°C</v>
      </c>
      <c r="H12" s="232" t="str">
        <f>Test!I130</f>
        <v>TBC</v>
      </c>
    </row>
    <row r="13" spans="1:8" ht="45.75" customHeight="1" thickBot="1">
      <c r="A13" s="230" t="str">
        <f t="shared" si="0"/>
        <v>ISO Buck</v>
      </c>
      <c r="B13" s="231">
        <f>Test!A131</f>
        <v>1.1299999999999999</v>
      </c>
      <c r="C13" s="231" t="str">
        <f>Test!B131</f>
        <v>ISO Buck</v>
      </c>
      <c r="D13" s="231">
        <f>Test!E131</f>
        <v>0</v>
      </c>
      <c r="E13" s="231">
        <f>Test!F131</f>
        <v>10</v>
      </c>
      <c r="F13" s="231">
        <f>Test!G131</f>
        <v>50</v>
      </c>
      <c r="G13" s="231" t="str">
        <f>Test!H131</f>
        <v>°C</v>
      </c>
      <c r="H13" s="232" t="str">
        <f>Test!I131</f>
        <v>TBC</v>
      </c>
    </row>
    <row r="14" spans="1:8" ht="45.75" customHeight="1" thickBot="1">
      <c r="A14" s="230" t="str">
        <f t="shared" si="0"/>
        <v>ISO Control</v>
      </c>
      <c r="B14" s="231">
        <f>Test!A132</f>
        <v>1.1399999999999999</v>
      </c>
      <c r="C14" s="231" t="str">
        <f>Test!B132</f>
        <v>ISO Control</v>
      </c>
      <c r="D14" s="231">
        <f>Test!E132</f>
        <v>0</v>
      </c>
      <c r="E14" s="231">
        <f>Test!F132</f>
        <v>10</v>
      </c>
      <c r="F14" s="231">
        <f>Test!G132</f>
        <v>50</v>
      </c>
      <c r="G14" s="231" t="str">
        <f>Test!H132</f>
        <v>°C</v>
      </c>
      <c r="H14" s="232" t="str">
        <f>Test!I132</f>
        <v>TBC</v>
      </c>
    </row>
    <row r="15" spans="1:8" ht="45.75" customHeight="1" thickBot="1">
      <c r="A15" s="230" t="str">
        <f t="shared" si="0"/>
        <v>Suppressor Control</v>
      </c>
      <c r="B15" s="231">
        <f>Test!A133</f>
        <v>1.1499999999999999</v>
      </c>
      <c r="C15" s="231" t="str">
        <f>Test!B133</f>
        <v>Suppressor Control</v>
      </c>
      <c r="D15" s="231">
        <f>Test!E133</f>
        <v>0</v>
      </c>
      <c r="E15" s="231">
        <f>Test!F133</f>
        <v>10</v>
      </c>
      <c r="F15" s="231">
        <f>Test!G133</f>
        <v>50</v>
      </c>
      <c r="G15" s="231" t="str">
        <f>Test!H133</f>
        <v>°C</v>
      </c>
      <c r="H15" s="232" t="str">
        <f>Test!I133</f>
        <v>TBC</v>
      </c>
    </row>
    <row r="16" spans="1:8" ht="45.75" customHeight="1" thickBot="1">
      <c r="A16" s="230" t="str">
        <f t="shared" si="0"/>
        <v>Suppressor Regulator</v>
      </c>
      <c r="B16" s="231">
        <f>Test!A134</f>
        <v>1.1599999999999999</v>
      </c>
      <c r="C16" s="231" t="str">
        <f>Test!B134</f>
        <v>Suppressor Regulator</v>
      </c>
      <c r="D16" s="231">
        <f>Test!E134</f>
        <v>0</v>
      </c>
      <c r="E16" s="231">
        <f>Test!F134</f>
        <v>10</v>
      </c>
      <c r="F16" s="231">
        <f>Test!G134</f>
        <v>50</v>
      </c>
      <c r="G16" s="231" t="str">
        <f>Test!H134</f>
        <v>°C</v>
      </c>
      <c r="H16" s="232" t="str">
        <f>Test!I134</f>
        <v>TBC</v>
      </c>
    </row>
    <row r="17" spans="1:8" ht="45.75" customHeight="1" thickBot="1">
      <c r="A17" s="230" t="str">
        <f t="shared" si="0"/>
        <v>Extractor Buck</v>
      </c>
      <c r="B17" s="231">
        <f>Test!A135</f>
        <v>1.17</v>
      </c>
      <c r="C17" s="231" t="str">
        <f>Test!B135</f>
        <v>Extractor Buck</v>
      </c>
      <c r="D17" s="231">
        <f>Test!E135</f>
        <v>0</v>
      </c>
      <c r="E17" s="231">
        <f>Test!F135</f>
        <v>10</v>
      </c>
      <c r="F17" s="231">
        <f>Test!G135</f>
        <v>50</v>
      </c>
      <c r="G17" s="231" t="str">
        <f>Test!H135</f>
        <v>°C</v>
      </c>
      <c r="H17" s="232" t="str">
        <f>Test!I135</f>
        <v>TBC</v>
      </c>
    </row>
    <row r="18" spans="1:8" ht="45.75" customHeight="1" thickBot="1">
      <c r="A18" s="230" t="str">
        <f t="shared" si="0"/>
        <v>Extractor Control</v>
      </c>
      <c r="B18" s="231">
        <f>Test!A136</f>
        <v>1.18</v>
      </c>
      <c r="C18" s="231" t="str">
        <f>Test!B136</f>
        <v>Extractor Control</v>
      </c>
      <c r="D18" s="231">
        <f>Test!E136</f>
        <v>0</v>
      </c>
      <c r="E18" s="231">
        <f>Test!F136</f>
        <v>10</v>
      </c>
      <c r="F18" s="231">
        <f>Test!G136</f>
        <v>50</v>
      </c>
      <c r="G18" s="231" t="str">
        <f>Test!H136</f>
        <v>°C</v>
      </c>
      <c r="H18" s="232" t="str">
        <f>Test!I136</f>
        <v>TBC</v>
      </c>
    </row>
    <row r="19" spans="1:8" ht="45.75" customHeight="1" thickBot="1">
      <c r="A19" s="230" t="str">
        <f t="shared" si="0"/>
        <v>Extractor Regulator</v>
      </c>
      <c r="B19" s="231">
        <f>Test!A137</f>
        <v>1.19</v>
      </c>
      <c r="C19" s="231" t="str">
        <f>Test!B137</f>
        <v>Extractor Regulator</v>
      </c>
      <c r="D19" s="231">
        <f>Test!E137</f>
        <v>0</v>
      </c>
      <c r="E19" s="231">
        <f>Test!F137</f>
        <v>10</v>
      </c>
      <c r="F19" s="231">
        <f>Test!G137</f>
        <v>50</v>
      </c>
      <c r="G19" s="231" t="str">
        <f>Test!H137</f>
        <v>°C</v>
      </c>
      <c r="H19" s="232" t="str">
        <f>Test!I137</f>
        <v>TBC</v>
      </c>
    </row>
    <row r="20" spans="1:8" ht="45.75" customHeight="1" thickBot="1">
      <c r="A20" s="230" t="str">
        <f t="shared" si="0"/>
        <v>Filament</v>
      </c>
      <c r="B20" s="231">
        <f>Test!A138</f>
        <v>1.2</v>
      </c>
      <c r="C20" s="231" t="str">
        <f>Test!B138</f>
        <v>Filament</v>
      </c>
      <c r="D20" s="231">
        <f>Test!E138</f>
        <v>0</v>
      </c>
      <c r="E20" s="231">
        <f>Test!F138</f>
        <v>10</v>
      </c>
      <c r="F20" s="231">
        <f>Test!G138</f>
        <v>50</v>
      </c>
      <c r="G20" s="231" t="str">
        <f>Test!H138</f>
        <v>°C</v>
      </c>
      <c r="H20" s="232" t="str">
        <f>Test!I138</f>
        <v>TBC</v>
      </c>
    </row>
    <row r="21" spans="1:8" ht="45.75" customHeight="1" thickBot="1">
      <c r="A21" s="230" t="str">
        <f t="shared" si="0"/>
        <v>Accelerator Buck</v>
      </c>
      <c r="B21" s="231">
        <f>Test!A139</f>
        <v>1.21</v>
      </c>
      <c r="C21" s="231" t="str">
        <f>Test!B139</f>
        <v>Accelerator Buck</v>
      </c>
      <c r="D21" s="231">
        <f>Test!E139</f>
        <v>0</v>
      </c>
      <c r="E21" s="231">
        <f>Test!F139</f>
        <v>10</v>
      </c>
      <c r="F21" s="231">
        <f>Test!G139</f>
        <v>50</v>
      </c>
      <c r="G21" s="231" t="str">
        <f>Test!H139</f>
        <v>°C</v>
      </c>
      <c r="H21" s="232" t="str">
        <f>Test!I139</f>
        <v>TBC</v>
      </c>
    </row>
    <row r="22" spans="1:8" ht="45.75" customHeight="1" thickBot="1">
      <c r="A22" s="230" t="str">
        <f t="shared" si="0"/>
        <v>Accelerator Control</v>
      </c>
      <c r="B22" s="231">
        <f>Test!A140</f>
        <v>1.22</v>
      </c>
      <c r="C22" s="231" t="str">
        <f>Test!B140</f>
        <v>Accelerator Control</v>
      </c>
      <c r="D22" s="231">
        <f>Test!E140</f>
        <v>0</v>
      </c>
      <c r="E22" s="231">
        <f>Test!F140</f>
        <v>10</v>
      </c>
      <c r="F22" s="231">
        <f>Test!G140</f>
        <v>50</v>
      </c>
      <c r="G22" s="231" t="str">
        <f>Test!H140</f>
        <v>°C</v>
      </c>
      <c r="H22" s="232" t="str">
        <f>Test!I140</f>
        <v>TBC</v>
      </c>
    </row>
    <row r="23" spans="1:8" ht="45.75" customHeight="1" thickBot="1">
      <c r="A23" s="230" t="str">
        <f t="shared" si="0"/>
        <v>Accelerator Regulator</v>
      </c>
      <c r="B23" s="231">
        <f>Test!A141</f>
        <v>1.23</v>
      </c>
      <c r="C23" s="231" t="str">
        <f>Test!B141</f>
        <v>Accelerator Regulator</v>
      </c>
      <c r="D23" s="231">
        <f>Test!E141</f>
        <v>0</v>
      </c>
      <c r="E23" s="231">
        <f>Test!F141</f>
        <v>10</v>
      </c>
      <c r="F23" s="231">
        <f>Test!G141</f>
        <v>50</v>
      </c>
      <c r="G23" s="231" t="str">
        <f>Test!H141</f>
        <v>°C</v>
      </c>
      <c r="H23" s="232" t="str">
        <f>Test!I141</f>
        <v>TBC</v>
      </c>
    </row>
    <row r="24" spans="1:8" ht="45.75" customHeight="1" thickBot="1">
      <c r="A24" s="230" t="str">
        <f t="shared" si="0"/>
        <v>Lens 1 Buck</v>
      </c>
      <c r="B24" s="231">
        <f>Test!A142</f>
        <v>1.24</v>
      </c>
      <c r="C24" s="231" t="str">
        <f>Test!B142</f>
        <v>Lens 1 Buck</v>
      </c>
      <c r="D24" s="231">
        <f>Test!E142</f>
        <v>0</v>
      </c>
      <c r="E24" s="231">
        <f>Test!F142</f>
        <v>10</v>
      </c>
      <c r="F24" s="231">
        <f>Test!G142</f>
        <v>50</v>
      </c>
      <c r="G24" s="231" t="str">
        <f>Test!H142</f>
        <v>°C</v>
      </c>
      <c r="H24" s="232" t="str">
        <f>Test!I142</f>
        <v>TBC</v>
      </c>
    </row>
    <row r="25" spans="1:8" ht="45.75" customHeight="1" thickBot="1">
      <c r="A25" s="230" t="str">
        <f t="shared" si="0"/>
        <v>Lens 1 Control</v>
      </c>
      <c r="B25" s="231">
        <f>Test!A143</f>
        <v>1.25</v>
      </c>
      <c r="C25" s="231" t="str">
        <f>Test!B143</f>
        <v>Lens 1 Control</v>
      </c>
      <c r="D25" s="231">
        <f>Test!E143</f>
        <v>0</v>
      </c>
      <c r="E25" s="231">
        <f>Test!F143</f>
        <v>10</v>
      </c>
      <c r="F25" s="231">
        <f>Test!G143</f>
        <v>50</v>
      </c>
      <c r="G25" s="231" t="str">
        <f>Test!H143</f>
        <v>°C</v>
      </c>
      <c r="H25" s="232" t="str">
        <f>Test!I143</f>
        <v>TBC</v>
      </c>
    </row>
    <row r="26" spans="1:8" ht="45.75" customHeight="1" thickBot="1">
      <c r="A26" s="230" t="str">
        <f t="shared" si="0"/>
        <v>Lens 1 Regulator</v>
      </c>
      <c r="B26" s="231">
        <f>Test!A144</f>
        <v>1.26</v>
      </c>
      <c r="C26" s="231" t="str">
        <f>Test!B144</f>
        <v>Lens 1 Regulator</v>
      </c>
      <c r="D26" s="231">
        <f>Test!E144</f>
        <v>0</v>
      </c>
      <c r="E26" s="231">
        <f>Test!F144</f>
        <v>10</v>
      </c>
      <c r="F26" s="231">
        <f>Test!G144</f>
        <v>50</v>
      </c>
      <c r="G26" s="231" t="str">
        <f>Test!H144</f>
        <v>°C</v>
      </c>
      <c r="H26" s="232" t="str">
        <f>Test!I144</f>
        <v>TBC</v>
      </c>
    </row>
    <row r="27" spans="1:8" ht="45.75" customHeight="1" thickBot="1">
      <c r="A27" s="230" t="str">
        <f t="shared" si="0"/>
        <v>Positive 3v3 Ground</v>
      </c>
      <c r="B27" s="231">
        <f>Test!A149</f>
        <v>1.27</v>
      </c>
      <c r="C27" s="231" t="str">
        <f>Test!B149</f>
        <v>Positive 3v3 Ground</v>
      </c>
      <c r="D27" s="231">
        <f>Test!E149</f>
        <v>0</v>
      </c>
      <c r="E27" s="231">
        <f>Test!F149</f>
        <v>3.1</v>
      </c>
      <c r="F27" s="231">
        <f>Test!G149</f>
        <v>3.5</v>
      </c>
      <c r="G27" s="231" t="str">
        <f>Test!H149</f>
        <v>V</v>
      </c>
      <c r="H27" s="232" t="str">
        <f>Test!I149</f>
        <v>TBC</v>
      </c>
    </row>
    <row r="28" spans="1:8" ht="45.75" customHeight="1" thickBot="1">
      <c r="A28" s="230" t="str">
        <f t="shared" si="0"/>
        <v>Positive 5V Ground</v>
      </c>
      <c r="B28" s="231">
        <f>Test!A150</f>
        <v>1.28</v>
      </c>
      <c r="C28" s="231" t="str">
        <f>Test!B150</f>
        <v>Positive 5V Ground</v>
      </c>
      <c r="D28" s="231">
        <f>Test!E150</f>
        <v>0</v>
      </c>
      <c r="E28" s="231">
        <f>Test!F150</f>
        <v>4.8</v>
      </c>
      <c r="F28" s="231">
        <f>Test!G150</f>
        <v>5.2</v>
      </c>
      <c r="G28" s="231" t="str">
        <f>Test!H150</f>
        <v>V</v>
      </c>
      <c r="H28" s="232" t="str">
        <f>Test!I150</f>
        <v>TBC</v>
      </c>
    </row>
    <row r="29" spans="1:8" ht="45.75" customHeight="1" thickBot="1">
      <c r="A29" s="230" t="str">
        <f t="shared" si="0"/>
        <v>Positive 15V Ground</v>
      </c>
      <c r="B29" s="231">
        <f>Test!A151</f>
        <v>1.29</v>
      </c>
      <c r="C29" s="231" t="str">
        <f>Test!B151</f>
        <v>Positive 15V Ground</v>
      </c>
      <c r="D29" s="231">
        <f>Test!E151</f>
        <v>0</v>
      </c>
      <c r="E29" s="231">
        <f>Test!F151</f>
        <v>12.5</v>
      </c>
      <c r="F29" s="231">
        <f>Test!G151</f>
        <v>15.5</v>
      </c>
      <c r="G29" s="231" t="str">
        <f>Test!H151</f>
        <v>V</v>
      </c>
      <c r="H29" s="232" t="str">
        <f>Test!I151</f>
        <v>TBC</v>
      </c>
    </row>
    <row r="30" spans="1:8" ht="45.75" customHeight="1" thickBot="1">
      <c r="A30" s="230" t="str">
        <f t="shared" si="0"/>
        <v>Positive 24V Ground</v>
      </c>
      <c r="B30" s="231">
        <f>Test!A152</f>
        <v>1.3</v>
      </c>
      <c r="C30" s="231" t="str">
        <f>Test!B152</f>
        <v>Positive 24V Ground</v>
      </c>
      <c r="D30" s="231">
        <f>Test!E152</f>
        <v>0</v>
      </c>
      <c r="E30" s="231">
        <f>Test!F152</f>
        <v>23.5</v>
      </c>
      <c r="F30" s="231">
        <f>Test!G152</f>
        <v>24.5</v>
      </c>
      <c r="G30" s="231" t="str">
        <f>Test!H152</f>
        <v>V</v>
      </c>
      <c r="H30" s="232" t="str">
        <f>Test!I152</f>
        <v>TBC</v>
      </c>
    </row>
    <row r="31" spans="1:8" ht="45.75" customHeight="1" thickBot="1">
      <c r="A31" s="230" t="str">
        <f t="shared" si="0"/>
        <v>Negative 15V Ground</v>
      </c>
      <c r="B31" s="231">
        <f>Test!A153</f>
        <v>1.31</v>
      </c>
      <c r="C31" s="231" t="str">
        <f>Test!B153</f>
        <v>Negative 15V Ground</v>
      </c>
      <c r="D31" s="231">
        <f>Test!E153</f>
        <v>0</v>
      </c>
      <c r="E31" s="231">
        <f>Test!F153</f>
        <v>12.5</v>
      </c>
      <c r="F31" s="231">
        <f>Test!G153</f>
        <v>15.5</v>
      </c>
      <c r="G31" s="231" t="str">
        <f>Test!H153</f>
        <v>V</v>
      </c>
      <c r="H31" s="232" t="str">
        <f>Test!I153</f>
        <v>TBC</v>
      </c>
    </row>
    <row r="32" spans="1:8" ht="45.75" customHeight="1" thickBot="1">
      <c r="A32" s="230" t="str">
        <f t="shared" si="0"/>
        <v>Positive 3v3 Float</v>
      </c>
      <c r="B32" s="231">
        <f>Test!A154</f>
        <v>1.32</v>
      </c>
      <c r="C32" s="231" t="str">
        <f>Test!B154</f>
        <v>Positive 3v3 Float</v>
      </c>
      <c r="D32" s="231">
        <f>Test!E154</f>
        <v>0</v>
      </c>
      <c r="E32" s="231">
        <f>Test!F154</f>
        <v>3.1</v>
      </c>
      <c r="F32" s="231">
        <f>Test!G154</f>
        <v>3.5</v>
      </c>
      <c r="G32" s="231" t="str">
        <f>Test!H154</f>
        <v>V</v>
      </c>
      <c r="H32" s="232" t="str">
        <f>Test!I154</f>
        <v>TBC</v>
      </c>
    </row>
    <row r="33" spans="1:8" ht="45.75" customHeight="1" thickBot="1">
      <c r="A33" s="230" t="str">
        <f t="shared" si="0"/>
        <v>Positive 5V Float</v>
      </c>
      <c r="B33" s="231">
        <f>Test!A155</f>
        <v>1.33</v>
      </c>
      <c r="C33" s="231" t="str">
        <f>Test!B155</f>
        <v>Positive 5V Float</v>
      </c>
      <c r="D33" s="231">
        <f>Test!E155</f>
        <v>0</v>
      </c>
      <c r="E33" s="231">
        <f>Test!F155</f>
        <v>4.8</v>
      </c>
      <c r="F33" s="231">
        <f>Test!G155</f>
        <v>5.2</v>
      </c>
      <c r="G33" s="231" t="str">
        <f>Test!H155</f>
        <v>V</v>
      </c>
      <c r="H33" s="232" t="str">
        <f>Test!I155</f>
        <v>TBC</v>
      </c>
    </row>
    <row r="34" spans="1:8" ht="45.75" customHeight="1" thickBot="1">
      <c r="A34" s="230" t="str">
        <f t="shared" si="0"/>
        <v>Positive 15V Float</v>
      </c>
      <c r="B34" s="231">
        <f>Test!A156</f>
        <v>1.34</v>
      </c>
      <c r="C34" s="231" t="str">
        <f>Test!B156</f>
        <v>Positive 15V Float</v>
      </c>
      <c r="D34" s="231">
        <f>Test!E156</f>
        <v>0</v>
      </c>
      <c r="E34" s="231">
        <f>Test!F156</f>
        <v>12.5</v>
      </c>
      <c r="F34" s="231">
        <f>Test!G156</f>
        <v>15.5</v>
      </c>
      <c r="G34" s="231" t="str">
        <f>Test!H156</f>
        <v>V</v>
      </c>
      <c r="H34" s="232" t="str">
        <f>Test!I156</f>
        <v>TBC</v>
      </c>
    </row>
    <row r="35" spans="1:8" ht="45.75" customHeight="1" thickBot="1">
      <c r="A35" s="230" t="str">
        <f t="shared" si="0"/>
        <v>Positive 24V Float</v>
      </c>
      <c r="B35" s="231">
        <f>Test!A157</f>
        <v>1.35</v>
      </c>
      <c r="C35" s="231" t="str">
        <f>Test!B157</f>
        <v>Positive 24V Float</v>
      </c>
      <c r="D35" s="231">
        <f>Test!E157</f>
        <v>0</v>
      </c>
      <c r="E35" s="231">
        <f>Test!F157</f>
        <v>23.5</v>
      </c>
      <c r="F35" s="231">
        <f>Test!G157</f>
        <v>24.5</v>
      </c>
      <c r="G35" s="231" t="str">
        <f>Test!H157</f>
        <v>V</v>
      </c>
      <c r="H35" s="232" t="str">
        <f>Test!I157</f>
        <v>TBC</v>
      </c>
    </row>
    <row r="36" spans="1:8" ht="45.75" customHeight="1" thickBot="1">
      <c r="A36" s="230" t="str">
        <f t="shared" si="0"/>
        <v>Negative 15V Float</v>
      </c>
      <c r="B36" s="231">
        <f>Test!A158</f>
        <v>1.36</v>
      </c>
      <c r="C36" s="231" t="str">
        <f>Test!B158</f>
        <v>Negative 15V Float</v>
      </c>
      <c r="D36" s="231">
        <f>Test!E158</f>
        <v>0</v>
      </c>
      <c r="E36" s="231">
        <f>Test!F158</f>
        <v>12.5</v>
      </c>
      <c r="F36" s="231">
        <f>Test!G158</f>
        <v>15.5</v>
      </c>
      <c r="G36" s="231" t="str">
        <f>Test!H158</f>
        <v>V</v>
      </c>
      <c r="H36" s="232" t="str">
        <f>Test!I158</f>
        <v>TBC</v>
      </c>
    </row>
    <row r="37" spans="1:8" ht="45.75" customHeight="1" thickBot="1">
      <c r="A37" s="230" t="str">
        <f t="shared" ref="A37" si="1">C37</f>
        <v>L1 Current Limit (uA)</v>
      </c>
      <c r="B37" s="231">
        <f>Test!A231</f>
        <v>2.0099999999999998</v>
      </c>
      <c r="C37" s="231" t="str">
        <f>Test!B231</f>
        <v>L1 Current Limit (uA)</v>
      </c>
      <c r="D37" s="231" t="str">
        <f>Test!E231</f>
        <v>[AUTO]</v>
      </c>
      <c r="E37" s="231">
        <f ca="1">Test!F231</f>
        <v>30</v>
      </c>
      <c r="F37" s="231">
        <f ca="1">Test!G231</f>
        <v>33</v>
      </c>
      <c r="G37" s="231" t="str">
        <f ca="1">Test!H231</f>
        <v>uA</v>
      </c>
      <c r="H37" s="232" t="str">
        <f>Test!I231</f>
        <v>TBC</v>
      </c>
    </row>
    <row r="38" spans="1:8" ht="45.75" customHeight="1" thickBot="1">
      <c r="A38" s="230" t="str">
        <f>_xlfn.CONCAT(C38," Off Load Min")</f>
        <v>L1 Vout (V) Off Load Min</v>
      </c>
      <c r="B38" s="231">
        <f>Test!A250</f>
        <v>2.02</v>
      </c>
      <c r="C38" s="231" t="str">
        <f>Test!B250</f>
        <v>L1 Vout (V)</v>
      </c>
      <c r="D38" s="231" t="str">
        <f>Test!E250</f>
        <v>[AUTO]</v>
      </c>
      <c r="E38" s="231">
        <f ca="1">Test!F250</f>
        <v>-100</v>
      </c>
      <c r="F38" s="231">
        <f ca="1">Test!G250</f>
        <v>100</v>
      </c>
      <c r="G38" s="231" t="str">
        <f ca="1">Test!H250</f>
        <v>V</v>
      </c>
      <c r="H38" s="232" t="str">
        <f>Test!I250</f>
        <v>TBC</v>
      </c>
    </row>
    <row r="39" spans="1:8" ht="45.75" customHeight="1" thickBot="1">
      <c r="A39" s="230" t="str">
        <f>_xlfn.CONCAT(C39," Off Load Max")</f>
        <v>L1 Vout (V) Off Load Max</v>
      </c>
      <c r="B39" s="231">
        <f>Test!A255</f>
        <v>2.0299999999999998</v>
      </c>
      <c r="C39" s="231" t="str">
        <f>Test!B255</f>
        <v>L1 Vout (V)</v>
      </c>
      <c r="D39" s="231" t="str">
        <f>Test!E255</f>
        <v>[AUTO]</v>
      </c>
      <c r="E39" s="231">
        <f ca="1">Test!F255</f>
        <v>-40100</v>
      </c>
      <c r="F39" s="231">
        <f ca="1">Test!G255</f>
        <v>-39900</v>
      </c>
      <c r="G39" s="231" t="str">
        <f ca="1">Test!H255</f>
        <v>V</v>
      </c>
      <c r="H39" s="232" t="str">
        <f>Test!I255</f>
        <v>TBC</v>
      </c>
    </row>
    <row r="40" spans="1:8" ht="45.75" customHeight="1" thickBot="1">
      <c r="A40" s="230" t="str">
        <f t="shared" ref="A40:A42" si="2">C40</f>
        <v>L1 Current Monitor Scaled</v>
      </c>
      <c r="B40" s="231">
        <f>Test!A258</f>
        <v>2.04</v>
      </c>
      <c r="C40" s="231" t="str">
        <f>Test!B258</f>
        <v>L1 Current Monitor Scaled</v>
      </c>
      <c r="D40" s="231" t="str">
        <f>Test!E258</f>
        <v>[AUTO]</v>
      </c>
      <c r="E40" s="231">
        <f ca="1">Test!F258</f>
        <v>6.5</v>
      </c>
      <c r="F40" s="231">
        <f ca="1">Test!G258</f>
        <v>9.5</v>
      </c>
      <c r="G40" s="231" t="str">
        <f ca="1">Test!H258</f>
        <v>uA</v>
      </c>
      <c r="H40" s="232" t="str">
        <f>Test!I258</f>
        <v>TBC</v>
      </c>
    </row>
    <row r="41" spans="1:8" ht="45.75" customHeight="1" thickBot="1">
      <c r="A41" s="230" t="str">
        <f>_xlfn.CONCAT(C41," Full Scale")</f>
        <v>L1 Vout (V) Full Scale</v>
      </c>
      <c r="B41" s="231">
        <f>Test!A278</f>
        <v>2.08</v>
      </c>
      <c r="C41" s="231" t="str">
        <f>Test!B278</f>
        <v>L1 Vout (V)</v>
      </c>
      <c r="D41" s="231" t="str">
        <f>Test!E278</f>
        <v>[AUTO]</v>
      </c>
      <c r="E41" s="231">
        <f ca="1">Test!F278</f>
        <v>-36100</v>
      </c>
      <c r="F41" s="231">
        <f ca="1">Test!G278</f>
        <v>-35900</v>
      </c>
      <c r="G41" s="231" t="str">
        <f ca="1">Test!H278</f>
        <v>V</v>
      </c>
      <c r="H41" s="232" t="str">
        <f>Test!I278</f>
        <v>TBC</v>
      </c>
    </row>
    <row r="42" spans="1:8" ht="45.75" customHeight="1" thickBot="1">
      <c r="A42" s="230" t="str">
        <f t="shared" ca="1" si="2"/>
        <v>L1 Voltage Monitor Error (%)</v>
      </c>
      <c r="B42" s="231">
        <f>Test!A281</f>
        <v>2.09</v>
      </c>
      <c r="C42" s="231" t="str">
        <f ca="1">Test!B281</f>
        <v>L1 Voltage Monitor Error (%)</v>
      </c>
      <c r="D42" s="231" t="str">
        <f>Test!E281</f>
        <v>[AUTO]</v>
      </c>
      <c r="E42" s="231">
        <f ca="1">Test!F281</f>
        <v>-1</v>
      </c>
      <c r="F42" s="231">
        <f ca="1">Test!G281</f>
        <v>1</v>
      </c>
      <c r="G42" s="231" t="str">
        <f ca="1">Test!H281</f>
        <v>%</v>
      </c>
      <c r="H42" s="232" t="str">
        <f>Test!I281</f>
        <v>TBC</v>
      </c>
    </row>
    <row r="43" spans="1:8" ht="45.75" customHeight="1" thickBot="1">
      <c r="A43" s="230" t="str">
        <f ca="1">_xlfn.CONCAT(C43," High Frequency")</f>
        <v>L1 Ripple (mV pk-pk) High Frequency</v>
      </c>
      <c r="B43" s="231">
        <f>Test!A286</f>
        <v>2.1</v>
      </c>
      <c r="C43" s="231" t="str">
        <f ca="1">Test!B286</f>
        <v>L1 Ripple (mV pk-pk)</v>
      </c>
      <c r="D43" s="231">
        <f>Test!E286</f>
        <v>0</v>
      </c>
      <c r="E43" s="231">
        <f ca="1">Test!F286</f>
        <v>3</v>
      </c>
      <c r="F43" s="231">
        <f ca="1">Test!G286</f>
        <v>150</v>
      </c>
      <c r="G43" s="231" t="str">
        <f ca="1">Test!H286</f>
        <v>mV pk-pk</v>
      </c>
      <c r="H43" s="232" t="str">
        <f>Test!I286</f>
        <v>TBC</v>
      </c>
    </row>
    <row r="44" spans="1:8" ht="45.75" customHeight="1" thickBot="1">
      <c r="A44" s="230" t="str">
        <f ca="1">_xlfn.CONCAT(C44," Low Frequency")</f>
        <v>L1 Ripple (mV pk-pk) Low Frequency</v>
      </c>
      <c r="B44" s="231">
        <f>Test!A291</f>
        <v>2.11</v>
      </c>
      <c r="C44" s="231" t="str">
        <f ca="1">Test!B291</f>
        <v>L1 Ripple (mV pk-pk)</v>
      </c>
      <c r="D44" s="231">
        <f>Test!E291</f>
        <v>0</v>
      </c>
      <c r="E44" s="231">
        <f ca="1">Test!F291</f>
        <v>3</v>
      </c>
      <c r="F44" s="231">
        <f ca="1">Test!G291</f>
        <v>150</v>
      </c>
      <c r="G44" s="231" t="str">
        <f ca="1">Test!H291</f>
        <v>mV pk-pk</v>
      </c>
      <c r="H44" s="232" t="str">
        <f>Test!I291</f>
        <v>TBC</v>
      </c>
    </row>
    <row r="45" spans="1:8" ht="45.75" customHeight="1" thickBot="1">
      <c r="A45" s="230" t="str">
        <f>_xlfn.CONCAT(C45," Full Scale Off Load")</f>
        <v>L1 Vout (V) Full Scale Off Load</v>
      </c>
      <c r="B45" s="231">
        <f>Test!A304</f>
        <v>2.12</v>
      </c>
      <c r="C45" s="231" t="str">
        <f>Test!B304</f>
        <v>L1 Vout (V)</v>
      </c>
      <c r="D45" s="231" t="str">
        <f>Test!E304</f>
        <v>[AUTO]</v>
      </c>
      <c r="E45" s="231">
        <f ca="1">Test!F304</f>
        <v>-36100</v>
      </c>
      <c r="F45" s="231">
        <f ca="1">Test!G304</f>
        <v>-35900</v>
      </c>
      <c r="G45" s="231" t="str">
        <f ca="1">Test!H304</f>
        <v>V</v>
      </c>
      <c r="H45" s="232" t="str">
        <f>Test!I304</f>
        <v>TBC</v>
      </c>
    </row>
    <row r="46" spans="1:8" ht="45.75" customHeight="1" thickBot="1">
      <c r="A46" s="230" t="str">
        <f>_xlfn.CONCAT(C46," Full Scale ON Load")</f>
        <v>L1 Vout (V) Full Scale ON Load</v>
      </c>
      <c r="B46" s="231">
        <f>Test!A308</f>
        <v>2.13</v>
      </c>
      <c r="C46" s="231" t="str">
        <f>Test!B308</f>
        <v>L1 Vout (V)</v>
      </c>
      <c r="D46" s="231" t="str">
        <f>Test!E308</f>
        <v>[AUTO]</v>
      </c>
      <c r="E46" s="231">
        <f ca="1">Test!F308</f>
        <v>-36100</v>
      </c>
      <c r="F46" s="231">
        <f ca="1">Test!G308</f>
        <v>-35900</v>
      </c>
      <c r="G46" s="231" t="str">
        <f ca="1">Test!H308</f>
        <v>V</v>
      </c>
      <c r="H46" s="232" t="str">
        <f>Test!I308</f>
        <v>TBC</v>
      </c>
    </row>
    <row r="47" spans="1:8" ht="45.75" customHeight="1" thickBot="1">
      <c r="A47" s="230" t="str">
        <f t="shared" ref="A47" ca="1" si="3">C47</f>
        <v>L1 Load Regulation (V)</v>
      </c>
      <c r="B47" s="231">
        <f>Test!A309</f>
        <v>2.14</v>
      </c>
      <c r="C47" s="231" t="str">
        <f ca="1">Test!B309</f>
        <v>L1 Load Regulation (V)</v>
      </c>
      <c r="D47" s="231" t="str">
        <f>Test!E309</f>
        <v>[AUTO]</v>
      </c>
      <c r="E47" s="231">
        <f ca="1">Test!F309</f>
        <v>-3.6</v>
      </c>
      <c r="F47" s="231">
        <f ca="1">Test!G309</f>
        <v>3.6</v>
      </c>
      <c r="G47" s="231" t="str">
        <f ca="1">Test!H309</f>
        <v>V</v>
      </c>
      <c r="H47" s="232" t="str">
        <f>Test!I309</f>
        <v>TBC</v>
      </c>
    </row>
    <row r="48" spans="1:8" ht="45.75" customHeight="1" thickBot="1">
      <c r="A48" s="230" t="str">
        <f>_xlfn.CONCAT(C48," Negative Off Load")</f>
        <v>L2 Vout minimum V (V) Negative Off Load</v>
      </c>
      <c r="B48" s="231">
        <f>Test!A380</f>
        <v>3.01</v>
      </c>
      <c r="C48" s="231" t="str">
        <f>Test!B380</f>
        <v>L2 Vout minimum V (V)</v>
      </c>
      <c r="D48" s="231" t="str">
        <f>Test!E380</f>
        <v>[AUTO]</v>
      </c>
      <c r="E48" s="231">
        <f ca="1">Test!F380</f>
        <v>-550</v>
      </c>
      <c r="F48" s="231">
        <f ca="1">Test!G380</f>
        <v>-450</v>
      </c>
      <c r="G48" s="231" t="str">
        <f ca="1">Test!H380</f>
        <v>V</v>
      </c>
      <c r="H48" s="232" t="str">
        <f>Test!I380</f>
        <v>TBC</v>
      </c>
    </row>
    <row r="49" spans="1:8" ht="45.75" customHeight="1" thickBot="1">
      <c r="A49" s="230" t="str">
        <f>_xlfn.CONCAT(C49," Negative Off Load")</f>
        <v>L2 Vout (V) Negative Off Load</v>
      </c>
      <c r="B49" s="231">
        <f>Test!A385</f>
        <v>3.02</v>
      </c>
      <c r="C49" s="231" t="str">
        <f>Test!B385</f>
        <v>L2 Vout (V)</v>
      </c>
      <c r="D49" s="231" t="str">
        <f>Test!E385</f>
        <v>[AUTO]</v>
      </c>
      <c r="E49" s="231">
        <f ca="1">Test!F385</f>
        <v>-15100</v>
      </c>
      <c r="F49" s="231">
        <f ca="1">Test!G385</f>
        <v>-14900</v>
      </c>
      <c r="G49" s="231" t="str">
        <f ca="1">Test!H385</f>
        <v>V</v>
      </c>
      <c r="H49" s="232" t="str">
        <f>Test!I385</f>
        <v>TBC</v>
      </c>
    </row>
    <row r="50" spans="1:8" ht="45.75" customHeight="1" thickBot="1">
      <c r="A50" s="230" t="str">
        <f>_xlfn.CONCAT(C50," Negative")</f>
        <v>L2 Output Current Off Load (uA) Negative</v>
      </c>
      <c r="B50" s="231">
        <f>Test!A388</f>
        <v>3.03</v>
      </c>
      <c r="C50" s="231" t="str">
        <f>Test!B388</f>
        <v>L2 Output Current Off Load (uA)</v>
      </c>
      <c r="D50" s="231" t="str">
        <f>Test!E388</f>
        <v>[AUTO]</v>
      </c>
      <c r="E50" s="231">
        <f ca="1">Test!F388</f>
        <v>4</v>
      </c>
      <c r="F50" s="231">
        <f ca="1">Test!G388</f>
        <v>6</v>
      </c>
      <c r="G50" s="231" t="str">
        <f ca="1">Test!H388</f>
        <v>uA</v>
      </c>
      <c r="H50" s="232" t="str">
        <f>Test!I388</f>
        <v>TBC</v>
      </c>
    </row>
    <row r="51" spans="1:8" ht="45.75" customHeight="1" thickBot="1">
      <c r="A51" s="230" t="str">
        <f>_xlfn.CONCAT(C51," Positive Off Load")</f>
        <v>L2 Vout minimum V (V) Positive Off Load</v>
      </c>
      <c r="B51" s="231">
        <f>Test!A393</f>
        <v>3.04</v>
      </c>
      <c r="C51" s="231" t="str">
        <f>Test!B393</f>
        <v>L2 Vout minimum V (V)</v>
      </c>
      <c r="D51" s="231" t="str">
        <f>Test!E393</f>
        <v>[AUTO]</v>
      </c>
      <c r="E51" s="231">
        <f ca="1">Test!F393</f>
        <v>450</v>
      </c>
      <c r="F51" s="231">
        <f ca="1">Test!G393</f>
        <v>550</v>
      </c>
      <c r="G51" s="231" t="str">
        <f ca="1">Test!H393</f>
        <v>V</v>
      </c>
      <c r="H51" s="232" t="str">
        <f>Test!I393</f>
        <v>TBC</v>
      </c>
    </row>
    <row r="52" spans="1:8" ht="45.75" customHeight="1" thickBot="1">
      <c r="A52" s="230" t="str">
        <f>_xlfn.CONCAT(C52," Positivie Off Load")</f>
        <v>L2 Vout (V) Positivie Off Load</v>
      </c>
      <c r="B52" s="231">
        <f>Test!A398</f>
        <v>3.05</v>
      </c>
      <c r="C52" s="231" t="str">
        <f>Test!B398</f>
        <v>L2 Vout (V)</v>
      </c>
      <c r="D52" s="231" t="str">
        <f>Test!E398</f>
        <v>[AUTO]</v>
      </c>
      <c r="E52" s="231">
        <f ca="1">Test!F398</f>
        <v>24900</v>
      </c>
      <c r="F52" s="231">
        <f ca="1">Test!G398</f>
        <v>25100</v>
      </c>
      <c r="G52" s="231" t="str">
        <f ca="1">Test!H398</f>
        <v>V</v>
      </c>
      <c r="H52" s="232" t="str">
        <f>Test!I398</f>
        <v>TBC</v>
      </c>
    </row>
    <row r="53" spans="1:8" ht="45.75" customHeight="1" thickBot="1">
      <c r="A53" s="230" t="str">
        <f t="shared" ref="A53:A58" si="4">_xlfn.CONCAT(C53," Positive")</f>
        <v>L2 Output Current Off Load (uA) Positive</v>
      </c>
      <c r="B53" s="231">
        <f>Test!A401</f>
        <v>3.06</v>
      </c>
      <c r="C53" s="231" t="str">
        <f>Test!B401</f>
        <v>L2 Output Current Off Load (uA)</v>
      </c>
      <c r="D53" s="231" t="str">
        <f>Test!E401</f>
        <v>[AUTO]</v>
      </c>
      <c r="E53" s="231">
        <f ca="1">Test!F401</f>
        <v>7.33</v>
      </c>
      <c r="F53" s="231">
        <f ca="1">Test!G401</f>
        <v>9.33</v>
      </c>
      <c r="G53" s="231" t="str">
        <f ca="1">Test!H401</f>
        <v>uA</v>
      </c>
      <c r="H53" s="232" t="str">
        <f>Test!I401</f>
        <v>TBC</v>
      </c>
    </row>
    <row r="54" spans="1:8" ht="45.75" customHeight="1" thickBot="1">
      <c r="A54" s="230" t="str">
        <f t="shared" si="4"/>
        <v>L2 Current Limit (uA) Positive</v>
      </c>
      <c r="B54" s="231">
        <f>Test!A418</f>
        <v>3.07</v>
      </c>
      <c r="C54" s="231" t="str">
        <f>Test!B418</f>
        <v>L2 Current Limit (uA)</v>
      </c>
      <c r="D54" s="231" t="str">
        <f>Test!E418</f>
        <v>[AUTO]</v>
      </c>
      <c r="E54" s="231">
        <f ca="1">Test!F418</f>
        <v>30</v>
      </c>
      <c r="F54" s="231">
        <f ca="1">Test!G418</f>
        <v>33</v>
      </c>
      <c r="G54" s="231" t="str">
        <f ca="1">Test!H418</f>
        <v>uA</v>
      </c>
      <c r="H54" s="232" t="str">
        <f>Test!I418</f>
        <v>TBC</v>
      </c>
    </row>
    <row r="55" spans="1:8" ht="45.75" customHeight="1" thickBot="1">
      <c r="A55" s="230" t="str">
        <f t="shared" si="4"/>
        <v>L2 Vout (V) Positive</v>
      </c>
      <c r="B55" s="231">
        <f>Test!A444</f>
        <v>3.11</v>
      </c>
      <c r="C55" s="231" t="str">
        <f>Test!B444</f>
        <v>L2 Vout (V)</v>
      </c>
      <c r="D55" s="231" t="str">
        <f>Test!E444</f>
        <v>[AUTO]</v>
      </c>
      <c r="E55" s="231">
        <f ca="1">Test!F444</f>
        <v>24550</v>
      </c>
      <c r="F55" s="231">
        <f ca="1">Test!G444</f>
        <v>24750</v>
      </c>
      <c r="G55" s="231" t="str">
        <f ca="1">Test!H444</f>
        <v>V</v>
      </c>
      <c r="H55" s="232" t="str">
        <f>Test!I444</f>
        <v>TBC</v>
      </c>
    </row>
    <row r="56" spans="1:8" ht="45.75" customHeight="1" thickBot="1">
      <c r="A56" s="230" t="str">
        <f t="shared" ca="1" si="4"/>
        <v>L2 Voltage Monitor Error (%) Positive</v>
      </c>
      <c r="B56" s="231">
        <f>Test!A447</f>
        <v>3.12</v>
      </c>
      <c r="C56" s="231" t="str">
        <f ca="1">Test!B447</f>
        <v>L2 Voltage Monitor Error (%)</v>
      </c>
      <c r="D56" s="231" t="str">
        <f>Test!E447</f>
        <v>[AUTO]</v>
      </c>
      <c r="E56" s="231">
        <f ca="1">Test!F447</f>
        <v>-1</v>
      </c>
      <c r="F56" s="231">
        <f ca="1">Test!G447</f>
        <v>1</v>
      </c>
      <c r="G56" s="231" t="str">
        <f ca="1">Test!H447</f>
        <v>%</v>
      </c>
      <c r="H56" s="232" t="str">
        <f>Test!I447</f>
        <v>TBC</v>
      </c>
    </row>
    <row r="57" spans="1:8" ht="45.75" customHeight="1" thickBot="1">
      <c r="A57" s="230" t="str">
        <f t="shared" ca="1" si="4"/>
        <v>L2 Output Current @ 28uA (uA) Positive</v>
      </c>
      <c r="B57" s="231">
        <f>Test!A436</f>
        <v>3.08</v>
      </c>
      <c r="C57" s="231" t="str">
        <f ca="1">Test!B436</f>
        <v>L2 Output Current @ 28uA (uA)</v>
      </c>
      <c r="D57" s="231" t="str">
        <f>Test!E436</f>
        <v>[AUTO]</v>
      </c>
      <c r="E57" s="231">
        <f ca="1">Test!F436</f>
        <v>25.5</v>
      </c>
      <c r="F57" s="231">
        <f ca="1">Test!G436</f>
        <v>29.5</v>
      </c>
      <c r="G57" s="231" t="str">
        <f ca="1">Test!H436</f>
        <v>uA</v>
      </c>
      <c r="H57" s="232" t="str">
        <f>Test!I436</f>
        <v>TBC</v>
      </c>
    </row>
    <row r="58" spans="1:8" ht="45.75" customHeight="1" thickBot="1">
      <c r="A58" s="230" t="str">
        <f t="shared" ca="1" si="4"/>
        <v>L2 Current Monitor Error (%) Positive</v>
      </c>
      <c r="B58" s="231">
        <f>Test!A439</f>
        <v>3.1</v>
      </c>
      <c r="C58" s="231" t="str">
        <f ca="1">Test!B439</f>
        <v>L2 Current Monitor Error (%)</v>
      </c>
      <c r="D58" s="231" t="str">
        <f>Test!E439</f>
        <v>[AUTO]</v>
      </c>
      <c r="E58" s="231">
        <f ca="1">Test!F439</f>
        <v>-3</v>
      </c>
      <c r="F58" s="231">
        <f ca="1">Test!G439</f>
        <v>3</v>
      </c>
      <c r="G58" s="231" t="str">
        <f ca="1">Test!H439</f>
        <v>%</v>
      </c>
      <c r="H58" s="232" t="str">
        <f>Test!I439</f>
        <v>TBC</v>
      </c>
    </row>
    <row r="59" spans="1:8" ht="45.75" customHeight="1" thickBot="1">
      <c r="A59" s="230" t="str">
        <f ca="1">_xlfn.CONCAT(C59," High Frequency Positive")</f>
        <v>L2 Ripple (mV pk-pk) High Frequency Positive</v>
      </c>
      <c r="B59" s="231">
        <f>Test!A453</f>
        <v>3.13</v>
      </c>
      <c r="C59" s="231" t="str">
        <f ca="1">Test!B453</f>
        <v>L2 Ripple (mV pk-pk)</v>
      </c>
      <c r="D59" s="231" t="str">
        <f>Test!E453</f>
        <v>[AUTO]</v>
      </c>
      <c r="E59" s="231">
        <f ca="1">Test!F453</f>
        <v>3</v>
      </c>
      <c r="F59" s="231">
        <f ca="1">Test!G453</f>
        <v>150</v>
      </c>
      <c r="G59" s="231" t="str">
        <f ca="1">Test!H453</f>
        <v>mV pk-pk</v>
      </c>
      <c r="H59" s="232" t="str">
        <f>Test!I453</f>
        <v>TBC</v>
      </c>
    </row>
    <row r="60" spans="1:8" ht="45.75" customHeight="1" thickBot="1">
      <c r="A60" s="230" t="str">
        <f ca="1">_xlfn.CONCAT(C60," Low Frequency Positive")</f>
        <v>L2 Ripple (mV pk-pk) Low Frequency Positive</v>
      </c>
      <c r="B60" s="231">
        <f>Test!A459</f>
        <v>3.14</v>
      </c>
      <c r="C60" s="231" t="str">
        <f ca="1">Test!B459</f>
        <v>L2 Ripple (mV pk-pk)</v>
      </c>
      <c r="D60" s="231">
        <f>Test!E458</f>
        <v>0</v>
      </c>
      <c r="E60" s="231">
        <f ca="1">Test!F459</f>
        <v>3</v>
      </c>
      <c r="F60" s="231">
        <f ca="1">Test!G459</f>
        <v>150</v>
      </c>
      <c r="G60" s="231" t="str">
        <f ca="1">Test!H459</f>
        <v>mV pk-pk</v>
      </c>
      <c r="H60" s="232" t="str">
        <f>Test!I459</f>
        <v>TBC</v>
      </c>
    </row>
    <row r="61" spans="1:8" ht="45.75" customHeight="1" thickBot="1">
      <c r="A61" s="230" t="str">
        <f t="shared" ref="A61" ca="1" si="5">C61</f>
        <v>L2 Load Regulation Positive (V)</v>
      </c>
      <c r="B61" s="231">
        <f>Test!A481</f>
        <v>3.17</v>
      </c>
      <c r="C61" s="231" t="str">
        <f ca="1">Test!B481</f>
        <v>L2 Load Regulation Positive (V)</v>
      </c>
      <c r="D61" s="231" t="str">
        <f>Test!E481</f>
        <v>[AUTO]</v>
      </c>
      <c r="E61" s="231">
        <f ca="1">Test!F481</f>
        <v>-1.25</v>
      </c>
      <c r="F61" s="231">
        <f ca="1">Test!G481</f>
        <v>1.25</v>
      </c>
      <c r="G61" s="231" t="str">
        <f ca="1">Test!H481</f>
        <v>V</v>
      </c>
      <c r="H61" s="232" t="str">
        <f>Test!I481</f>
        <v>TBC</v>
      </c>
    </row>
    <row r="62" spans="1:8" ht="45.75" customHeight="1" thickBot="1">
      <c r="A62" s="230" t="str">
        <f>_xlfn.CONCAT(C62," Negative")</f>
        <v>L2 Current Limit (uA) Negative</v>
      </c>
      <c r="B62" s="231">
        <f>Test!A498</f>
        <v>3.18</v>
      </c>
      <c r="C62" s="231" t="str">
        <f>Test!B498</f>
        <v>L2 Current Limit (uA)</v>
      </c>
      <c r="D62" s="231" t="str">
        <f>Test!E498</f>
        <v>[AUTO]</v>
      </c>
      <c r="E62" s="231">
        <f ca="1">Test!F498</f>
        <v>30</v>
      </c>
      <c r="F62" s="231">
        <f ca="1">Test!G498</f>
        <v>33</v>
      </c>
      <c r="G62" s="231" t="str">
        <f ca="1">Test!H498</f>
        <v>uA</v>
      </c>
      <c r="H62" s="232" t="str">
        <f>Test!I498</f>
        <v>TBC</v>
      </c>
    </row>
    <row r="63" spans="1:8" ht="45.75" customHeight="1" thickBot="1">
      <c r="A63" s="230" t="str">
        <f>_xlfn.CONCAT(C63," Negative")</f>
        <v>L2 Vout (V) Negative</v>
      </c>
      <c r="B63" s="231">
        <f>Test!A524</f>
        <v>3.22</v>
      </c>
      <c r="C63" s="231" t="str">
        <f>Test!B524</f>
        <v>L2 Vout (V)</v>
      </c>
      <c r="D63" s="231" t="str">
        <f>Test!E524</f>
        <v>[AUTO]</v>
      </c>
      <c r="E63" s="231">
        <f ca="1">Test!F524</f>
        <v>-14850</v>
      </c>
      <c r="F63" s="231">
        <f ca="1">Test!G524</f>
        <v>-14650</v>
      </c>
      <c r="G63" s="231" t="str">
        <f ca="1">Test!H524</f>
        <v>V</v>
      </c>
      <c r="H63" s="232" t="str">
        <f>Test!I524</f>
        <v>TBC</v>
      </c>
    </row>
    <row r="64" spans="1:8" ht="45.75" customHeight="1" thickBot="1">
      <c r="A64" s="230" t="str">
        <f ca="1">_xlfn.CONCAT(C64," Negative")</f>
        <v>L2 Voltage Monitor Error (%) Negative</v>
      </c>
      <c r="B64" s="231">
        <f>Test!A527</f>
        <v>3.23</v>
      </c>
      <c r="C64" s="231" t="str">
        <f ca="1">Test!B527</f>
        <v>L2 Voltage Monitor Error (%)</v>
      </c>
      <c r="D64" s="231" t="str">
        <f>Test!E527</f>
        <v>[AUTO]</v>
      </c>
      <c r="E64" s="231">
        <f ca="1">Test!F527</f>
        <v>-1</v>
      </c>
      <c r="F64" s="231">
        <f ca="1">Test!G527</f>
        <v>1</v>
      </c>
      <c r="G64" s="231" t="str">
        <f ca="1">Test!H527</f>
        <v>%</v>
      </c>
      <c r="H64" s="232" t="str">
        <f>Test!I527</f>
        <v>TBC</v>
      </c>
    </row>
    <row r="65" spans="1:8" ht="45.75" customHeight="1" thickBot="1">
      <c r="A65" s="230" t="str">
        <f ca="1">_xlfn.CONCAT(C65," Negative")</f>
        <v>L2 Output Current @ 28uA (uA) Negative</v>
      </c>
      <c r="B65" s="231">
        <f>Test!A516</f>
        <v>3.19</v>
      </c>
      <c r="C65" s="231" t="str">
        <f ca="1">Test!B516</f>
        <v>L2 Output Current @ 28uA (uA)</v>
      </c>
      <c r="D65" s="231" t="str">
        <f>Test!E516</f>
        <v>[AUTO]</v>
      </c>
      <c r="E65" s="231">
        <f ca="1">Test!F516</f>
        <v>25.5</v>
      </c>
      <c r="F65" s="231">
        <f ca="1">Test!G516</f>
        <v>29.5</v>
      </c>
      <c r="G65" s="231" t="str">
        <f ca="1">Test!H516</f>
        <v>uA</v>
      </c>
      <c r="H65" s="232" t="str">
        <f>Test!I516</f>
        <v>TBC</v>
      </c>
    </row>
    <row r="66" spans="1:8" ht="45.75" customHeight="1" thickBot="1">
      <c r="A66" s="230" t="str">
        <f ca="1">_xlfn.CONCAT(C66," Negative")</f>
        <v>L2 Current Monitor Error (%) Negative</v>
      </c>
      <c r="B66" s="231">
        <f>Test!A519</f>
        <v>3.21</v>
      </c>
      <c r="C66" s="231" t="str">
        <f ca="1">Test!B519</f>
        <v>L2 Current Monitor Error (%)</v>
      </c>
      <c r="D66" s="231" t="str">
        <f>Test!E519</f>
        <v>[AUTO]</v>
      </c>
      <c r="E66" s="231">
        <f ca="1">Test!F519</f>
        <v>-3</v>
      </c>
      <c r="F66" s="231">
        <f ca="1">Test!G519</f>
        <v>3</v>
      </c>
      <c r="G66" s="231" t="str">
        <f ca="1">Test!H519</f>
        <v>%</v>
      </c>
      <c r="H66" s="232" t="str">
        <f>Test!I519</f>
        <v>TBC</v>
      </c>
    </row>
    <row r="67" spans="1:8" ht="45.75" customHeight="1" thickBot="1">
      <c r="A67" s="230" t="str">
        <f ca="1">_xlfn.CONCAT(C67," High Frequency Negative")</f>
        <v>L2 Ripple (mV pk-pk) High Frequency Negative</v>
      </c>
      <c r="B67" s="231">
        <f>Test!A533</f>
        <v>3.25</v>
      </c>
      <c r="C67" s="231" t="str">
        <f ca="1">Test!B533</f>
        <v>L2 Ripple (mV pk-pk)</v>
      </c>
      <c r="D67" s="231" t="str">
        <f>Test!E533</f>
        <v>[AUTO]</v>
      </c>
      <c r="E67" s="231">
        <f ca="1">Test!F533</f>
        <v>3</v>
      </c>
      <c r="F67" s="231">
        <f ca="1">Test!G533</f>
        <v>150</v>
      </c>
      <c r="G67" s="231" t="str">
        <f ca="1">Test!H533</f>
        <v>mV pk-pk</v>
      </c>
      <c r="H67" s="232" t="str">
        <f>Test!I533</f>
        <v>TBC</v>
      </c>
    </row>
    <row r="68" spans="1:8" ht="45.75" customHeight="1" thickBot="1">
      <c r="A68" s="230" t="str">
        <f ca="1">_xlfn.CONCAT(C68," Low Frequency Negative")</f>
        <v>L2 Ripple (mV pk-pk) Low Frequency Negative</v>
      </c>
      <c r="B68" s="231">
        <f>Test!A539</f>
        <v>3.27</v>
      </c>
      <c r="C68" s="231" t="str">
        <f ca="1">Test!B539</f>
        <v>L2 Ripple (mV pk-pk)</v>
      </c>
      <c r="D68" s="231" t="str">
        <f>Test!E539</f>
        <v>[AUTO]</v>
      </c>
      <c r="E68" s="231">
        <f ca="1">Test!F539</f>
        <v>3</v>
      </c>
      <c r="F68" s="231">
        <f ca="1">Test!G539</f>
        <v>150</v>
      </c>
      <c r="G68" s="231" t="str">
        <f ca="1">Test!H539</f>
        <v>mV pk-pk</v>
      </c>
      <c r="H68" s="232" t="str">
        <f>Test!I539</f>
        <v>TBC</v>
      </c>
    </row>
    <row r="69" spans="1:8" ht="45.75" customHeight="1" thickBot="1">
      <c r="A69" s="230" t="str">
        <f t="shared" ref="A69" ca="1" si="6">C69</f>
        <v>L2 Load Regulation Negative (V)</v>
      </c>
      <c r="B69" s="231">
        <f>Test!A561</f>
        <v>3.3</v>
      </c>
      <c r="C69" s="231" t="str">
        <f ca="1">Test!B561</f>
        <v>L2 Load Regulation Negative (V)</v>
      </c>
      <c r="D69" s="231" t="str">
        <f>Test!E561</f>
        <v>[AUTO]</v>
      </c>
      <c r="E69" s="231">
        <f ca="1">Test!F561</f>
        <v>-0.75</v>
      </c>
      <c r="F69" s="231">
        <f ca="1">Test!G561</f>
        <v>0.75</v>
      </c>
      <c r="G69" s="231" t="str">
        <f ca="1">Test!H561</f>
        <v>V</v>
      </c>
      <c r="H69" s="232" t="str">
        <f>Test!I561</f>
        <v>TBC</v>
      </c>
    </row>
    <row r="70" spans="1:8" ht="45.75" customHeight="1" thickBot="1">
      <c r="A70" s="230" t="str">
        <f t="shared" ref="A70:A71" si="7">C70</f>
        <v>ACC Current Limit (uA)</v>
      </c>
      <c r="B70" s="231">
        <f>Test!A633</f>
        <v>4.01</v>
      </c>
      <c r="C70" s="231" t="str">
        <f>Test!B633</f>
        <v>ACC Current Limit (uA)</v>
      </c>
      <c r="D70" s="231" t="str">
        <f>Test!E633</f>
        <v>[AUTO]</v>
      </c>
      <c r="E70" s="231">
        <f ca="1">Test!F633</f>
        <v>30</v>
      </c>
      <c r="F70" s="231">
        <f ca="1">Test!G633</f>
        <v>33</v>
      </c>
      <c r="G70" s="231" t="str">
        <f ca="1">Test!H633</f>
        <v>uA</v>
      </c>
      <c r="H70" s="232" t="str">
        <f>Test!I633</f>
        <v>TBC</v>
      </c>
    </row>
    <row r="71" spans="1:8" ht="45.75" customHeight="1" thickBot="1">
      <c r="A71" s="230" t="str">
        <f t="shared" si="7"/>
        <v>ACC Output Current Off Load  @ 0V (uA)</v>
      </c>
      <c r="B71" s="231">
        <f>Test!A654</f>
        <v>4.0199999999999996</v>
      </c>
      <c r="C71" s="231" t="str">
        <f>Test!B654</f>
        <v>ACC Output Current Off Load  @ 0V (uA)</v>
      </c>
      <c r="D71" s="231" t="str">
        <f>Test!E654</f>
        <v>[AUTO]</v>
      </c>
      <c r="E71" s="231">
        <f ca="1">Test!F654</f>
        <v>-0.3</v>
      </c>
      <c r="F71" s="231">
        <f ca="1">Test!G654</f>
        <v>0.3</v>
      </c>
      <c r="G71" s="231" t="str">
        <f ca="1">Test!H654</f>
        <v>uA</v>
      </c>
      <c r="H71" s="232" t="str">
        <f>Test!I654</f>
        <v>TBC</v>
      </c>
    </row>
    <row r="72" spans="1:8" ht="45.75" customHeight="1" thickBot="1">
      <c r="A72" s="230" t="str">
        <f>_xlfn.CONCAT(C72," Off Load")</f>
        <v>ACC Vout minimum V (V) Off Load</v>
      </c>
      <c r="B72" s="231">
        <f>Test!A659</f>
        <v>4.03</v>
      </c>
      <c r="C72" s="231" t="str">
        <f>Test!B659</f>
        <v>ACC Vout minimum V (V)</v>
      </c>
      <c r="D72" s="231" t="str">
        <f>Test!E659</f>
        <v>[AUTO]</v>
      </c>
      <c r="E72" s="231">
        <f ca="1">Test!F659</f>
        <v>1400</v>
      </c>
      <c r="F72" s="231">
        <f ca="1">Test!G659</f>
        <v>1600</v>
      </c>
      <c r="G72" s="231" t="str">
        <f ca="1">Test!H659</f>
        <v>V</v>
      </c>
      <c r="H72" s="232" t="str">
        <f>Test!I659</f>
        <v>TBC</v>
      </c>
    </row>
    <row r="73" spans="1:8" ht="45.75" customHeight="1" thickBot="1">
      <c r="A73" s="230" t="str">
        <f>_xlfn.CONCAT(C73," Off Load")</f>
        <v>ACC Vout (V) Off Load</v>
      </c>
      <c r="B73" s="231">
        <f>Test!A664</f>
        <v>4.04</v>
      </c>
      <c r="C73" s="231" t="str">
        <f>Test!B664</f>
        <v>ACC Vout (V)</v>
      </c>
      <c r="D73" s="231" t="str">
        <f>Test!E664</f>
        <v>[AUTO]</v>
      </c>
      <c r="E73" s="231">
        <f ca="1">Test!F664</f>
        <v>34900</v>
      </c>
      <c r="F73" s="231">
        <f ca="1">Test!G664</f>
        <v>35100</v>
      </c>
      <c r="G73" s="231" t="str">
        <f ca="1">Test!H664</f>
        <v>V</v>
      </c>
      <c r="H73" s="232" t="str">
        <f>Test!I664</f>
        <v>TBC</v>
      </c>
    </row>
    <row r="74" spans="1:8" ht="45.75" customHeight="1" thickBot="1">
      <c r="A74" s="230" t="str">
        <f t="shared" ref="A74:A81" si="8">C74</f>
        <v>ACC Output Current Off Load (uA)</v>
      </c>
      <c r="B74" s="231">
        <f>Test!A667</f>
        <v>4.05</v>
      </c>
      <c r="C74" s="231" t="str">
        <f>Test!B667</f>
        <v>ACC Output Current Off Load (uA)</v>
      </c>
      <c r="D74" s="231" t="str">
        <f>Test!E667</f>
        <v>[AUTO]</v>
      </c>
      <c r="E74" s="231">
        <f ca="1">Test!F667</f>
        <v>6.5</v>
      </c>
      <c r="F74" s="231">
        <f ca="1">Test!G667</f>
        <v>9.5</v>
      </c>
      <c r="G74" s="231" t="str">
        <f ca="1">Test!H667</f>
        <v>uA</v>
      </c>
      <c r="H74" s="232" t="str">
        <f>Test!I667</f>
        <v>TBC</v>
      </c>
    </row>
    <row r="75" spans="1:8" ht="45.75" customHeight="1" thickBot="1">
      <c r="A75" s="230" t="str">
        <f>C75</f>
        <v>Acc Vout (V)</v>
      </c>
      <c r="B75" s="231">
        <f>Test!A690</f>
        <v>4.09</v>
      </c>
      <c r="C75" s="231" t="str">
        <f>Test!B690</f>
        <v>Acc Vout (V)</v>
      </c>
      <c r="D75" s="231" t="str">
        <f>Test!E690</f>
        <v>[AUTO]</v>
      </c>
      <c r="E75" s="231">
        <f ca="1">Test!F690</f>
        <v>34450</v>
      </c>
      <c r="F75" s="231">
        <f ca="1">Test!G690</f>
        <v>34650</v>
      </c>
      <c r="G75" s="231" t="str">
        <f ca="1">Test!H690</f>
        <v>V</v>
      </c>
      <c r="H75" s="232" t="str">
        <f>Test!I690</f>
        <v>TBC</v>
      </c>
    </row>
    <row r="76" spans="1:8" ht="45.75" customHeight="1" thickBot="1">
      <c r="A76" s="230" t="str">
        <f t="shared" ca="1" si="8"/>
        <v>ACC Voltage Monitor Error (%)</v>
      </c>
      <c r="B76" s="231">
        <f>Test!A693</f>
        <v>4.0999999999999996</v>
      </c>
      <c r="C76" s="231" t="str">
        <f ca="1">Test!B693</f>
        <v>ACC Voltage Monitor Error (%)</v>
      </c>
      <c r="D76" s="231" t="str">
        <f>Test!E693</f>
        <v>[AUTO]</v>
      </c>
      <c r="E76" s="231">
        <f ca="1">Test!F693</f>
        <v>-1</v>
      </c>
      <c r="F76" s="231">
        <f ca="1">Test!G693</f>
        <v>1</v>
      </c>
      <c r="G76" s="231" t="str">
        <f ca="1">Test!H693</f>
        <v>%</v>
      </c>
      <c r="H76" s="232" t="str">
        <f>Test!I693</f>
        <v>TBC</v>
      </c>
    </row>
    <row r="77" spans="1:8" ht="45.75" customHeight="1" thickBot="1">
      <c r="A77" s="230" t="str">
        <f t="shared" ca="1" si="8"/>
        <v>ACC Output Current @ 28uA (uA)</v>
      </c>
      <c r="B77" s="231">
        <f>Test!A682</f>
        <v>4.0599999999999996</v>
      </c>
      <c r="C77" s="231" t="str">
        <f ca="1">Test!B682</f>
        <v>ACC Output Current @ 28uA (uA)</v>
      </c>
      <c r="D77" s="231" t="str">
        <f>Test!E682</f>
        <v>[AUTO]</v>
      </c>
      <c r="E77" s="231">
        <f ca="1">Test!F682</f>
        <v>27</v>
      </c>
      <c r="F77" s="231">
        <f ca="1">Test!G682</f>
        <v>29</v>
      </c>
      <c r="G77" s="231" t="str">
        <f ca="1">Test!H682</f>
        <v>uA</v>
      </c>
      <c r="H77" s="232" t="str">
        <f>Test!I682</f>
        <v>TBC</v>
      </c>
    </row>
    <row r="78" spans="1:8" ht="45.75" customHeight="1" thickBot="1">
      <c r="A78" s="230" t="str">
        <f t="shared" ca="1" si="8"/>
        <v>ACC Current Monitor Error (%)</v>
      </c>
      <c r="B78" s="231">
        <f>Test!A685</f>
        <v>4.08</v>
      </c>
      <c r="C78" s="231" t="str">
        <f ca="1">Test!B685</f>
        <v>ACC Current Monitor Error (%)</v>
      </c>
      <c r="D78" s="231" t="str">
        <f>Test!E685</f>
        <v>[AUTO]</v>
      </c>
      <c r="E78" s="231">
        <f ca="1">Test!F685</f>
        <v>-1</v>
      </c>
      <c r="F78" s="231">
        <f ca="1">Test!G685</f>
        <v>1</v>
      </c>
      <c r="G78" s="231" t="str">
        <f ca="1">Test!H685</f>
        <v>%</v>
      </c>
      <c r="H78" s="232" t="str">
        <f>Test!I685</f>
        <v>TBC</v>
      </c>
    </row>
    <row r="79" spans="1:8" ht="45.75" customHeight="1" thickBot="1">
      <c r="A79" s="230" t="str">
        <f ca="1">_xlfn.CONCAT(C79," High Frequency Negative")</f>
        <v>ACC Ripple (mV pk-pk) High Frequency Negative</v>
      </c>
      <c r="B79" s="231">
        <f>Test!A699</f>
        <v>4.1100000000000003</v>
      </c>
      <c r="C79" s="231" t="str">
        <f ca="1">Test!B699</f>
        <v>ACC Ripple (mV pk-pk)</v>
      </c>
      <c r="D79" s="231" t="str">
        <f>Test!E699</f>
        <v>[AUTO]</v>
      </c>
      <c r="E79" s="231">
        <f ca="1">Test!F699</f>
        <v>3</v>
      </c>
      <c r="F79" s="231">
        <f ca="1">Test!G699</f>
        <v>200</v>
      </c>
      <c r="G79" s="231" t="str">
        <f ca="1">Test!H699</f>
        <v>mV pk-pk</v>
      </c>
      <c r="H79" s="232" t="str">
        <f>Test!I699</f>
        <v>TBC</v>
      </c>
    </row>
    <row r="80" spans="1:8" ht="45.75" customHeight="1" thickBot="1">
      <c r="A80" s="230" t="str">
        <f ca="1">_xlfn.CONCAT(C80," Low Frequency Negative")</f>
        <v>ACC Ripple (mV pk-pk) Low Frequency Negative</v>
      </c>
      <c r="B80" s="231">
        <f>Test!A705</f>
        <v>4.12</v>
      </c>
      <c r="C80" s="231" t="str">
        <f ca="1">Test!B705</f>
        <v>ACC Ripple (mV pk-pk)</v>
      </c>
      <c r="D80" s="231" t="str">
        <f>Test!E705</f>
        <v>[AUTO]</v>
      </c>
      <c r="E80" s="231">
        <f ca="1">Test!F705</f>
        <v>3</v>
      </c>
      <c r="F80" s="231">
        <f ca="1">Test!G705</f>
        <v>200</v>
      </c>
      <c r="G80" s="231" t="str">
        <f ca="1">Test!H705</f>
        <v>mV pk-pk</v>
      </c>
      <c r="H80" s="232" t="str">
        <f>Test!I705</f>
        <v>TBC</v>
      </c>
    </row>
    <row r="81" spans="1:8" ht="45.75" customHeight="1" thickBot="1">
      <c r="A81" s="230" t="str">
        <f t="shared" ca="1" si="8"/>
        <v>ACC Load Regulation (V)</v>
      </c>
      <c r="B81" s="231">
        <f>Test!A726</f>
        <v>4.1500000000000004</v>
      </c>
      <c r="C81" s="231" t="str">
        <f ca="1">Test!B726</f>
        <v>ACC Load Regulation (V)</v>
      </c>
      <c r="D81" s="231" t="str">
        <f>Test!E726</f>
        <v>[AUTO]</v>
      </c>
      <c r="E81" s="231">
        <f ca="1">Test!F726</f>
        <v>-3.5</v>
      </c>
      <c r="F81" s="231">
        <f ca="1">Test!G726</f>
        <v>3.5</v>
      </c>
      <c r="G81" s="231" t="str">
        <f ca="1">Test!H726</f>
        <v>V</v>
      </c>
      <c r="H81" s="232" t="str">
        <f>Test!I726</f>
        <v>TBC</v>
      </c>
    </row>
    <row r="82" spans="1:8" ht="45.75" customHeight="1" thickBot="1">
      <c r="A82" s="230" t="str">
        <f t="shared" ref="A82" si="9">C82</f>
        <v>Ext Output Current Off Load (uA)</v>
      </c>
      <c r="B82" s="231">
        <f>Test!A798</f>
        <v>5.01</v>
      </c>
      <c r="C82" s="231" t="str">
        <f>Test!B798</f>
        <v>Ext Output Current Off Load (uA)</v>
      </c>
      <c r="D82" s="231" t="str">
        <f>Test!E798</f>
        <v>[AUTO]</v>
      </c>
      <c r="E82" s="231">
        <f ca="1">Test!F798</f>
        <v>-0.3</v>
      </c>
      <c r="F82" s="231">
        <f ca="1">Test!G798</f>
        <v>0.3</v>
      </c>
      <c r="G82" s="231" t="str">
        <f ca="1">Test!H798</f>
        <v>uA</v>
      </c>
      <c r="H82" s="232" t="str">
        <f>Test!I798</f>
        <v>TBC</v>
      </c>
    </row>
    <row r="83" spans="1:8" ht="45.75" customHeight="1" thickBot="1">
      <c r="A83" s="230" t="str">
        <f t="shared" ref="A83:A90" si="10">C83</f>
        <v>Ext Vout Off Load Minimum (V)</v>
      </c>
      <c r="B83" s="231">
        <f>Test!A801</f>
        <v>5.0199999999999996</v>
      </c>
      <c r="C83" s="231" t="str">
        <f>Test!B801</f>
        <v>Ext Vout Off Load Minimum (V)</v>
      </c>
      <c r="D83" s="231" t="str">
        <f>Test!E801</f>
        <v>[AUTO]</v>
      </c>
      <c r="E83" s="231">
        <f ca="1">Test!F801</f>
        <v>-100</v>
      </c>
      <c r="F83" s="231">
        <f ca="1">Test!G801</f>
        <v>40</v>
      </c>
      <c r="G83" s="231" t="str">
        <f ca="1">Test!H801</f>
        <v>V</v>
      </c>
      <c r="H83" s="232" t="str">
        <f>Test!I801</f>
        <v>TBC</v>
      </c>
    </row>
    <row r="84" spans="1:8" ht="45.75" customHeight="1" thickBot="1">
      <c r="A84" s="230" t="str">
        <f t="shared" si="10"/>
        <v>Ext Vout Off Load (V)</v>
      </c>
      <c r="B84" s="231">
        <f>Test!A806</f>
        <v>5.03</v>
      </c>
      <c r="C84" s="231" t="str">
        <f>Test!B806</f>
        <v>Ext Vout Off Load (V)</v>
      </c>
      <c r="D84" s="231" t="str">
        <f>Test!E806</f>
        <v>[AUTO]</v>
      </c>
      <c r="E84" s="231">
        <f ca="1">Test!F806</f>
        <v>-15100</v>
      </c>
      <c r="F84" s="231">
        <f ca="1">Test!G806</f>
        <v>-14900</v>
      </c>
      <c r="G84" s="231" t="str">
        <f ca="1">Test!H806</f>
        <v>V</v>
      </c>
      <c r="H84" s="232" t="str">
        <f>Test!I806</f>
        <v>TBC</v>
      </c>
    </row>
    <row r="85" spans="1:8" ht="45.75" customHeight="1" thickBot="1">
      <c r="A85" s="230" t="str">
        <f t="shared" si="10"/>
        <v>Ext Vout (V)</v>
      </c>
      <c r="B85" s="231">
        <f>Test!A821</f>
        <v>5.04</v>
      </c>
      <c r="C85" s="231" t="str">
        <f>Test!B821</f>
        <v>Ext Vout (V)</v>
      </c>
      <c r="D85" s="231" t="str">
        <f>Test!E821</f>
        <v>[AUTO]</v>
      </c>
      <c r="E85" s="231">
        <f ca="1">Test!F821</f>
        <v>-14950</v>
      </c>
      <c r="F85" s="231">
        <f ca="1">Test!G821</f>
        <v>-14550</v>
      </c>
      <c r="G85" s="231" t="str">
        <f ca="1">Test!H821</f>
        <v>V</v>
      </c>
      <c r="H85" s="232" t="str">
        <f>Test!I821</f>
        <v>TBC</v>
      </c>
    </row>
    <row r="86" spans="1:8" ht="45.75" customHeight="1" thickBot="1">
      <c r="A86" s="230" t="str">
        <f t="shared" ca="1" si="10"/>
        <v>EXT Voltage Monitor Error (%)</v>
      </c>
      <c r="B86" s="231">
        <f>Test!A824</f>
        <v>5.05</v>
      </c>
      <c r="C86" s="231" t="str">
        <f ca="1">Test!B824</f>
        <v>EXT Voltage Monitor Error (%)</v>
      </c>
      <c r="D86" s="231" t="str">
        <f>Test!E824</f>
        <v>[AUTO]</v>
      </c>
      <c r="E86" s="231">
        <f ca="1">Test!F824</f>
        <v>-1</v>
      </c>
      <c r="F86" s="231">
        <f ca="1">Test!G824</f>
        <v>1</v>
      </c>
      <c r="G86" s="231" t="str">
        <f ca="1">Test!H824</f>
        <v>%</v>
      </c>
      <c r="H86" s="232" t="str">
        <f>Test!I824</f>
        <v>TBC</v>
      </c>
    </row>
    <row r="87" spans="1:8" ht="45.75" customHeight="1" thickBot="1">
      <c r="A87" s="230" t="str">
        <f t="shared" ca="1" si="10"/>
        <v>EXT Current Error Low Load (uA)</v>
      </c>
      <c r="B87" s="231">
        <f>Test!A831</f>
        <v>5.08</v>
      </c>
      <c r="C87" s="231" t="str">
        <f ca="1">Test!B831</f>
        <v>EXT Current Error Low Load (uA)</v>
      </c>
      <c r="D87" s="231" t="str">
        <f>Test!E831</f>
        <v>[AUTO]</v>
      </c>
      <c r="E87" s="231">
        <f ca="1">Test!F831</f>
        <v>-0.1</v>
      </c>
      <c r="F87" s="231">
        <f ca="1">Test!G831</f>
        <v>0.1</v>
      </c>
      <c r="G87" s="231" t="str">
        <f ca="1">Test!H831</f>
        <v>uA</v>
      </c>
      <c r="H87" s="232" t="str">
        <f>Test!I831</f>
        <v>TBC</v>
      </c>
    </row>
    <row r="88" spans="1:8" ht="45.75" customHeight="1" thickBot="1">
      <c r="A88" s="230" t="str">
        <f ca="1">_xlfn.CONCAT(C88," High Frequency Negative")</f>
        <v>EXT Ripple (mV pk-pk) High Frequency Negative</v>
      </c>
      <c r="B88" s="231">
        <f>Test!A837</f>
        <v>5.09</v>
      </c>
      <c r="C88" s="231" t="str">
        <f ca="1">Test!B837</f>
        <v>EXT Ripple (mV pk-pk)</v>
      </c>
      <c r="D88" s="231" t="str">
        <f>Test!E837</f>
        <v>[AUTO]</v>
      </c>
      <c r="E88" s="231">
        <f ca="1">Test!F837</f>
        <v>3</v>
      </c>
      <c r="F88" s="231">
        <f ca="1">Test!G837</f>
        <v>100</v>
      </c>
      <c r="G88" s="231" t="str">
        <f ca="1">Test!H837</f>
        <v>mV pk-pk</v>
      </c>
      <c r="H88" s="232" t="str">
        <f>Test!I837</f>
        <v>TBC</v>
      </c>
    </row>
    <row r="89" spans="1:8" ht="45.75" customHeight="1" thickBot="1">
      <c r="A89" s="230" t="str">
        <f ca="1">_xlfn.CONCAT(C89," Low Frequency Negative")</f>
        <v>EXT Ripple (mV pk-pk) Low Frequency Negative</v>
      </c>
      <c r="B89" s="231">
        <f>Test!A843</f>
        <v>5.0999999999999996</v>
      </c>
      <c r="C89" s="231" t="str">
        <f ca="1">Test!B843</f>
        <v>EXT Ripple (mV pk-pk)</v>
      </c>
      <c r="D89" s="231" t="str">
        <f>Test!E843</f>
        <v>[AUTO]</v>
      </c>
      <c r="E89" s="231">
        <f ca="1">Test!F843</f>
        <v>3</v>
      </c>
      <c r="F89" s="231">
        <f ca="1">Test!G843</f>
        <v>100</v>
      </c>
      <c r="G89" s="231" t="str">
        <f ca="1">Test!H843</f>
        <v>mV pk-pk</v>
      </c>
      <c r="H89" s="232" t="str">
        <f>Test!I843</f>
        <v>TBC</v>
      </c>
    </row>
    <row r="90" spans="1:8" ht="45.75" customHeight="1" thickBot="1">
      <c r="A90" s="230" t="str">
        <f t="shared" si="10"/>
        <v>Ext Output Current High Load (uA)</v>
      </c>
      <c r="B90" s="231">
        <f>Test!A858</f>
        <v>5.1100000000000003</v>
      </c>
      <c r="C90" s="231" t="str">
        <f>Test!B858</f>
        <v>Ext Output Current High Load (uA)</v>
      </c>
      <c r="D90" s="231" t="str">
        <f>Test!E858</f>
        <v>[AUTO]</v>
      </c>
      <c r="E90" s="231">
        <f ca="1">Test!F858</f>
        <v>-390</v>
      </c>
      <c r="F90" s="231">
        <f ca="1">Test!G858</f>
        <v>-351</v>
      </c>
      <c r="G90" s="231" t="str">
        <f ca="1">Test!H858</f>
        <v>uA</v>
      </c>
      <c r="H90" s="232" t="str">
        <f>Test!I858</f>
        <v>TBC</v>
      </c>
    </row>
    <row r="91" spans="1:8" ht="45.75" customHeight="1" thickBot="1">
      <c r="A91" s="230" t="str">
        <f t="shared" ref="A91:A93" ca="1" si="11">C91</f>
        <v>EXT Current Monitor Error High Load (%)</v>
      </c>
      <c r="B91" s="231">
        <f>Test!A861</f>
        <v>5.13</v>
      </c>
      <c r="C91" s="231" t="str">
        <f ca="1">Test!B861</f>
        <v>EXT Current Monitor Error High Load (%)</v>
      </c>
      <c r="D91" s="231" t="str">
        <f>Test!E861</f>
        <v>[AUTO]</v>
      </c>
      <c r="E91" s="231">
        <f ca="1">Test!F861</f>
        <v>-15</v>
      </c>
      <c r="F91" s="231">
        <f ca="1">Test!G861</f>
        <v>15</v>
      </c>
      <c r="G91" s="231" t="str">
        <f ca="1">Test!H861</f>
        <v>%</v>
      </c>
      <c r="H91" s="232" t="str">
        <f>Test!I861</f>
        <v>TBC</v>
      </c>
    </row>
    <row r="92" spans="1:8" ht="45.75" customHeight="1" thickBot="1">
      <c r="A92" s="230" t="str">
        <f t="shared" ca="1" si="11"/>
        <v>EXT Load Regulation (V)</v>
      </c>
      <c r="B92" s="231">
        <f>Test!A884</f>
        <v>5.16</v>
      </c>
      <c r="C92" s="231" t="str">
        <f ca="1">Test!B884</f>
        <v>EXT Load Regulation (V)</v>
      </c>
      <c r="D92" s="231" t="str">
        <f>Test!E884</f>
        <v>[AUTO]</v>
      </c>
      <c r="E92" s="231">
        <f ca="1">Test!F884</f>
        <v>-1.5</v>
      </c>
      <c r="F92" s="231">
        <f ca="1">Test!G884</f>
        <v>1.5</v>
      </c>
      <c r="G92" s="231" t="str">
        <f ca="1">Test!H884</f>
        <v>V</v>
      </c>
      <c r="H92" s="232" t="str">
        <f>Test!I884</f>
        <v>TBC</v>
      </c>
    </row>
    <row r="93" spans="1:8" ht="45.75" customHeight="1" thickBot="1">
      <c r="A93" s="230" t="str">
        <f t="shared" si="11"/>
        <v>Ext Current Limit (uA)</v>
      </c>
      <c r="B93" s="231">
        <f>Test!A900</f>
        <v>5.17</v>
      </c>
      <c r="C93" s="231" t="str">
        <f>Test!B900</f>
        <v>Ext Current Limit (uA)</v>
      </c>
      <c r="D93" s="231" t="str">
        <f>Test!E900</f>
        <v>[AUTO]</v>
      </c>
      <c r="E93" s="231">
        <f ca="1">Test!F900</f>
        <v>390</v>
      </c>
      <c r="F93" s="231">
        <f ca="1">Test!G900</f>
        <v>410</v>
      </c>
      <c r="G93" s="231" t="str">
        <f ca="1">Test!H900</f>
        <v>uA</v>
      </c>
      <c r="H93" s="232" t="str">
        <f>Test!I900</f>
        <v>TBC</v>
      </c>
    </row>
    <row r="94" spans="1:8" ht="45.75" customHeight="1" thickBot="1">
      <c r="A94" s="230" t="str">
        <f t="shared" ref="A94:A96" si="12">C94</f>
        <v>Sup Output Current Off Load (uA)</v>
      </c>
      <c r="B94" s="231">
        <f>Test!A980</f>
        <v>6.01</v>
      </c>
      <c r="C94" s="231" t="str">
        <f>Test!B980</f>
        <v>Sup Output Current Off Load (uA)</v>
      </c>
      <c r="D94" s="231" t="str">
        <f>Test!E980</f>
        <v>[AUTO]</v>
      </c>
      <c r="E94" s="231">
        <f ca="1">Test!F980</f>
        <v>-3</v>
      </c>
      <c r="F94" s="231">
        <f ca="1">Test!G980</f>
        <v>3</v>
      </c>
      <c r="G94" s="231" t="str">
        <f ca="1">Test!H980</f>
        <v>uA</v>
      </c>
      <c r="H94" s="232" t="str">
        <f>Test!I980</f>
        <v>TBC</v>
      </c>
    </row>
    <row r="95" spans="1:8" ht="45.75" customHeight="1" thickBot="1">
      <c r="A95" s="230" t="str">
        <f t="shared" si="12"/>
        <v>Sup Vout Off Load Minimum (V)</v>
      </c>
      <c r="B95" s="231">
        <f>Test!A983</f>
        <v>6.02</v>
      </c>
      <c r="C95" s="231" t="str">
        <f>Test!B983</f>
        <v>Sup Vout Off Load Minimum (V)</v>
      </c>
      <c r="D95" s="231" t="str">
        <f>Test!E983</f>
        <v>[AUTO]</v>
      </c>
      <c r="E95" s="231">
        <f ca="1">Test!F983</f>
        <v>-100</v>
      </c>
      <c r="F95" s="231">
        <f ca="1">Test!G983</f>
        <v>100</v>
      </c>
      <c r="G95" s="231" t="str">
        <f ca="1">Test!H983</f>
        <v>V</v>
      </c>
      <c r="H95" s="232" t="str">
        <f>Test!I983</f>
        <v>TBC</v>
      </c>
    </row>
    <row r="96" spans="1:8" ht="45.75" customHeight="1" thickBot="1">
      <c r="A96" s="230" t="str">
        <f t="shared" si="12"/>
        <v>Sup Vout Off Load Neg (V)</v>
      </c>
      <c r="B96" s="231">
        <f>Test!A988</f>
        <v>6.03</v>
      </c>
      <c r="C96" s="231" t="str">
        <f>Test!B988</f>
        <v>Sup Vout Off Load Neg (V)</v>
      </c>
      <c r="D96" s="231" t="str">
        <f>Test!E988</f>
        <v>[AUTO]</v>
      </c>
      <c r="E96" s="231">
        <f ca="1">Test!F988</f>
        <v>-2020</v>
      </c>
      <c r="F96" s="231">
        <f ca="1">Test!G988</f>
        <v>-1980</v>
      </c>
      <c r="G96" s="231" t="str">
        <f ca="1">Test!H988</f>
        <v>V</v>
      </c>
      <c r="H96" s="232" t="str">
        <f>Test!I988</f>
        <v>TBC</v>
      </c>
    </row>
    <row r="97" spans="1:8" ht="45.75" customHeight="1" thickBot="1">
      <c r="A97" s="230" t="str">
        <f t="shared" ref="A97:A103" si="13">C97</f>
        <v>Sup Vout Off Load Pos (V)</v>
      </c>
      <c r="B97" s="231">
        <f>Test!A993</f>
        <v>6.04</v>
      </c>
      <c r="C97" s="231" t="str">
        <f>Test!B993</f>
        <v>Sup Vout Off Load Pos (V)</v>
      </c>
      <c r="D97" s="231" t="str">
        <f>Test!E993</f>
        <v>[AUTO]</v>
      </c>
      <c r="E97" s="231">
        <f ca="1">Test!F993</f>
        <v>1980</v>
      </c>
      <c r="F97" s="231">
        <f ca="1">Test!G993</f>
        <v>2020</v>
      </c>
      <c r="G97" s="231" t="str">
        <f ca="1">Test!H993</f>
        <v>V</v>
      </c>
      <c r="H97" s="232" t="str">
        <f>Test!I993</f>
        <v>TBC</v>
      </c>
    </row>
    <row r="98" spans="1:8" ht="45.75" customHeight="1" thickBot="1">
      <c r="A98" s="230" t="str">
        <f t="shared" si="13"/>
        <v>Sup Current Limit Pos (uA)</v>
      </c>
      <c r="B98" s="231">
        <f>Test!A1005</f>
        <v>6.05</v>
      </c>
      <c r="C98" s="231" t="str">
        <f>Test!B1005</f>
        <v>Sup Current Limit Pos (uA)</v>
      </c>
      <c r="D98" s="231" t="str">
        <f>Test!E1005</f>
        <v>[AUTO]</v>
      </c>
      <c r="E98" s="231">
        <f ca="1">Test!F1005</f>
        <v>70</v>
      </c>
      <c r="F98" s="231">
        <f ca="1">Test!G1005</f>
        <v>80</v>
      </c>
      <c r="G98" s="231" t="str">
        <f ca="1">Test!H1005</f>
        <v>uA</v>
      </c>
      <c r="H98" s="232" t="str">
        <f>Test!I1005</f>
        <v>TBC</v>
      </c>
    </row>
    <row r="99" spans="1:8" ht="45.75" customHeight="1" thickBot="1">
      <c r="A99" s="230" t="str">
        <f t="shared" si="13"/>
        <v>Sup Vout Full Load Pos (V)</v>
      </c>
      <c r="B99" s="231">
        <f>Test!A1014</f>
        <v>6.06</v>
      </c>
      <c r="C99" s="231" t="str">
        <f>Test!B1014</f>
        <v>Sup Vout Full Load Pos (V)</v>
      </c>
      <c r="D99" s="231" t="str">
        <f>Test!E1014</f>
        <v>[AUTO]</v>
      </c>
      <c r="E99" s="231">
        <f ca="1">Test!F1014</f>
        <v>1940</v>
      </c>
      <c r="F99" s="231">
        <f ca="1">Test!G1014</f>
        <v>1980</v>
      </c>
      <c r="G99" s="231" t="str">
        <f ca="1">Test!H1014</f>
        <v>V</v>
      </c>
      <c r="H99" s="232" t="str">
        <f>Test!I1014</f>
        <v>TBC</v>
      </c>
    </row>
    <row r="100" spans="1:8" ht="45.75" customHeight="1" thickBot="1">
      <c r="A100" s="230" t="str">
        <f t="shared" ca="1" si="13"/>
        <v>SUP Voltage Monitor Error Pos (%)</v>
      </c>
      <c r="B100" s="231">
        <f>Test!A1017</f>
        <v>6.07</v>
      </c>
      <c r="C100" s="231" t="str">
        <f ca="1">Test!B1017</f>
        <v>SUP Voltage Monitor Error Pos (%)</v>
      </c>
      <c r="D100" s="231" t="str">
        <f>Test!E1017</f>
        <v>[AUTO]</v>
      </c>
      <c r="E100" s="231">
        <f ca="1">Test!F1017</f>
        <v>-1</v>
      </c>
      <c r="F100" s="231">
        <f ca="1">Test!G1017</f>
        <v>1</v>
      </c>
      <c r="G100" s="231" t="str">
        <f ca="1">Test!H1017</f>
        <v>%</v>
      </c>
      <c r="H100" s="232" t="str">
        <f>Test!I1017</f>
        <v>TBC</v>
      </c>
    </row>
    <row r="101" spans="1:8" s="380" customFormat="1" ht="45.75" customHeight="1" thickBot="1">
      <c r="A101" s="230" t="str">
        <f ca="1">_xlfn.CONCAT(C101," High Frequency Positive")</f>
        <v>SUP Ripple (mV pk-pk) High Frequency Positive</v>
      </c>
      <c r="B101" s="231">
        <f>Test!A1023</f>
        <v>6.08</v>
      </c>
      <c r="C101" s="231" t="str">
        <f ca="1">Test!B1023</f>
        <v>SUP Ripple (mV pk-pk)</v>
      </c>
      <c r="D101" s="231" t="str">
        <f>Test!E1023</f>
        <v>[AUTO]</v>
      </c>
      <c r="E101" s="231">
        <f ca="1">Test!F1023</f>
        <v>3</v>
      </c>
      <c r="F101" s="231">
        <f ca="1">Test!G1023</f>
        <v>150</v>
      </c>
      <c r="G101" s="231" t="str">
        <f ca="1">Test!H1023</f>
        <v>mV pk-pk</v>
      </c>
      <c r="H101" s="232" t="str">
        <f>Test!I1023</f>
        <v>TBC</v>
      </c>
    </row>
    <row r="102" spans="1:8" s="380" customFormat="1" ht="45.75" customHeight="1" thickBot="1">
      <c r="A102" s="230" t="str">
        <f ca="1">_xlfn.CONCAT(C102," Low Frequency Positive")</f>
        <v>SUP Ripple (mV pk-pk) Low Frequency Positive</v>
      </c>
      <c r="B102" s="231">
        <f>Test!A1029</f>
        <v>6.09</v>
      </c>
      <c r="C102" s="231" t="str">
        <f ca="1">Test!B1029</f>
        <v>SUP Ripple (mV pk-pk)</v>
      </c>
      <c r="D102" s="231" t="str">
        <f>Test!E1029</f>
        <v>[AUTO]</v>
      </c>
      <c r="E102" s="231">
        <f ca="1">Test!F1029</f>
        <v>3</v>
      </c>
      <c r="F102" s="231">
        <f ca="1">Test!G1029</f>
        <v>150</v>
      </c>
      <c r="G102" s="231" t="str">
        <f ca="1">Test!H1029</f>
        <v>mV pk-pk</v>
      </c>
      <c r="H102" s="232" t="str">
        <f>Test!I1029</f>
        <v>TBC</v>
      </c>
    </row>
    <row r="103" spans="1:8" ht="45.75" customHeight="1" thickBot="1">
      <c r="A103" s="230" t="str">
        <f t="shared" ca="1" si="13"/>
        <v>SUP Load Regulation Pos (V)</v>
      </c>
      <c r="B103" s="231">
        <f>Test!A1047</f>
        <v>6.12</v>
      </c>
      <c r="C103" s="231" t="str">
        <f ca="1">Test!B1047</f>
        <v>SUP Load Regulation Pos (V)</v>
      </c>
      <c r="D103" s="231" t="str">
        <f>Test!E1047</f>
        <v>[AUTO]</v>
      </c>
      <c r="E103" s="231">
        <f ca="1">Test!F1047</f>
        <v>-0.2</v>
      </c>
      <c r="F103" s="231">
        <f ca="1">Test!G1047</f>
        <v>0.2</v>
      </c>
      <c r="G103" s="231" t="str">
        <f ca="1">Test!H1047</f>
        <v>V</v>
      </c>
      <c r="H103" s="232" t="str">
        <f>Test!I1047</f>
        <v>TBC</v>
      </c>
    </row>
    <row r="104" spans="1:8" ht="45.75" customHeight="1" thickBot="1">
      <c r="A104" s="230" t="str">
        <f t="shared" ref="A104:A109" si="14">C104</f>
        <v>Sup Current Limit Neg (uA)</v>
      </c>
      <c r="B104" s="231">
        <f>Test!A1060</f>
        <v>6.13</v>
      </c>
      <c r="C104" s="231" t="str">
        <f>Test!B1060</f>
        <v>Sup Current Limit Neg (uA)</v>
      </c>
      <c r="D104" s="231" t="str">
        <f>Test!E1060</f>
        <v>[AUTO]</v>
      </c>
      <c r="E104" s="231">
        <f ca="1">Test!F1060</f>
        <v>70</v>
      </c>
      <c r="F104" s="231">
        <f ca="1">Test!G1060</f>
        <v>80</v>
      </c>
      <c r="G104" s="231" t="str">
        <f ca="1">Test!H1060</f>
        <v>uA</v>
      </c>
      <c r="H104" s="232" t="str">
        <f>Test!I1060</f>
        <v>TBC</v>
      </c>
    </row>
    <row r="105" spans="1:8" ht="45.75" customHeight="1" thickBot="1">
      <c r="A105" s="230" t="str">
        <f t="shared" si="14"/>
        <v>Sup Vout Full Load Neg (V)</v>
      </c>
      <c r="B105" s="231">
        <f>Test!A1069</f>
        <v>6.14</v>
      </c>
      <c r="C105" s="231" t="str">
        <f>Test!B1069</f>
        <v>Sup Vout Full Load Neg (V)</v>
      </c>
      <c r="D105" s="231" t="str">
        <f>Test!E1069</f>
        <v>[AUTO]</v>
      </c>
      <c r="E105" s="231">
        <f ca="1">Test!F1069</f>
        <v>-1980</v>
      </c>
      <c r="F105" s="231">
        <f ca="1">Test!G1069</f>
        <v>-1940</v>
      </c>
      <c r="G105" s="231" t="str">
        <f ca="1">Test!H1069</f>
        <v>V</v>
      </c>
      <c r="H105" s="232" t="str">
        <f>Test!I1069</f>
        <v>TBC</v>
      </c>
    </row>
    <row r="106" spans="1:8" ht="45.75" customHeight="1" thickBot="1">
      <c r="A106" s="230" t="str">
        <f t="shared" ca="1" si="14"/>
        <v>SUP Voltage Monitor Error Neg (%)</v>
      </c>
      <c r="B106" s="231">
        <f>Test!A1072</f>
        <v>6.15</v>
      </c>
      <c r="C106" s="231" t="str">
        <f ca="1">Test!B1072</f>
        <v>SUP Voltage Monitor Error Neg (%)</v>
      </c>
      <c r="D106" s="231" t="str">
        <f>Test!E1072</f>
        <v>[AUTO]</v>
      </c>
      <c r="E106" s="231">
        <f ca="1">Test!F1072</f>
        <v>-1</v>
      </c>
      <c r="F106" s="231">
        <f ca="1">Test!G1072</f>
        <v>1</v>
      </c>
      <c r="G106" s="231" t="str">
        <f ca="1">Test!H1072</f>
        <v>%</v>
      </c>
      <c r="H106" s="232" t="str">
        <f>Test!I1072</f>
        <v>TBC</v>
      </c>
    </row>
    <row r="107" spans="1:8" s="432" customFormat="1" ht="45.75" customHeight="1" thickBot="1">
      <c r="A107" s="230" t="str">
        <f ca="1">_xlfn.CONCAT(C107," High Frequency Negative")</f>
        <v>SUP Ripple (mV pk-pk) High Frequency Negative</v>
      </c>
      <c r="B107" s="231">
        <f>Test!A1078</f>
        <v>6.16</v>
      </c>
      <c r="C107" s="231" t="str">
        <f ca="1">Test!B1078</f>
        <v>SUP Ripple (mV pk-pk)</v>
      </c>
      <c r="D107" s="231">
        <f>Test!C1078</f>
        <v>0</v>
      </c>
      <c r="E107" s="231">
        <f ca="1">Test!F1078</f>
        <v>3</v>
      </c>
      <c r="F107" s="231">
        <f ca="1">Test!G1078</f>
        <v>150</v>
      </c>
      <c r="G107" s="231" t="str">
        <f ca="1">Test!H1078</f>
        <v>mV pk-pk</v>
      </c>
      <c r="H107" s="232" t="str">
        <f>Test!I1078</f>
        <v>TBC</v>
      </c>
    </row>
    <row r="108" spans="1:8" s="432" customFormat="1" ht="45.75" customHeight="1" thickBot="1">
      <c r="A108" s="230" t="str">
        <f ca="1">_xlfn.CONCAT(C108," Low Frequency Negative")</f>
        <v>SUP Ripple (mV pk-pk) Low Frequency Negative</v>
      </c>
      <c r="B108" s="231">
        <f>Test!A1084</f>
        <v>6.17</v>
      </c>
      <c r="C108" s="231" t="str">
        <f ca="1">Test!B1084</f>
        <v>SUP Ripple (mV pk-pk)</v>
      </c>
      <c r="D108" s="231">
        <f>Test!C1084</f>
        <v>0</v>
      </c>
      <c r="E108" s="231">
        <f ca="1">Test!F1084</f>
        <v>3</v>
      </c>
      <c r="F108" s="231">
        <f ca="1">Test!G1084</f>
        <v>150</v>
      </c>
      <c r="G108" s="231" t="str">
        <f ca="1">Test!H1084</f>
        <v>mV pk-pk</v>
      </c>
      <c r="H108" s="232" t="str">
        <f>Test!I1084</f>
        <v>TBC</v>
      </c>
    </row>
    <row r="109" spans="1:8" ht="45.75" customHeight="1" thickBot="1">
      <c r="A109" s="230" t="str">
        <f t="shared" ca="1" si="14"/>
        <v>SUP Load Regulation Neg (V)</v>
      </c>
      <c r="B109" s="231">
        <f>Test!A1102</f>
        <v>6.2</v>
      </c>
      <c r="C109" s="231" t="str">
        <f ca="1">Test!B1102</f>
        <v>SUP Load Regulation Neg (V)</v>
      </c>
      <c r="D109" s="231" t="str">
        <f>Test!E1102</f>
        <v>[AUTO]</v>
      </c>
      <c r="E109" s="231">
        <f ca="1">Test!F1102</f>
        <v>-0.2</v>
      </c>
      <c r="F109" s="231">
        <f ca="1">Test!G1102</f>
        <v>0.2</v>
      </c>
      <c r="G109" s="231" t="str">
        <f ca="1">Test!H1102</f>
        <v>V</v>
      </c>
      <c r="H109" s="232" t="str">
        <f>Test!I1102</f>
        <v>TBC</v>
      </c>
    </row>
    <row r="110" spans="1:8" ht="45.75" customHeight="1" thickBot="1">
      <c r="A110" s="230" t="str">
        <f>_xlfn.CONCAT(C110," @ 4A")</f>
        <v>Fil Imon (A) @ 4A</v>
      </c>
      <c r="B110" s="231">
        <f>Test!A1171</f>
        <v>7.01</v>
      </c>
      <c r="C110" s="231" t="str">
        <f>Test!B1171</f>
        <v>Fil Imon (A)</v>
      </c>
      <c r="D110" s="231">
        <f>Test!E1171</f>
        <v>0</v>
      </c>
      <c r="E110" s="231">
        <f ca="1">Test!F1171</f>
        <v>3.84</v>
      </c>
      <c r="F110" s="231">
        <f ca="1">Test!G1171</f>
        <v>4.16</v>
      </c>
      <c r="G110" s="231" t="str">
        <f ca="1">Test!H1171</f>
        <v>A</v>
      </c>
      <c r="H110" s="232" t="str">
        <f>Test!I1171</f>
        <v>TBC</v>
      </c>
    </row>
    <row r="111" spans="1:8" ht="45.75" customHeight="1" thickBot="1">
      <c r="A111" s="230" t="str">
        <f>_xlfn.CONCAT(C111," @ 4A")</f>
        <v>Fil Shunt Iout (A) @ 4A</v>
      </c>
      <c r="B111" s="231">
        <f>Test!A1173</f>
        <v>7.02</v>
      </c>
      <c r="C111" s="231" t="str">
        <f>Test!B1173</f>
        <v>Fil Shunt Iout (A)</v>
      </c>
      <c r="D111" s="231" t="str">
        <f>Test!E1173</f>
        <v>[AUTO]</v>
      </c>
      <c r="E111" s="231">
        <f ca="1">Test!F1173</f>
        <v>3.9950000000000001</v>
      </c>
      <c r="F111" s="231">
        <f ca="1">Test!G1173</f>
        <v>4.0049999999999999</v>
      </c>
      <c r="G111" s="231" t="str">
        <f ca="1">Test!H1173</f>
        <v>A</v>
      </c>
      <c r="H111" s="232" t="str">
        <f>Test!I1173</f>
        <v>TBC</v>
      </c>
    </row>
    <row r="112" spans="1:8" ht="45.75" customHeight="1" thickBot="1">
      <c r="A112" s="230" t="str">
        <f ca="1">_xlfn.CONCAT(C112," @ 4A")</f>
        <v>FIL Current Monitor Error mA (%) @ 4A</v>
      </c>
      <c r="B112" s="231">
        <f>Test!A1174</f>
        <v>7.03</v>
      </c>
      <c r="C112" s="231" t="str">
        <f ca="1">Test!B1174</f>
        <v>FIL Current Monitor Error mA (%)</v>
      </c>
      <c r="D112" s="231" t="str">
        <f>Test!E1174</f>
        <v>[AUTO]</v>
      </c>
      <c r="E112" s="231">
        <f ca="1">Test!F1174</f>
        <v>-4</v>
      </c>
      <c r="F112" s="231">
        <f ca="1">Test!G1174</f>
        <v>4</v>
      </c>
      <c r="G112" s="231" t="str">
        <f ca="1">Test!H1174</f>
        <v>%</v>
      </c>
      <c r="H112" s="232" t="str">
        <f>Test!I1174</f>
        <v>TBC</v>
      </c>
    </row>
    <row r="113" spans="1:8" ht="45.75" customHeight="1" thickBot="1">
      <c r="A113" s="230" t="str">
        <f ca="1">_xlfn.CONCAT(C113," @ 4A")</f>
        <v>FIL Voltage Monitor Error V (%) @ 4A</v>
      </c>
      <c r="B113" s="231">
        <f>Test!A1179</f>
        <v>7.05</v>
      </c>
      <c r="C113" s="231" t="str">
        <f ca="1">Test!B1179</f>
        <v>FIL Voltage Monitor Error V (%)</v>
      </c>
      <c r="D113" s="231" t="str">
        <f>Test!E1179</f>
        <v>[AUTO]</v>
      </c>
      <c r="E113" s="231">
        <f ca="1">Test!F1179</f>
        <v>-4</v>
      </c>
      <c r="F113" s="231">
        <f ca="1">Test!G1179</f>
        <v>4</v>
      </c>
      <c r="G113" s="231" t="str">
        <f ca="1">Test!H1179</f>
        <v>%</v>
      </c>
      <c r="H113" s="232" t="str">
        <f>Test!I1179</f>
        <v>TBC</v>
      </c>
    </row>
    <row r="114" spans="1:8" ht="45.75" customHeight="1" thickBot="1">
      <c r="A114" s="230" t="str">
        <f>_xlfn.CONCAT(C114," @ 2.5A")</f>
        <v>Fil Imon (A) @ 2.5A</v>
      </c>
      <c r="B114" s="231">
        <f>Test!A1186</f>
        <v>7.06</v>
      </c>
      <c r="C114" s="231" t="str">
        <f>Test!B1186</f>
        <v>Fil Imon (A)</v>
      </c>
      <c r="D114" s="231">
        <f>Test!E1186</f>
        <v>0</v>
      </c>
      <c r="E114" s="231">
        <f ca="1">Test!F1186</f>
        <v>2.34</v>
      </c>
      <c r="F114" s="231">
        <f ca="1">Test!G1186</f>
        <v>2.66</v>
      </c>
      <c r="G114" s="231" t="str">
        <f ca="1">Test!H1186</f>
        <v>A</v>
      </c>
      <c r="H114" s="232" t="str">
        <f>Test!I1186</f>
        <v>TBC</v>
      </c>
    </row>
    <row r="115" spans="1:8" ht="45.75" customHeight="1" thickBot="1">
      <c r="A115" s="230" t="str">
        <f>_xlfn.CONCAT(C115," @ 2.5A")</f>
        <v>Fil Shunt Iout (A) @ 2.5A</v>
      </c>
      <c r="B115" s="231">
        <f>Test!A1188</f>
        <v>7.07</v>
      </c>
      <c r="C115" s="231" t="str">
        <f>Test!B1188</f>
        <v>Fil Shunt Iout (A)</v>
      </c>
      <c r="D115" s="231" t="str">
        <f>Test!E1188</f>
        <v>[AUTO]</v>
      </c>
      <c r="E115" s="231">
        <f ca="1">Test!F1188</f>
        <v>2.4950000000000001</v>
      </c>
      <c r="F115" s="231">
        <f ca="1">Test!G1188</f>
        <v>2.5049999999999999</v>
      </c>
      <c r="G115" s="231" t="str">
        <f ca="1">Test!H1188</f>
        <v>A</v>
      </c>
      <c r="H115" s="232" t="str">
        <f>Test!I1188</f>
        <v>TBC</v>
      </c>
    </row>
    <row r="116" spans="1:8" ht="45.75" customHeight="1" thickBot="1">
      <c r="A116" s="230" t="str">
        <f ca="1">_xlfn.CONCAT(C116," @ 2.5A")</f>
        <v>FIL Current Monitor Error mA (%) @ 2.5A</v>
      </c>
      <c r="B116" s="231">
        <f>Test!A1189</f>
        <v>7.08</v>
      </c>
      <c r="C116" s="231" t="str">
        <f ca="1">Test!B1189</f>
        <v>FIL Current Monitor Error mA (%)</v>
      </c>
      <c r="D116" s="231" t="str">
        <f>Test!E1189</f>
        <v>[AUTO]</v>
      </c>
      <c r="E116" s="231">
        <f ca="1">Test!F1189</f>
        <v>-4</v>
      </c>
      <c r="F116" s="231">
        <f ca="1">Test!G1189</f>
        <v>4</v>
      </c>
      <c r="G116" s="231" t="str">
        <f ca="1">Test!H1189</f>
        <v>%</v>
      </c>
      <c r="H116" s="232" t="str">
        <f>Test!I1189</f>
        <v>TBC</v>
      </c>
    </row>
    <row r="117" spans="1:8" ht="45.75" customHeight="1" thickBot="1">
      <c r="A117" s="230" t="str">
        <f ca="1">_xlfn.CONCAT(C117," @ 2.5A")</f>
        <v>FIL Voltage Monitor Error V (%) @ 2.5A</v>
      </c>
      <c r="B117" s="231">
        <f>Test!A1194</f>
        <v>7.1</v>
      </c>
      <c r="C117" s="231" t="str">
        <f ca="1">Test!B1194</f>
        <v>FIL Voltage Monitor Error V (%)</v>
      </c>
      <c r="D117" s="231" t="str">
        <f>Test!E1194</f>
        <v>[AUTO]</v>
      </c>
      <c r="E117" s="231">
        <f ca="1">Test!F1194</f>
        <v>-4</v>
      </c>
      <c r="F117" s="231">
        <f ca="1">Test!G1194</f>
        <v>4</v>
      </c>
      <c r="G117" s="231" t="str">
        <f ca="1">Test!H1194</f>
        <v>%</v>
      </c>
      <c r="H117" s="232" t="str">
        <f>Test!I1194</f>
        <v>TBC</v>
      </c>
    </row>
    <row r="118" spans="1:8" ht="45.75" customHeight="1" thickBot="1">
      <c r="A118" s="230" t="str">
        <f>_xlfn.CONCAT(C118," @ 4A")</f>
        <v>Fil Imon On Load (A) @ 4A</v>
      </c>
      <c r="B118" s="231">
        <f>Test!A1209</f>
        <v>7.11</v>
      </c>
      <c r="C118" s="231" t="str">
        <f>Test!B1209</f>
        <v>Fil Imon On Load (A)</v>
      </c>
      <c r="D118" s="231">
        <f>Test!E1209</f>
        <v>0</v>
      </c>
      <c r="E118" s="231">
        <f ca="1">Test!F1209</f>
        <v>3.84</v>
      </c>
      <c r="F118" s="231">
        <f ca="1">Test!G1209</f>
        <v>4.16</v>
      </c>
      <c r="G118" s="231" t="str">
        <f ca="1">Test!H1209</f>
        <v>A</v>
      </c>
      <c r="H118" s="232" t="str">
        <f>Test!I1209</f>
        <v>TBC</v>
      </c>
    </row>
    <row r="119" spans="1:8" ht="45.75" customHeight="1" thickBot="1">
      <c r="A119" s="230" t="str">
        <f>_xlfn.CONCAT(C119," @ 4A")</f>
        <v>Fil Imon Off Load (A) @ 4A</v>
      </c>
      <c r="B119" s="231">
        <f>Test!A1212</f>
        <v>7.12</v>
      </c>
      <c r="C119" s="231" t="str">
        <f>Test!B1212</f>
        <v>Fil Imon Off Load (A)</v>
      </c>
      <c r="D119" s="231">
        <f>Test!E1212</f>
        <v>0</v>
      </c>
      <c r="E119" s="231">
        <f ca="1">Test!F1212</f>
        <v>3.84</v>
      </c>
      <c r="F119" s="231">
        <f ca="1">Test!G1212</f>
        <v>4.16</v>
      </c>
      <c r="G119" s="231" t="str">
        <f ca="1">Test!H1212</f>
        <v>A</v>
      </c>
      <c r="H119" s="232" t="str">
        <f>Test!I1212</f>
        <v>TBC</v>
      </c>
    </row>
    <row r="120" spans="1:8" ht="45.75" customHeight="1" thickBot="1">
      <c r="A120" s="230" t="str">
        <f ca="1">_xlfn.CONCAT(C120," @ 4A")</f>
        <v>FIL Current Regulation (mA) @ 4A</v>
      </c>
      <c r="B120" s="231">
        <f>Test!A1213</f>
        <v>7.13</v>
      </c>
      <c r="C120" s="231" t="str">
        <f ca="1">Test!B1213</f>
        <v>FIL Current Regulation (mA)</v>
      </c>
      <c r="D120" s="231" t="str">
        <f>Test!E1213</f>
        <v>[AUTO]</v>
      </c>
      <c r="E120" s="231">
        <f ca="1">Test!F1213</f>
        <v>-5</v>
      </c>
      <c r="F120" s="231">
        <f ca="1">Test!G1213</f>
        <v>5</v>
      </c>
      <c r="G120" s="231" t="str">
        <f ca="1">Test!H1213</f>
        <v>mA</v>
      </c>
      <c r="H120" s="232" t="str">
        <f>Test!I1213</f>
        <v>TBC</v>
      </c>
    </row>
    <row r="121" spans="1:8" ht="45.75" customHeight="1">
      <c r="A121" s="432"/>
    </row>
  </sheetData>
  <autoFilter ref="B8:H120" xr:uid="{5F738196-CB69-4CF2-AFD8-0D78141C31E8}"/>
  <mergeCells count="2">
    <mergeCell ref="A1:C1"/>
    <mergeCell ref="A7:H7"/>
  </mergeCells>
  <conditionalFormatting sqref="A1:A120 A122:A1048576">
    <cfRule type="duplicateValues" dxfId="240" priority="22850"/>
  </conditionalFormatting>
  <pageMargins left="0.7" right="0.7" top="0.75" bottom="0.75" header="0.3" footer="0.3"/>
  <pageSetup orientation="portrait" horizontalDpi="4294967294"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D6768-DE8D-4B15-9BAB-DD945C58A9A7}">
  <sheetPr codeName="Sheet5"/>
  <dimension ref="A1:S1030"/>
  <sheetViews>
    <sheetView topLeftCell="I112" workbookViewId="0">
      <selection activeCell="L121" sqref="L121"/>
    </sheetView>
  </sheetViews>
  <sheetFormatPr defaultRowHeight="15"/>
  <cols>
    <col min="1" max="1" width="9.140625" style="43"/>
    <col min="2" max="2" width="31.42578125" style="43" bestFit="1" customWidth="1"/>
    <col min="3" max="3" width="47.5703125" style="43" bestFit="1" customWidth="1"/>
    <col min="4" max="4" width="30.85546875" style="43" customWidth="1"/>
    <col min="5" max="9" width="9.140625" style="43"/>
    <col min="10" max="12" width="25.7109375" style="43" customWidth="1"/>
    <col min="13" max="14" width="15.7109375" style="43" customWidth="1"/>
    <col min="15" max="15" width="29.7109375" style="43" bestFit="1" customWidth="1"/>
    <col min="16" max="19" width="13.28515625" style="43" customWidth="1"/>
    <col min="20" max="16384" width="9.140625" style="43"/>
  </cols>
  <sheetData>
    <row r="1" spans="2:10" ht="15.75" thickBot="1"/>
    <row r="2" spans="2:10" ht="15.75" thickBot="1">
      <c r="B2" s="27" t="s">
        <v>39</v>
      </c>
      <c r="C2" s="28"/>
      <c r="D2" s="28"/>
      <c r="E2" s="29"/>
    </row>
    <row r="3" spans="2:10">
      <c r="B3" s="23" t="s">
        <v>52</v>
      </c>
      <c r="C3" s="23"/>
      <c r="D3" s="23"/>
    </row>
    <row r="4" spans="2:10">
      <c r="B4" s="23" t="s">
        <v>43</v>
      </c>
      <c r="C4" s="23" t="s">
        <v>40</v>
      </c>
      <c r="D4" s="23" t="s">
        <v>44</v>
      </c>
    </row>
    <row r="5" spans="2:10">
      <c r="B5" s="23" t="s">
        <v>81</v>
      </c>
      <c r="C5" s="23" t="str">
        <f ca="1">SUBSTITUTE(CELL("address",INDIRECT(tblGoSubRoutineStartCell[[#This Row],[Table_Name]])),"$","")</f>
        <v>K29</v>
      </c>
      <c r="D5" s="23" t="s">
        <v>79</v>
      </c>
    </row>
    <row r="6" spans="2:10">
      <c r="B6" s="23" t="s">
        <v>70</v>
      </c>
      <c r="C6" s="23" t="str">
        <f ca="1">SUBSTITUTE(CELL("address",INDIRECT(tblGoSubRoutineStartCell[[#This Row],[Table_Name]])),"$","")</f>
        <v>K56</v>
      </c>
      <c r="D6" s="43" t="s">
        <v>76</v>
      </c>
      <c r="J6" s="43" t="s">
        <v>63</v>
      </c>
    </row>
    <row r="7" spans="2:10">
      <c r="B7" s="23" t="s">
        <v>142</v>
      </c>
      <c r="C7" s="23" t="str">
        <f ca="1">SUBSTITUTE(CELL("address",INDIRECT(tblGoSubRoutineStartCell[[#This Row],[Table_Name]])),"$","")</f>
        <v>K72</v>
      </c>
      <c r="D7" s="43" t="s">
        <v>376</v>
      </c>
    </row>
    <row r="8" spans="2:10">
      <c r="B8" s="23" t="s">
        <v>144</v>
      </c>
      <c r="C8" s="23" t="str">
        <f ca="1">SUBSTITUTE(CELL("address",INDIRECT(tblGoSubRoutineStartCell[[#This Row],[Table_Name]])),"$","")</f>
        <v>K80</v>
      </c>
      <c r="D8" s="43" t="s">
        <v>143</v>
      </c>
    </row>
    <row r="9" spans="2:10">
      <c r="B9" s="23" t="s">
        <v>146</v>
      </c>
      <c r="C9" s="23" t="str">
        <f ca="1">SUBSTITUTE(CELL("address",INDIRECT(tblGoSubRoutineStartCell[[#This Row],[Table_Name]])),"$","")</f>
        <v>K85</v>
      </c>
      <c r="D9" s="43" t="s">
        <v>145</v>
      </c>
    </row>
    <row r="10" spans="2:10">
      <c r="B10" s="23" t="s">
        <v>150</v>
      </c>
      <c r="C10" s="23" t="str">
        <f ca="1">SUBSTITUTE(CELL("address",INDIRECT(tblGoSubRoutineStartCell[[#This Row],[Table_Name]])),"$","")</f>
        <v>K90</v>
      </c>
      <c r="D10" s="23" t="s">
        <v>149</v>
      </c>
    </row>
    <row r="11" spans="2:10">
      <c r="B11" s="23" t="s">
        <v>159</v>
      </c>
      <c r="C11" s="23" t="str">
        <f ca="1">SUBSTITUTE(CELL("address",INDIRECT(tblGoSubRoutineStartCell[[#This Row],[Table_Name]])),"$","")</f>
        <v>K96</v>
      </c>
      <c r="D11" s="23" t="s">
        <v>158</v>
      </c>
    </row>
    <row r="12" spans="2:10">
      <c r="B12" s="23" t="s">
        <v>186</v>
      </c>
      <c r="C12" s="30" t="str">
        <f ca="1">SUBSTITUTE(CELL("address",INDIRECT(tblGoSubRoutineStartCell[[#This Row],[Table_Name]])),"$","")</f>
        <v>K104</v>
      </c>
      <c r="D12" s="23" t="s">
        <v>185</v>
      </c>
    </row>
    <row r="13" spans="2:10">
      <c r="B13" s="23" t="s">
        <v>188</v>
      </c>
      <c r="C13" s="30" t="str">
        <f ca="1">SUBSTITUTE(CELL("address",INDIRECT(tblGoSubRoutineStartCell[[#This Row],[Table_Name]])),"$","")</f>
        <v>K121</v>
      </c>
      <c r="D13" s="23" t="s">
        <v>187</v>
      </c>
    </row>
    <row r="14" spans="2:10">
      <c r="B14" s="23" t="s">
        <v>197</v>
      </c>
      <c r="C14" s="30" t="str">
        <f ca="1">SUBSTITUTE(CELL("address",INDIRECT(tblGoSubRoutineStartCell[[#This Row],[Table_Name]])),"$","")</f>
        <v>K133</v>
      </c>
      <c r="D14" s="23" t="s">
        <v>198</v>
      </c>
    </row>
    <row r="15" spans="2:10">
      <c r="B15" s="23" t="s">
        <v>199</v>
      </c>
      <c r="C15" s="30" t="str">
        <f ca="1">SUBSTITUTE(CELL("address",INDIRECT(tblGoSubRoutineStartCell[[#This Row],[Table_Name]])),"$","")</f>
        <v>K151</v>
      </c>
      <c r="D15" s="23" t="s">
        <v>200</v>
      </c>
    </row>
    <row r="16" spans="2:10">
      <c r="B16" s="23" t="s">
        <v>196</v>
      </c>
      <c r="C16" s="30" t="str">
        <f ca="1">SUBSTITUTE(CELL("address",INDIRECT(tblGoSubRoutineStartCell[[#This Row],[Table_Name]])),"$","")</f>
        <v>K158</v>
      </c>
      <c r="D16" s="23" t="s">
        <v>224</v>
      </c>
    </row>
    <row r="17" spans="1:19" s="175" customFormat="1">
      <c r="B17" s="214" t="s">
        <v>357</v>
      </c>
      <c r="C17" s="215" t="str">
        <f ca="1">SUBSTITUTE(CELL("address",INDIRECT(tblGoSubRoutineStartCell[[#This Row],[Table_Name]])),"$","")</f>
        <v>K165</v>
      </c>
      <c r="D17" s="214" t="s">
        <v>356</v>
      </c>
    </row>
    <row r="18" spans="1:19" s="175" customFormat="1">
      <c r="B18" s="214" t="s">
        <v>374</v>
      </c>
      <c r="C18" s="215" t="str">
        <f ca="1">SUBSTITUTE(CELL("address",INDIRECT(tblGoSubRoutineStartCell[[#This Row],[Table_Name]])),"$","")</f>
        <v>K179</v>
      </c>
      <c r="D18" s="214" t="s">
        <v>373</v>
      </c>
    </row>
    <row r="19" spans="1:19" s="175" customFormat="1">
      <c r="B19" s="214" t="s">
        <v>417</v>
      </c>
      <c r="C19" s="215" t="str">
        <f ca="1">SUBSTITUTE(CELL("address",INDIRECT(tblGoSubRoutineStartCell[[#This Row],[Table_Name]])),"$","")</f>
        <v>K187</v>
      </c>
      <c r="D19" s="214" t="s">
        <v>413</v>
      </c>
    </row>
    <row r="20" spans="1:19" s="175" customFormat="1">
      <c r="B20" s="214" t="s">
        <v>419</v>
      </c>
      <c r="C20" s="215" t="str">
        <f ca="1">SUBSTITUTE(CELL("address",INDIRECT(tblGoSubRoutineStartCell[[#This Row],[Table_Name]])),"$","")</f>
        <v>K226</v>
      </c>
      <c r="D20" s="214" t="s">
        <v>418</v>
      </c>
    </row>
    <row r="21" spans="1:19" s="175" customFormat="1">
      <c r="B21" s="214" t="s">
        <v>488</v>
      </c>
      <c r="C21" s="215" t="str">
        <f ca="1">SUBSTITUTE(CELL("address",INDIRECT(tblGoSubRoutineStartCell[[#This Row],[Table_Name]])),"$","")</f>
        <v>K233</v>
      </c>
      <c r="D21" s="175" t="s">
        <v>485</v>
      </c>
    </row>
    <row r="22" spans="1:19" s="175" customFormat="1">
      <c r="B22" s="214" t="s">
        <v>498</v>
      </c>
      <c r="C22" s="215" t="str">
        <f ca="1">SUBSTITUTE(CELL("address",INDIRECT(tblGoSubRoutineStartCell[[#This Row],[Table_Name]])),"$","")</f>
        <v>K251</v>
      </c>
      <c r="D22" s="175" t="s">
        <v>494</v>
      </c>
    </row>
    <row r="23" spans="1:19" s="175" customFormat="1">
      <c r="B23" s="214" t="s">
        <v>497</v>
      </c>
      <c r="C23" s="215" t="str">
        <f ca="1">SUBSTITUTE(CELL("address",INDIRECT(tblGoSubRoutineStartCell[[#This Row],[Table_Name]])),"$","")</f>
        <v>K242</v>
      </c>
      <c r="D23" s="175" t="s">
        <v>493</v>
      </c>
    </row>
    <row r="24" spans="1:19" s="175" customFormat="1">
      <c r="B24" s="214" t="s">
        <v>518</v>
      </c>
      <c r="C24" s="215" t="str">
        <f ca="1">SUBSTITUTE(CELL("address",INDIRECT(tblGoSubRoutineStartCell[[#This Row],[Table_Name]])),"$","")</f>
        <v>K260</v>
      </c>
      <c r="D24" s="175" t="s">
        <v>517</v>
      </c>
    </row>
    <row r="25" spans="1:19" s="175" customFormat="1">
      <c r="B25" s="214" t="s">
        <v>528</v>
      </c>
      <c r="C25" s="215" t="str">
        <f ca="1">SUBSTITUTE(CELL("address",INDIRECT(tblGoSubRoutineStartCell[[#This Row],[Table_Name]])),"$","")</f>
        <v>K270</v>
      </c>
      <c r="D25" s="175" t="s">
        <v>526</v>
      </c>
    </row>
    <row r="26" spans="1:19" s="175" customFormat="1" ht="13.5" customHeight="1">
      <c r="B26" s="214"/>
      <c r="C26" s="254"/>
      <c r="D26" s="214"/>
    </row>
    <row r="27" spans="1:19">
      <c r="B27" s="23"/>
      <c r="C27" s="23"/>
      <c r="D27" s="23"/>
      <c r="K27" s="43" t="s">
        <v>79</v>
      </c>
    </row>
    <row r="28" spans="1:19">
      <c r="A28" s="432"/>
      <c r="B28" s="432"/>
      <c r="C28" s="432"/>
      <c r="D28" s="432"/>
      <c r="E28" s="432"/>
      <c r="F28" s="432"/>
      <c r="G28" s="432"/>
      <c r="K28" s="21" t="s">
        <v>45</v>
      </c>
      <c r="L28" s="21" t="s">
        <v>17</v>
      </c>
      <c r="M28" s="21" t="s">
        <v>46</v>
      </c>
      <c r="N28" s="21" t="s">
        <v>47</v>
      </c>
      <c r="O28" s="21" t="s">
        <v>48</v>
      </c>
      <c r="P28" s="21" t="s">
        <v>49</v>
      </c>
      <c r="Q28" s="21" t="s">
        <v>51</v>
      </c>
      <c r="R28" s="21" t="s">
        <v>53</v>
      </c>
      <c r="S28" s="21" t="s">
        <v>57</v>
      </c>
    </row>
    <row r="29" spans="1:19" ht="14.25" customHeight="1">
      <c r="A29" s="432"/>
      <c r="B29" s="432"/>
      <c r="C29" s="432"/>
      <c r="D29" s="432"/>
      <c r="E29" s="432"/>
      <c r="F29" s="432"/>
      <c r="G29" s="432"/>
      <c r="K29" s="21" t="s">
        <v>82</v>
      </c>
      <c r="L29" s="21" t="s">
        <v>83</v>
      </c>
      <c r="M29" s="81" t="s">
        <v>84</v>
      </c>
      <c r="N29" s="21"/>
      <c r="O29" s="21"/>
      <c r="P29" s="21"/>
      <c r="Q29" s="21"/>
      <c r="R29" s="21"/>
      <c r="S29" s="21"/>
    </row>
    <row r="30" spans="1:19" ht="14.25" customHeight="1">
      <c r="A30" s="432"/>
      <c r="B30" s="432"/>
      <c r="C30" s="432"/>
      <c r="D30" s="432"/>
      <c r="E30" s="432"/>
      <c r="F30" s="432"/>
      <c r="G30" s="432"/>
      <c r="K30" s="21" t="s">
        <v>27</v>
      </c>
      <c r="L30" s="21" t="s">
        <v>42</v>
      </c>
      <c r="M30" s="21" t="s">
        <v>60</v>
      </c>
      <c r="N30" s="21" t="s">
        <v>85</v>
      </c>
      <c r="O30" s="21">
        <v>5000</v>
      </c>
      <c r="P30" s="21"/>
      <c r="Q30" s="21"/>
      <c r="R30" s="21"/>
      <c r="S30" s="21"/>
    </row>
    <row r="31" spans="1:19" ht="14.25" customHeight="1">
      <c r="A31" s="432"/>
      <c r="B31" s="432"/>
      <c r="C31" s="432"/>
      <c r="D31" s="432"/>
      <c r="E31" s="432"/>
      <c r="F31" s="432"/>
      <c r="G31" s="432"/>
      <c r="K31" s="21" t="s">
        <v>27</v>
      </c>
      <c r="L31" s="21" t="s">
        <v>26</v>
      </c>
      <c r="M31" s="21" t="s">
        <v>32</v>
      </c>
      <c r="N31" s="21" t="s">
        <v>56</v>
      </c>
      <c r="O31" s="21">
        <v>24</v>
      </c>
      <c r="P31" s="21" t="s">
        <v>34</v>
      </c>
      <c r="Q31" s="21">
        <v>5</v>
      </c>
      <c r="R31" s="21" t="s">
        <v>54</v>
      </c>
      <c r="S31" s="21" t="s">
        <v>28</v>
      </c>
    </row>
    <row r="32" spans="1:19">
      <c r="A32" s="432"/>
      <c r="B32" s="432"/>
      <c r="C32" s="432"/>
      <c r="D32" s="432"/>
      <c r="E32" s="432"/>
      <c r="F32" s="432"/>
      <c r="G32" s="432"/>
      <c r="K32" s="21" t="s">
        <v>27</v>
      </c>
      <c r="L32" s="21" t="s">
        <v>42</v>
      </c>
      <c r="M32" s="21" t="s">
        <v>60</v>
      </c>
      <c r="N32" s="21" t="s">
        <v>85</v>
      </c>
      <c r="O32" s="21">
        <v>5000</v>
      </c>
      <c r="P32" s="21"/>
      <c r="Q32" s="21"/>
      <c r="R32" s="21"/>
      <c r="S32" s="21"/>
    </row>
    <row r="33" spans="1:19">
      <c r="A33" s="432"/>
      <c r="B33" s="432"/>
      <c r="C33" s="432"/>
      <c r="D33" s="432"/>
      <c r="E33" s="432"/>
      <c r="F33" s="432"/>
      <c r="G33" s="432"/>
      <c r="K33" s="88" t="s">
        <v>148</v>
      </c>
      <c r="L33" s="21"/>
      <c r="M33" s="21"/>
      <c r="N33" s="21"/>
      <c r="O33" s="21"/>
      <c r="P33" s="21"/>
      <c r="Q33" s="21"/>
      <c r="R33" s="21"/>
      <c r="S33" s="21"/>
    </row>
    <row r="34" spans="1:19" ht="12.75" customHeight="1">
      <c r="A34" s="432"/>
      <c r="B34" s="432"/>
      <c r="C34" s="432"/>
      <c r="D34" s="432"/>
      <c r="E34" s="432"/>
      <c r="F34" s="432"/>
      <c r="G34" s="432"/>
      <c r="K34" s="87" t="s">
        <v>80</v>
      </c>
      <c r="L34" s="46"/>
      <c r="M34" s="46"/>
      <c r="N34" s="46"/>
      <c r="O34" s="46"/>
      <c r="P34" s="46"/>
      <c r="Q34" s="46"/>
      <c r="R34" s="46"/>
      <c r="S34" s="46"/>
    </row>
    <row r="35" spans="1:19" ht="15" customHeight="1">
      <c r="A35" s="432"/>
      <c r="B35" s="432"/>
      <c r="C35" s="432"/>
      <c r="D35" s="432"/>
      <c r="E35" s="432"/>
      <c r="F35" s="432"/>
      <c r="G35" s="432"/>
      <c r="K35" s="21" t="s">
        <v>80</v>
      </c>
      <c r="L35" s="46" t="s">
        <v>42</v>
      </c>
      <c r="M35" s="46" t="s">
        <v>60</v>
      </c>
      <c r="N35" s="46" t="s">
        <v>190</v>
      </c>
      <c r="O35" s="46">
        <v>1000</v>
      </c>
      <c r="P35" s="46"/>
      <c r="Q35" s="46"/>
      <c r="R35" s="46"/>
      <c r="S35" s="46"/>
    </row>
    <row r="36" spans="1:19" ht="15" customHeight="1">
      <c r="A36" s="432"/>
      <c r="B36" s="432"/>
      <c r="C36" s="432"/>
      <c r="D36" s="432"/>
      <c r="E36" s="432"/>
      <c r="F36" s="432"/>
      <c r="G36" s="432"/>
      <c r="K36" s="96" t="s">
        <v>80</v>
      </c>
      <c r="L36" s="46"/>
      <c r="M36" s="46"/>
      <c r="N36" s="46"/>
      <c r="O36" s="46"/>
      <c r="P36" s="46"/>
      <c r="Q36" s="46"/>
      <c r="R36" s="46"/>
      <c r="S36" s="46"/>
    </row>
    <row r="37" spans="1:19" ht="15" customHeight="1">
      <c r="A37" s="432"/>
      <c r="B37" s="432"/>
      <c r="C37" s="432"/>
      <c r="D37" s="432"/>
      <c r="E37" s="432"/>
      <c r="F37" s="432"/>
      <c r="G37" s="432"/>
      <c r="K37" s="21" t="s">
        <v>82</v>
      </c>
      <c r="L37" s="21" t="s">
        <v>86</v>
      </c>
      <c r="M37" s="81" t="s">
        <v>160</v>
      </c>
      <c r="N37" s="21"/>
      <c r="O37" s="21"/>
      <c r="P37" s="21"/>
      <c r="Q37" s="21"/>
      <c r="R37" s="21"/>
      <c r="S37" s="21"/>
    </row>
    <row r="38" spans="1:19">
      <c r="A38" s="432"/>
      <c r="B38" s="432"/>
      <c r="C38" s="432"/>
      <c r="D38" s="432"/>
      <c r="E38" s="432"/>
      <c r="F38" s="432"/>
      <c r="G38" s="432"/>
      <c r="K38" s="21" t="s">
        <v>80</v>
      </c>
      <c r="L38" s="21"/>
      <c r="M38" s="21"/>
      <c r="N38" s="21"/>
      <c r="O38" s="21"/>
      <c r="P38" s="21"/>
      <c r="Q38" s="21"/>
      <c r="R38" s="21"/>
      <c r="S38" s="21"/>
    </row>
    <row r="39" spans="1:19">
      <c r="A39" s="432"/>
      <c r="B39" s="432"/>
      <c r="C39" s="432"/>
      <c r="D39" s="432"/>
      <c r="E39" s="432"/>
      <c r="F39" s="432"/>
      <c r="G39" s="432"/>
      <c r="K39" s="21" t="s">
        <v>61</v>
      </c>
      <c r="L39" s="21"/>
      <c r="M39" s="21"/>
      <c r="N39" s="21"/>
      <c r="O39" s="21"/>
      <c r="P39" s="21"/>
      <c r="Q39" s="21"/>
      <c r="R39" s="21"/>
      <c r="S39" s="21"/>
    </row>
    <row r="40" spans="1:19">
      <c r="A40" s="432"/>
      <c r="B40" s="432"/>
      <c r="C40" s="432"/>
      <c r="D40" s="432"/>
      <c r="E40" s="432"/>
      <c r="F40" s="432"/>
      <c r="G40" s="432"/>
    </row>
    <row r="41" spans="1:19">
      <c r="A41" s="432"/>
      <c r="B41" s="432"/>
      <c r="C41" s="432"/>
      <c r="D41" s="432"/>
      <c r="E41" s="432"/>
      <c r="F41" s="432"/>
      <c r="G41" s="432"/>
      <c r="I41" s="82"/>
      <c r="K41" s="43" t="s">
        <v>134</v>
      </c>
    </row>
    <row r="42" spans="1:19" ht="15" customHeight="1">
      <c r="A42" s="432"/>
      <c r="B42" s="432"/>
      <c r="C42" s="432"/>
      <c r="D42" s="432"/>
      <c r="E42" s="432"/>
      <c r="F42" s="432"/>
      <c r="G42" s="432"/>
      <c r="I42" s="82"/>
      <c r="K42" s="21" t="s">
        <v>45</v>
      </c>
      <c r="L42" s="21" t="s">
        <v>17</v>
      </c>
      <c r="M42" s="21" t="s">
        <v>46</v>
      </c>
      <c r="N42" s="21" t="s">
        <v>47</v>
      </c>
      <c r="O42" s="21" t="s">
        <v>48</v>
      </c>
      <c r="P42" s="21" t="s">
        <v>49</v>
      </c>
      <c r="Q42" s="21" t="s">
        <v>51</v>
      </c>
      <c r="R42" s="21" t="s">
        <v>53</v>
      </c>
      <c r="S42" s="21" t="s">
        <v>57</v>
      </c>
    </row>
    <row r="43" spans="1:19" ht="102">
      <c r="A43" s="432"/>
      <c r="B43" s="432"/>
      <c r="C43" s="432"/>
      <c r="D43" s="432"/>
      <c r="E43" s="432"/>
      <c r="F43" s="432"/>
      <c r="G43" s="432"/>
      <c r="I43" s="82"/>
      <c r="K43" s="81" t="s">
        <v>82</v>
      </c>
      <c r="L43" s="81" t="s">
        <v>83</v>
      </c>
      <c r="M43" s="81" t="s">
        <v>84</v>
      </c>
      <c r="N43" s="81"/>
      <c r="O43" s="81"/>
      <c r="P43" s="81"/>
      <c r="Q43" s="81"/>
      <c r="R43" s="81"/>
      <c r="S43" s="81"/>
    </row>
    <row r="44" spans="1:19">
      <c r="A44" s="432"/>
      <c r="B44" s="432"/>
      <c r="C44" s="432"/>
      <c r="D44" s="432"/>
      <c r="E44" s="432"/>
      <c r="F44" s="432"/>
      <c r="G44" s="432"/>
      <c r="I44" s="82"/>
      <c r="K44" s="81" t="s">
        <v>27</v>
      </c>
      <c r="L44" s="81" t="s">
        <v>42</v>
      </c>
      <c r="M44" s="81" t="s">
        <v>60</v>
      </c>
      <c r="N44" s="81" t="s">
        <v>85</v>
      </c>
      <c r="O44" s="81">
        <v>5000</v>
      </c>
      <c r="P44" s="81"/>
      <c r="Q44" s="81"/>
      <c r="R44" s="81"/>
      <c r="S44" s="81"/>
    </row>
    <row r="45" spans="1:19" ht="15" customHeight="1">
      <c r="A45" s="432"/>
      <c r="B45" s="432"/>
      <c r="C45" s="432"/>
      <c r="D45" s="432"/>
      <c r="E45" s="432"/>
      <c r="F45" s="432"/>
      <c r="G45" s="432"/>
      <c r="I45" s="82"/>
      <c r="K45" s="81" t="s">
        <v>27</v>
      </c>
      <c r="L45" s="81" t="s">
        <v>26</v>
      </c>
      <c r="M45" s="81" t="s">
        <v>32</v>
      </c>
      <c r="N45" s="81" t="s">
        <v>56</v>
      </c>
      <c r="O45" s="81">
        <v>24</v>
      </c>
      <c r="P45" s="81" t="s">
        <v>34</v>
      </c>
      <c r="Q45" s="81">
        <v>5</v>
      </c>
      <c r="R45" s="81" t="s">
        <v>54</v>
      </c>
      <c r="S45" s="81" t="s">
        <v>28</v>
      </c>
    </row>
    <row r="46" spans="1:19">
      <c r="A46" s="432"/>
      <c r="B46" s="432"/>
      <c r="C46" s="432"/>
      <c r="D46" s="432"/>
      <c r="E46" s="432"/>
      <c r="F46" s="432"/>
      <c r="G46" s="432"/>
      <c r="K46" s="81" t="s">
        <v>27</v>
      </c>
      <c r="L46" s="81" t="s">
        <v>42</v>
      </c>
      <c r="M46" s="81" t="s">
        <v>60</v>
      </c>
      <c r="N46" s="81" t="s">
        <v>85</v>
      </c>
      <c r="O46" s="81">
        <v>5000</v>
      </c>
      <c r="P46" s="81"/>
      <c r="Q46" s="81"/>
      <c r="R46" s="81"/>
      <c r="S46" s="81"/>
    </row>
    <row r="47" spans="1:19" ht="13.5" customHeight="1">
      <c r="A47" s="432"/>
      <c r="B47" s="432"/>
      <c r="C47" s="432"/>
      <c r="D47" s="432"/>
      <c r="E47" s="432"/>
      <c r="F47" s="432"/>
      <c r="G47" s="432"/>
      <c r="I47" s="82"/>
      <c r="K47" s="88" t="s">
        <v>148</v>
      </c>
      <c r="L47" s="21"/>
      <c r="M47" s="21"/>
      <c r="N47" s="21"/>
      <c r="O47" s="21"/>
      <c r="P47" s="21"/>
      <c r="Q47" s="21"/>
      <c r="R47" s="21"/>
      <c r="S47" s="21"/>
    </row>
    <row r="48" spans="1:19" ht="17.25" customHeight="1">
      <c r="A48" s="432"/>
      <c r="B48" s="432"/>
      <c r="C48" s="432"/>
      <c r="D48" s="432"/>
      <c r="E48" s="432"/>
      <c r="F48" s="432"/>
      <c r="G48" s="432"/>
      <c r="I48" s="82"/>
      <c r="K48" s="81" t="s">
        <v>82</v>
      </c>
      <c r="L48" s="81" t="s">
        <v>86</v>
      </c>
      <c r="M48" s="81" t="s">
        <v>155</v>
      </c>
      <c r="N48" s="81"/>
      <c r="O48" s="81"/>
      <c r="P48" s="81"/>
      <c r="Q48" s="81"/>
      <c r="R48" s="81"/>
      <c r="S48" s="81"/>
    </row>
    <row r="49" spans="1:19">
      <c r="A49" s="432"/>
      <c r="B49" s="432"/>
      <c r="C49" s="432"/>
      <c r="D49" s="432"/>
      <c r="E49" s="432"/>
      <c r="F49" s="432"/>
      <c r="G49" s="432"/>
      <c r="I49" s="82"/>
      <c r="K49" s="81" t="s">
        <v>80</v>
      </c>
      <c r="L49" s="81"/>
      <c r="M49" s="81"/>
      <c r="N49" s="81"/>
      <c r="O49" s="81"/>
      <c r="P49" s="81"/>
      <c r="Q49" s="81"/>
      <c r="R49" s="81"/>
      <c r="S49" s="81"/>
    </row>
    <row r="50" spans="1:19">
      <c r="A50" s="432"/>
      <c r="B50" s="432"/>
      <c r="C50" s="432"/>
      <c r="D50" s="432"/>
      <c r="E50" s="432"/>
      <c r="F50" s="432"/>
      <c r="G50" s="432"/>
      <c r="I50" s="82"/>
      <c r="K50" s="21" t="s">
        <v>61</v>
      </c>
      <c r="L50" s="81"/>
      <c r="M50" s="81"/>
      <c r="N50" s="81"/>
      <c r="O50" s="81"/>
      <c r="P50" s="81"/>
      <c r="Q50" s="81"/>
      <c r="R50" s="81"/>
      <c r="S50" s="81"/>
    </row>
    <row r="51" spans="1:19">
      <c r="A51" s="432"/>
      <c r="B51" s="432"/>
      <c r="C51" s="432"/>
      <c r="D51" s="432"/>
      <c r="E51" s="432"/>
      <c r="F51" s="432"/>
      <c r="G51" s="432"/>
      <c r="K51" s="21"/>
      <c r="L51" s="21"/>
      <c r="M51" s="21"/>
      <c r="N51" s="21"/>
      <c r="O51" s="21"/>
      <c r="P51" s="21"/>
      <c r="Q51" s="21"/>
      <c r="R51" s="21"/>
      <c r="S51" s="21"/>
    </row>
    <row r="52" spans="1:19">
      <c r="K52" s="21"/>
      <c r="L52" s="21"/>
      <c r="M52" s="21"/>
      <c r="N52" s="21"/>
      <c r="O52" s="21"/>
      <c r="P52" s="21"/>
      <c r="Q52" s="21"/>
      <c r="R52" s="21"/>
      <c r="S52" s="21"/>
    </row>
    <row r="53" spans="1:19">
      <c r="K53" s="21"/>
      <c r="L53" s="21"/>
      <c r="M53" s="21"/>
      <c r="N53" s="21"/>
      <c r="O53" s="21"/>
      <c r="P53" s="21"/>
    </row>
    <row r="54" spans="1:19">
      <c r="K54" s="43" t="s">
        <v>76</v>
      </c>
    </row>
    <row r="55" spans="1:19">
      <c r="K55" s="21" t="s">
        <v>45</v>
      </c>
      <c r="L55" s="21" t="s">
        <v>17</v>
      </c>
      <c r="M55" s="21" t="s">
        <v>46</v>
      </c>
      <c r="N55" s="21" t="s">
        <v>47</v>
      </c>
      <c r="O55" s="21" t="s">
        <v>48</v>
      </c>
      <c r="P55" s="21" t="s">
        <v>49</v>
      </c>
      <c r="Q55" s="21" t="s">
        <v>51</v>
      </c>
      <c r="R55" s="21" t="s">
        <v>53</v>
      </c>
      <c r="S55" s="21" t="s">
        <v>57</v>
      </c>
    </row>
    <row r="56" spans="1:19">
      <c r="K56" s="50" t="s">
        <v>27</v>
      </c>
      <c r="L56" s="50" t="s">
        <v>313</v>
      </c>
      <c r="M56" s="50" t="s">
        <v>91</v>
      </c>
      <c r="N56" s="45" t="s">
        <v>315</v>
      </c>
      <c r="O56" s="45" t="s">
        <v>316</v>
      </c>
      <c r="P56" s="45" t="s">
        <v>312</v>
      </c>
      <c r="Q56" s="21"/>
      <c r="R56" s="26"/>
      <c r="S56" s="21"/>
    </row>
    <row r="57" spans="1:19">
      <c r="K57" s="236" t="s">
        <v>377</v>
      </c>
      <c r="L57" s="21"/>
      <c r="M57" s="65"/>
      <c r="N57" s="65"/>
      <c r="O57" s="21"/>
      <c r="P57" s="83"/>
      <c r="Q57" s="21"/>
      <c r="R57" s="26"/>
      <c r="S57" s="21"/>
    </row>
    <row r="58" spans="1:19" ht="17.25" customHeight="1">
      <c r="K58" s="236" t="s">
        <v>341</v>
      </c>
      <c r="L58" s="61"/>
      <c r="M58" s="61"/>
      <c r="N58" s="60"/>
      <c r="O58" s="60"/>
      <c r="P58" s="60"/>
      <c r="Q58" s="60"/>
      <c r="R58" s="60"/>
      <c r="S58" s="60"/>
    </row>
    <row r="59" spans="1:19">
      <c r="K59" s="236" t="s">
        <v>378</v>
      </c>
      <c r="L59" s="178"/>
      <c r="M59" s="65"/>
      <c r="N59" s="65"/>
      <c r="O59" s="178"/>
      <c r="P59" s="83"/>
      <c r="Q59" s="178"/>
      <c r="R59" s="184"/>
      <c r="S59" s="178"/>
    </row>
    <row r="60" spans="1:19">
      <c r="K60" s="236" t="s">
        <v>379</v>
      </c>
      <c r="L60" s="61"/>
      <c r="M60" s="61"/>
      <c r="N60" s="60"/>
      <c r="O60" s="60"/>
      <c r="P60" s="60"/>
      <c r="Q60" s="60"/>
      <c r="R60" s="60"/>
      <c r="S60" s="60"/>
    </row>
    <row r="61" spans="1:19">
      <c r="K61" s="236" t="s">
        <v>380</v>
      </c>
      <c r="L61" s="178"/>
      <c r="M61" s="65"/>
      <c r="N61" s="65"/>
      <c r="O61" s="178"/>
      <c r="P61" s="83"/>
      <c r="Q61" s="178"/>
      <c r="R61" s="184"/>
      <c r="S61" s="178"/>
    </row>
    <row r="62" spans="1:19" s="175" customFormat="1">
      <c r="K62" s="236" t="s">
        <v>381</v>
      </c>
      <c r="L62" s="61"/>
      <c r="M62" s="61"/>
      <c r="N62" s="60"/>
      <c r="O62" s="60"/>
      <c r="P62" s="60"/>
      <c r="Q62" s="60"/>
      <c r="R62" s="60"/>
      <c r="S62" s="60"/>
    </row>
    <row r="63" spans="1:19" s="175" customFormat="1">
      <c r="K63" s="236" t="s">
        <v>382</v>
      </c>
      <c r="L63" s="178"/>
      <c r="M63" s="65"/>
      <c r="N63" s="65"/>
      <c r="O63" s="178"/>
      <c r="P63" s="83"/>
      <c r="Q63" s="178"/>
      <c r="R63" s="184"/>
      <c r="S63" s="178"/>
    </row>
    <row r="64" spans="1:19" s="175" customFormat="1">
      <c r="K64" s="236" t="s">
        <v>383</v>
      </c>
      <c r="L64" s="61"/>
      <c r="M64" s="61"/>
      <c r="N64" s="60"/>
      <c r="O64" s="60"/>
      <c r="P64" s="60"/>
      <c r="Q64" s="60"/>
      <c r="R64" s="60"/>
      <c r="S64" s="60"/>
    </row>
    <row r="65" spans="11:19" s="175" customFormat="1">
      <c r="K65" s="236" t="s">
        <v>80</v>
      </c>
      <c r="L65" s="178"/>
      <c r="M65" s="65"/>
      <c r="N65" s="65"/>
      <c r="O65" s="178"/>
      <c r="P65" s="83"/>
      <c r="Q65" s="178"/>
      <c r="R65" s="184"/>
      <c r="S65" s="178"/>
    </row>
    <row r="66" spans="11:19" s="175" customFormat="1">
      <c r="K66" s="50" t="s">
        <v>82</v>
      </c>
      <c r="L66" s="50" t="s">
        <v>132</v>
      </c>
      <c r="M66" s="50" t="s">
        <v>133</v>
      </c>
      <c r="N66" s="45"/>
      <c r="O66" s="45"/>
      <c r="P66" s="45"/>
      <c r="Q66" s="45"/>
      <c r="R66" s="45"/>
      <c r="S66" s="177"/>
    </row>
    <row r="67" spans="11:19">
      <c r="K67" s="50" t="s">
        <v>62</v>
      </c>
      <c r="L67" s="50"/>
      <c r="M67" s="50"/>
      <c r="N67" s="45"/>
      <c r="O67" s="45"/>
      <c r="P67" s="235"/>
      <c r="Q67" s="45"/>
      <c r="R67" s="45"/>
      <c r="S67" s="177"/>
    </row>
    <row r="68" spans="11:19" s="175" customFormat="1">
      <c r="K68" s="50"/>
      <c r="L68" s="50"/>
      <c r="M68" s="50"/>
      <c r="N68" s="45"/>
      <c r="O68" s="45"/>
      <c r="P68" s="235"/>
      <c r="Q68" s="45"/>
      <c r="R68" s="45"/>
      <c r="S68" s="177"/>
    </row>
    <row r="69" spans="11:19" s="175" customFormat="1">
      <c r="K69" s="50"/>
      <c r="L69" s="50"/>
      <c r="M69" s="50"/>
      <c r="N69" s="45"/>
      <c r="O69" s="45"/>
      <c r="P69" s="235"/>
      <c r="Q69" s="45"/>
      <c r="R69" s="45"/>
      <c r="S69" s="177"/>
    </row>
    <row r="70" spans="11:19">
      <c r="K70" s="43" t="s">
        <v>135</v>
      </c>
    </row>
    <row r="71" spans="11:19">
      <c r="K71" s="21" t="s">
        <v>45</v>
      </c>
      <c r="L71" s="21" t="s">
        <v>17</v>
      </c>
      <c r="M71" s="21" t="s">
        <v>46</v>
      </c>
      <c r="N71" s="21" t="s">
        <v>47</v>
      </c>
      <c r="O71" s="21" t="s">
        <v>48</v>
      </c>
      <c r="P71" s="21" t="s">
        <v>49</v>
      </c>
      <c r="Q71" s="21" t="s">
        <v>51</v>
      </c>
      <c r="R71" s="21" t="s">
        <v>53</v>
      </c>
      <c r="S71" s="21" t="s">
        <v>57</v>
      </c>
    </row>
    <row r="72" spans="11:19">
      <c r="K72" s="43" t="s">
        <v>80</v>
      </c>
      <c r="L72" s="21"/>
      <c r="M72" s="21"/>
      <c r="N72" s="21"/>
      <c r="O72" s="21"/>
      <c r="P72" s="21"/>
      <c r="Q72" s="21"/>
      <c r="R72" s="26"/>
      <c r="S72" s="21"/>
    </row>
    <row r="73" spans="11:19">
      <c r="K73" s="62" t="s">
        <v>80</v>
      </c>
      <c r="L73" s="21"/>
      <c r="M73" s="65"/>
      <c r="N73" s="65"/>
      <c r="O73" s="21"/>
      <c r="P73" s="83"/>
      <c r="Q73" s="21"/>
      <c r="R73" s="26"/>
      <c r="S73" s="21"/>
    </row>
    <row r="74" spans="11:19" ht="13.5" customHeight="1">
      <c r="K74" s="61" t="s">
        <v>27</v>
      </c>
      <c r="L74" s="61" t="s">
        <v>26</v>
      </c>
      <c r="M74" s="61" t="s">
        <v>131</v>
      </c>
      <c r="N74" s="60"/>
      <c r="O74" s="60"/>
      <c r="P74" s="60"/>
      <c r="Q74" s="60"/>
      <c r="R74" s="60"/>
      <c r="S74" s="60"/>
    </row>
    <row r="75" spans="11:19" ht="15" customHeight="1">
      <c r="K75" s="21" t="s">
        <v>82</v>
      </c>
      <c r="L75" s="21" t="s">
        <v>139</v>
      </c>
      <c r="M75" s="81" t="s">
        <v>138</v>
      </c>
      <c r="N75" s="79"/>
      <c r="O75" s="79"/>
      <c r="P75" s="79"/>
      <c r="Q75" s="79"/>
      <c r="R75" s="79"/>
      <c r="S75" s="21"/>
    </row>
    <row r="76" spans="11:19">
      <c r="K76" s="21" t="s">
        <v>62</v>
      </c>
      <c r="L76" s="21"/>
      <c r="M76" s="65"/>
      <c r="N76" s="65"/>
      <c r="O76" s="21"/>
      <c r="P76" s="83"/>
      <c r="Q76" s="21"/>
      <c r="R76" s="26"/>
      <c r="S76" s="21"/>
    </row>
    <row r="78" spans="11:19">
      <c r="K78" s="43" t="s">
        <v>143</v>
      </c>
    </row>
    <row r="79" spans="11:19">
      <c r="K79" s="21" t="s">
        <v>45</v>
      </c>
      <c r="L79" s="21" t="s">
        <v>17</v>
      </c>
      <c r="M79" s="21" t="s">
        <v>46</v>
      </c>
      <c r="N79" s="21" t="s">
        <v>47</v>
      </c>
      <c r="O79" s="21" t="s">
        <v>48</v>
      </c>
      <c r="P79" s="21" t="s">
        <v>49</v>
      </c>
      <c r="Q79" s="21" t="s">
        <v>51</v>
      </c>
      <c r="R79" s="21" t="s">
        <v>53</v>
      </c>
      <c r="S79" s="21" t="s">
        <v>57</v>
      </c>
    </row>
    <row r="80" spans="11:19">
      <c r="K80" s="47" t="s">
        <v>27</v>
      </c>
      <c r="L80" s="47" t="s">
        <v>26</v>
      </c>
      <c r="M80" s="61" t="s">
        <v>32</v>
      </c>
      <c r="N80" s="60" t="s">
        <v>56</v>
      </c>
      <c r="O80" s="60">
        <v>22.8</v>
      </c>
      <c r="P80" s="60" t="s">
        <v>34</v>
      </c>
      <c r="Q80" s="60">
        <v>5</v>
      </c>
      <c r="R80" s="60" t="s">
        <v>54</v>
      </c>
      <c r="S80" s="60" t="s">
        <v>28</v>
      </c>
    </row>
    <row r="81" spans="11:19">
      <c r="K81" s="47" t="s">
        <v>61</v>
      </c>
      <c r="L81" s="47"/>
    </row>
    <row r="83" spans="11:19">
      <c r="K83" s="43" t="s">
        <v>145</v>
      </c>
    </row>
    <row r="84" spans="11:19">
      <c r="K84" s="21" t="s">
        <v>45</v>
      </c>
      <c r="L84" s="21" t="s">
        <v>17</v>
      </c>
      <c r="M84" s="21" t="s">
        <v>46</v>
      </c>
      <c r="N84" s="21" t="s">
        <v>47</v>
      </c>
      <c r="O84" s="21" t="s">
        <v>48</v>
      </c>
      <c r="P84" s="21" t="s">
        <v>49</v>
      </c>
      <c r="Q84" s="21" t="s">
        <v>51</v>
      </c>
      <c r="R84" s="21" t="s">
        <v>53</v>
      </c>
      <c r="S84" s="21" t="s">
        <v>57</v>
      </c>
    </row>
    <row r="85" spans="11:19">
      <c r="K85" s="47" t="s">
        <v>27</v>
      </c>
      <c r="L85" s="47" t="s">
        <v>26</v>
      </c>
      <c r="M85" s="61" t="s">
        <v>32</v>
      </c>
      <c r="N85" s="60" t="s">
        <v>56</v>
      </c>
      <c r="O85" s="60">
        <v>25.2</v>
      </c>
      <c r="P85" s="60" t="s">
        <v>34</v>
      </c>
      <c r="Q85" s="60">
        <v>5</v>
      </c>
      <c r="R85" s="60" t="s">
        <v>54</v>
      </c>
      <c r="S85" s="60" t="s">
        <v>28</v>
      </c>
    </row>
    <row r="86" spans="11:19">
      <c r="K86" s="47" t="s">
        <v>61</v>
      </c>
      <c r="L86" s="47"/>
    </row>
    <row r="88" spans="11:19">
      <c r="K88" s="43" t="s">
        <v>149</v>
      </c>
    </row>
    <row r="89" spans="11:19">
      <c r="K89" s="21" t="s">
        <v>45</v>
      </c>
      <c r="L89" s="21" t="s">
        <v>17</v>
      </c>
      <c r="M89" s="21" t="s">
        <v>46</v>
      </c>
      <c r="N89" s="21" t="s">
        <v>47</v>
      </c>
      <c r="O89" s="21" t="s">
        <v>48</v>
      </c>
      <c r="P89" s="21" t="s">
        <v>49</v>
      </c>
      <c r="Q89" s="21" t="s">
        <v>51</v>
      </c>
      <c r="R89" s="21" t="s">
        <v>53</v>
      </c>
      <c r="S89" s="21" t="s">
        <v>57</v>
      </c>
    </row>
    <row r="90" spans="11:19">
      <c r="K90" s="47" t="s">
        <v>27</v>
      </c>
      <c r="L90" s="47" t="s">
        <v>26</v>
      </c>
      <c r="M90" s="61" t="s">
        <v>32</v>
      </c>
      <c r="N90" s="60" t="s">
        <v>56</v>
      </c>
      <c r="O90" s="60">
        <v>24</v>
      </c>
      <c r="P90" s="60" t="s">
        <v>34</v>
      </c>
      <c r="Q90" s="60">
        <v>5</v>
      </c>
      <c r="R90" s="60" t="s">
        <v>54</v>
      </c>
      <c r="S90" s="60" t="s">
        <v>28</v>
      </c>
    </row>
    <row r="91" spans="11:19">
      <c r="K91" s="47" t="s">
        <v>61</v>
      </c>
      <c r="L91" s="47"/>
    </row>
    <row r="94" spans="11:19">
      <c r="K94" s="43" t="s">
        <v>158</v>
      </c>
    </row>
    <row r="95" spans="11:19">
      <c r="K95" s="21" t="s">
        <v>45</v>
      </c>
      <c r="L95" s="21" t="s">
        <v>17</v>
      </c>
      <c r="M95" s="21" t="s">
        <v>46</v>
      </c>
      <c r="N95" s="21" t="s">
        <v>47</v>
      </c>
      <c r="O95" s="21" t="s">
        <v>48</v>
      </c>
      <c r="P95" s="21" t="s">
        <v>49</v>
      </c>
      <c r="Q95" s="21" t="s">
        <v>51</v>
      </c>
      <c r="R95" s="21" t="s">
        <v>53</v>
      </c>
      <c r="S95" s="21" t="s">
        <v>57</v>
      </c>
    </row>
    <row r="96" spans="11:19">
      <c r="K96" s="21" t="s">
        <v>27</v>
      </c>
      <c r="L96" s="21" t="s">
        <v>26</v>
      </c>
      <c r="M96" s="21" t="s">
        <v>32</v>
      </c>
      <c r="N96" s="21" t="s">
        <v>56</v>
      </c>
      <c r="O96" s="21">
        <v>24</v>
      </c>
      <c r="P96" s="21" t="s">
        <v>34</v>
      </c>
      <c r="Q96" s="21">
        <v>5</v>
      </c>
      <c r="R96" s="21" t="s">
        <v>54</v>
      </c>
      <c r="S96" s="21" t="s">
        <v>28</v>
      </c>
    </row>
    <row r="97" spans="11:19">
      <c r="K97" s="21" t="s">
        <v>27</v>
      </c>
      <c r="L97" s="21" t="s">
        <v>42</v>
      </c>
      <c r="M97" s="21" t="s">
        <v>60</v>
      </c>
      <c r="N97" s="21" t="s">
        <v>85</v>
      </c>
      <c r="O97" s="21">
        <v>5000</v>
      </c>
      <c r="P97" s="21"/>
      <c r="Q97" s="21"/>
      <c r="R97" s="21"/>
      <c r="S97" s="21"/>
    </row>
    <row r="98" spans="11:19" ht="15.75" customHeight="1">
      <c r="K98" s="88" t="s">
        <v>148</v>
      </c>
      <c r="L98" s="21"/>
      <c r="M98" s="21"/>
      <c r="N98" s="21"/>
      <c r="O98" s="21"/>
      <c r="P98" s="21"/>
      <c r="Q98" s="21"/>
      <c r="R98" s="21"/>
      <c r="S98" s="21"/>
    </row>
    <row r="99" spans="11:19" ht="17.25" customHeight="1">
      <c r="K99" s="21" t="s">
        <v>82</v>
      </c>
      <c r="L99" s="21" t="s">
        <v>86</v>
      </c>
      <c r="M99" s="81" t="s">
        <v>160</v>
      </c>
      <c r="N99" s="21"/>
      <c r="O99" s="21"/>
      <c r="P99" s="21"/>
      <c r="Q99" s="21"/>
      <c r="R99" s="21"/>
      <c r="S99" s="21"/>
    </row>
    <row r="100" spans="11:19">
      <c r="K100" s="21" t="s">
        <v>61</v>
      </c>
      <c r="L100" s="21"/>
      <c r="M100" s="21"/>
      <c r="N100" s="21"/>
      <c r="O100" s="21"/>
      <c r="P100" s="21"/>
      <c r="Q100" s="21"/>
      <c r="R100" s="21"/>
      <c r="S100" s="21"/>
    </row>
    <row r="102" spans="11:19">
      <c r="K102" s="43" t="s">
        <v>185</v>
      </c>
    </row>
    <row r="103" spans="11:19">
      <c r="K103" s="21" t="s">
        <v>45</v>
      </c>
      <c r="L103" s="21" t="s">
        <v>17</v>
      </c>
      <c r="M103" s="21" t="s">
        <v>46</v>
      </c>
      <c r="N103" s="21" t="s">
        <v>47</v>
      </c>
      <c r="O103" s="21" t="s">
        <v>48</v>
      </c>
      <c r="P103" s="21" t="s">
        <v>49</v>
      </c>
      <c r="Q103" s="21" t="s">
        <v>51</v>
      </c>
      <c r="R103" s="21" t="s">
        <v>53</v>
      </c>
      <c r="S103" s="21" t="s">
        <v>57</v>
      </c>
    </row>
    <row r="104" spans="11:19">
      <c r="K104" s="50" t="s">
        <v>27</v>
      </c>
      <c r="L104" s="50" t="s">
        <v>318</v>
      </c>
      <c r="M104" s="45" t="s">
        <v>91</v>
      </c>
      <c r="N104" s="45" t="s">
        <v>92</v>
      </c>
      <c r="O104" s="45" t="s">
        <v>95</v>
      </c>
      <c r="P104" s="45" t="s">
        <v>311</v>
      </c>
      <c r="Q104" s="45"/>
      <c r="R104" s="45"/>
      <c r="S104" s="21"/>
    </row>
    <row r="105" spans="11:19">
      <c r="K105" s="50" t="s">
        <v>27</v>
      </c>
      <c r="L105" s="50" t="s">
        <v>318</v>
      </c>
      <c r="M105" s="45" t="s">
        <v>91</v>
      </c>
      <c r="N105" s="45" t="s">
        <v>92</v>
      </c>
      <c r="O105" s="45" t="s">
        <v>100</v>
      </c>
      <c r="P105" s="45" t="s">
        <v>93</v>
      </c>
      <c r="Q105" s="45" t="s">
        <v>94</v>
      </c>
      <c r="R105" s="45">
        <v>10</v>
      </c>
      <c r="S105" s="21"/>
    </row>
    <row r="106" spans="11:19">
      <c r="K106" s="50" t="s">
        <v>27</v>
      </c>
      <c r="L106" s="50" t="s">
        <v>318</v>
      </c>
      <c r="M106" s="45" t="s">
        <v>91</v>
      </c>
      <c r="N106" s="45" t="s">
        <v>92</v>
      </c>
      <c r="O106" s="45" t="s">
        <v>96</v>
      </c>
      <c r="P106" s="45">
        <v>8.5</v>
      </c>
      <c r="Q106" s="45"/>
      <c r="R106" s="45"/>
      <c r="S106" s="21"/>
    </row>
    <row r="107" spans="11:19">
      <c r="K107" s="50" t="s">
        <v>27</v>
      </c>
      <c r="L107" s="50" t="s">
        <v>318</v>
      </c>
      <c r="M107" s="45" t="s">
        <v>91</v>
      </c>
      <c r="N107" s="45" t="s">
        <v>92</v>
      </c>
      <c r="O107" s="45" t="s">
        <v>100</v>
      </c>
      <c r="P107" s="45" t="s">
        <v>93</v>
      </c>
      <c r="Q107" s="45" t="s">
        <v>97</v>
      </c>
      <c r="R107" s="45">
        <v>0.1</v>
      </c>
      <c r="S107" s="21"/>
    </row>
    <row r="108" spans="11:19">
      <c r="K108" s="50" t="s">
        <v>27</v>
      </c>
      <c r="L108" s="50" t="s">
        <v>318</v>
      </c>
      <c r="M108" s="45" t="s">
        <v>32</v>
      </c>
      <c r="N108" s="45" t="s">
        <v>101</v>
      </c>
      <c r="O108" s="45" t="s">
        <v>102</v>
      </c>
      <c r="P108" s="45" t="s">
        <v>55</v>
      </c>
      <c r="Q108" s="45"/>
      <c r="R108" s="45"/>
      <c r="S108" s="21"/>
    </row>
    <row r="109" spans="11:19">
      <c r="K109" s="225" t="s">
        <v>27</v>
      </c>
      <c r="L109" s="50" t="s">
        <v>319</v>
      </c>
      <c r="M109" s="45" t="s">
        <v>91</v>
      </c>
      <c r="N109" s="45" t="s">
        <v>310</v>
      </c>
      <c r="O109" s="45"/>
      <c r="P109" s="45"/>
      <c r="Q109" s="45"/>
      <c r="R109" s="45"/>
      <c r="S109" s="21"/>
    </row>
    <row r="110" spans="11:19">
      <c r="K110" s="225" t="s">
        <v>27</v>
      </c>
      <c r="L110" s="50" t="s">
        <v>319</v>
      </c>
      <c r="M110" s="45" t="s">
        <v>91</v>
      </c>
      <c r="N110" s="45" t="s">
        <v>310</v>
      </c>
      <c r="O110" s="45" t="s">
        <v>95</v>
      </c>
      <c r="P110" s="37" t="s">
        <v>345</v>
      </c>
      <c r="Q110" s="45"/>
      <c r="R110" s="45"/>
      <c r="S110" s="178"/>
    </row>
    <row r="111" spans="11:19">
      <c r="K111" s="50" t="s">
        <v>27</v>
      </c>
      <c r="L111" s="50" t="s">
        <v>313</v>
      </c>
      <c r="M111" s="45" t="s">
        <v>91</v>
      </c>
      <c r="N111" s="45" t="s">
        <v>315</v>
      </c>
      <c r="O111" s="45" t="s">
        <v>316</v>
      </c>
      <c r="P111" s="45" t="s">
        <v>312</v>
      </c>
      <c r="Q111" s="45"/>
      <c r="R111" s="45"/>
      <c r="S111" s="178"/>
    </row>
    <row r="112" spans="11:19">
      <c r="K112" s="50" t="s">
        <v>80</v>
      </c>
      <c r="L112" s="50"/>
      <c r="M112" s="45"/>
      <c r="N112" s="45"/>
      <c r="O112" s="45"/>
      <c r="P112" s="45"/>
      <c r="Q112" s="45"/>
      <c r="R112" s="45"/>
      <c r="S112" s="178"/>
    </row>
    <row r="113" spans="11:19">
      <c r="K113" s="50" t="s">
        <v>80</v>
      </c>
      <c r="L113" s="50"/>
      <c r="M113" s="45"/>
      <c r="N113" s="45"/>
      <c r="O113" s="45"/>
      <c r="P113" s="45"/>
      <c r="Q113" s="45"/>
      <c r="R113" s="45"/>
      <c r="S113" s="178"/>
    </row>
    <row r="114" spans="11:19">
      <c r="K114" s="50" t="s">
        <v>80</v>
      </c>
      <c r="L114" s="50"/>
      <c r="M114" s="45"/>
      <c r="N114" s="45"/>
      <c r="O114" s="45"/>
      <c r="P114" s="45"/>
      <c r="Q114" s="45"/>
      <c r="R114" s="45"/>
      <c r="S114" s="178"/>
    </row>
    <row r="115" spans="11:19">
      <c r="K115" s="50" t="s">
        <v>80</v>
      </c>
      <c r="L115" s="50"/>
      <c r="M115" s="45"/>
      <c r="N115" s="45"/>
      <c r="O115" s="45"/>
      <c r="P115" s="45"/>
      <c r="Q115" s="45"/>
      <c r="R115" s="45"/>
      <c r="S115" s="178"/>
    </row>
    <row r="116" spans="11:19">
      <c r="K116" s="50" t="s">
        <v>80</v>
      </c>
      <c r="L116" s="50"/>
      <c r="M116" s="45"/>
      <c r="N116" s="45"/>
      <c r="O116" s="45"/>
      <c r="P116" s="45"/>
      <c r="Q116" s="45"/>
      <c r="R116" s="45"/>
      <c r="S116" s="178"/>
    </row>
    <row r="117" spans="11:19">
      <c r="K117" s="50" t="s">
        <v>80</v>
      </c>
      <c r="L117" s="50"/>
      <c r="M117" s="45"/>
      <c r="N117" s="45"/>
      <c r="O117" s="45"/>
      <c r="P117" s="45"/>
      <c r="Q117" s="45"/>
      <c r="R117" s="45"/>
      <c r="S117" s="178"/>
    </row>
    <row r="118" spans="11:19">
      <c r="K118" s="50" t="s">
        <v>61</v>
      </c>
      <c r="L118" s="50"/>
      <c r="M118" s="45"/>
      <c r="N118" s="45"/>
      <c r="O118" s="45"/>
      <c r="P118" s="45"/>
      <c r="Q118" s="45"/>
      <c r="R118" s="45"/>
      <c r="S118" s="178"/>
    </row>
    <row r="119" spans="11:19">
      <c r="K119" s="43" t="s">
        <v>187</v>
      </c>
    </row>
    <row r="120" spans="11:19">
      <c r="K120" s="21" t="s">
        <v>45</v>
      </c>
      <c r="L120" s="21" t="s">
        <v>17</v>
      </c>
      <c r="M120" s="21" t="s">
        <v>46</v>
      </c>
      <c r="N120" s="21" t="s">
        <v>47</v>
      </c>
      <c r="O120" s="21" t="s">
        <v>48</v>
      </c>
      <c r="P120" s="21" t="s">
        <v>49</v>
      </c>
      <c r="Q120" s="21" t="s">
        <v>51</v>
      </c>
      <c r="R120" s="21" t="s">
        <v>53</v>
      </c>
      <c r="S120" s="21" t="s">
        <v>57</v>
      </c>
    </row>
    <row r="121" spans="11:19">
      <c r="K121" s="43" t="s">
        <v>80</v>
      </c>
      <c r="L121" s="43" t="str">
        <f>INDEX(tblExternalRefs[Location],MATCH("GUI",tblExternalRefs[Name],0))</f>
        <v>C:\Projects\FIB35P_734\FIB35P_734 ATE GUI.exe</v>
      </c>
    </row>
    <row r="122" spans="11:19">
      <c r="K122" s="43" t="s">
        <v>140</v>
      </c>
    </row>
    <row r="123" spans="11:19" s="175" customFormat="1">
      <c r="K123" s="175" t="s">
        <v>27</v>
      </c>
      <c r="L123" s="175" t="s">
        <v>42</v>
      </c>
      <c r="M123" s="175" t="s">
        <v>60</v>
      </c>
      <c r="N123" s="175" t="s">
        <v>342</v>
      </c>
      <c r="O123" s="175">
        <v>2000</v>
      </c>
    </row>
    <row r="124" spans="11:19">
      <c r="K124" s="43" t="s">
        <v>128</v>
      </c>
      <c r="L124" s="175" t="str">
        <f>INDEX(tblExternalRefs[Location],MATCH("GUI",tblExternalRefs[Name],0))</f>
        <v>C:\Projects\FIB35P_734\FIB35P_734 ATE GUI.exe</v>
      </c>
    </row>
    <row r="125" spans="11:19" s="175" customFormat="1">
      <c r="K125" s="175" t="s">
        <v>27</v>
      </c>
      <c r="L125" s="175" t="s">
        <v>42</v>
      </c>
      <c r="M125" s="175" t="s">
        <v>60</v>
      </c>
      <c r="N125" s="175" t="s">
        <v>342</v>
      </c>
      <c r="O125" s="175">
        <v>3000</v>
      </c>
    </row>
    <row r="126" spans="11:19">
      <c r="K126" s="175" t="s">
        <v>327</v>
      </c>
      <c r="L126" s="175"/>
      <c r="M126" s="175"/>
      <c r="N126" s="175"/>
    </row>
    <row r="127" spans="11:19" s="175" customFormat="1">
      <c r="K127" s="50" t="s">
        <v>61</v>
      </c>
      <c r="O127" s="76"/>
    </row>
    <row r="128" spans="11:19" s="175" customFormat="1"/>
    <row r="129" spans="11:19" s="175" customFormat="1">
      <c r="K129" s="175" t="s">
        <v>327</v>
      </c>
    </row>
    <row r="130" spans="11:19">
      <c r="L130" s="175"/>
    </row>
    <row r="131" spans="11:19">
      <c r="K131" s="43" t="s">
        <v>198</v>
      </c>
    </row>
    <row r="132" spans="11:19">
      <c r="K132" s="21" t="s">
        <v>45</v>
      </c>
      <c r="L132" s="21" t="s">
        <v>17</v>
      </c>
      <c r="M132" s="21" t="s">
        <v>46</v>
      </c>
      <c r="N132" s="21" t="s">
        <v>47</v>
      </c>
      <c r="O132" s="21" t="s">
        <v>48</v>
      </c>
      <c r="P132" s="21" t="s">
        <v>49</v>
      </c>
      <c r="Q132" s="21" t="s">
        <v>51</v>
      </c>
      <c r="R132" s="21" t="s">
        <v>53</v>
      </c>
      <c r="S132" s="21" t="s">
        <v>57</v>
      </c>
    </row>
    <row r="133" spans="11:19">
      <c r="K133" s="50" t="s">
        <v>27</v>
      </c>
      <c r="L133" s="50" t="s">
        <v>88</v>
      </c>
      <c r="M133" s="50" t="s">
        <v>156</v>
      </c>
      <c r="N133" s="50" t="s">
        <v>141</v>
      </c>
      <c r="O133" s="50" t="s">
        <v>201</v>
      </c>
      <c r="P133" s="50"/>
      <c r="Q133" s="50"/>
      <c r="R133" s="50"/>
      <c r="S133" s="50"/>
    </row>
    <row r="134" spans="11:19">
      <c r="K134" s="50" t="s">
        <v>27</v>
      </c>
      <c r="L134" s="50" t="s">
        <v>88</v>
      </c>
      <c r="M134" s="50" t="s">
        <v>156</v>
      </c>
      <c r="N134" s="50" t="s">
        <v>141</v>
      </c>
      <c r="O134" s="50" t="s">
        <v>202</v>
      </c>
      <c r="P134" s="50"/>
      <c r="Q134" s="50"/>
      <c r="R134" s="50"/>
      <c r="S134" s="50"/>
    </row>
    <row r="135" spans="11:19">
      <c r="K135" s="50" t="s">
        <v>27</v>
      </c>
      <c r="L135" s="50" t="s">
        <v>88</v>
      </c>
      <c r="M135" s="50" t="s">
        <v>156</v>
      </c>
      <c r="N135" s="50" t="s">
        <v>141</v>
      </c>
      <c r="O135" s="50" t="s">
        <v>203</v>
      </c>
      <c r="P135" s="50"/>
      <c r="Q135" s="50"/>
      <c r="R135" s="50"/>
      <c r="S135" s="50"/>
    </row>
    <row r="136" spans="11:19">
      <c r="K136" s="50" t="s">
        <v>27</v>
      </c>
      <c r="L136" s="50" t="s">
        <v>88</v>
      </c>
      <c r="M136" s="50" t="s">
        <v>156</v>
      </c>
      <c r="N136" s="50" t="s">
        <v>141</v>
      </c>
      <c r="O136" s="50" t="s">
        <v>375</v>
      </c>
      <c r="P136" s="50"/>
      <c r="Q136" s="50"/>
      <c r="R136" s="50"/>
      <c r="S136" s="50"/>
    </row>
    <row r="137" spans="11:19">
      <c r="K137" s="50" t="s">
        <v>27</v>
      </c>
      <c r="L137" s="50" t="s">
        <v>88</v>
      </c>
      <c r="M137" s="50" t="s">
        <v>156</v>
      </c>
      <c r="N137" s="50" t="s">
        <v>141</v>
      </c>
      <c r="O137" s="50" t="s">
        <v>204</v>
      </c>
      <c r="P137" s="50"/>
      <c r="Q137" s="50"/>
      <c r="R137" s="50"/>
      <c r="S137" s="50"/>
    </row>
    <row r="138" spans="11:19">
      <c r="K138" s="50" t="s">
        <v>27</v>
      </c>
      <c r="L138" s="50" t="s">
        <v>88</v>
      </c>
      <c r="M138" s="50" t="s">
        <v>156</v>
      </c>
      <c r="N138" s="50" t="s">
        <v>141</v>
      </c>
      <c r="O138" s="50" t="s">
        <v>205</v>
      </c>
      <c r="P138" s="50"/>
      <c r="Q138" s="50"/>
      <c r="R138" s="50"/>
      <c r="S138" s="50"/>
    </row>
    <row r="139" spans="11:19">
      <c r="K139" s="50" t="s">
        <v>27</v>
      </c>
      <c r="L139" s="50" t="s">
        <v>88</v>
      </c>
      <c r="M139" s="50" t="s">
        <v>156</v>
      </c>
      <c r="N139" s="50" t="s">
        <v>141</v>
      </c>
      <c r="O139" s="50" t="s">
        <v>206</v>
      </c>
      <c r="P139" s="50"/>
      <c r="Q139" s="50"/>
      <c r="R139" s="50"/>
      <c r="S139" s="50"/>
    </row>
    <row r="140" spans="11:19">
      <c r="K140" s="50" t="s">
        <v>27</v>
      </c>
      <c r="L140" s="50" t="s">
        <v>88</v>
      </c>
      <c r="M140" s="50" t="s">
        <v>156</v>
      </c>
      <c r="N140" s="50" t="s">
        <v>141</v>
      </c>
      <c r="O140" s="50" t="s">
        <v>78</v>
      </c>
      <c r="P140" s="50"/>
      <c r="Q140" s="50"/>
      <c r="R140" s="50"/>
      <c r="S140" s="50"/>
    </row>
    <row r="141" spans="11:19">
      <c r="K141" s="50" t="s">
        <v>27</v>
      </c>
      <c r="L141" s="50" t="s">
        <v>88</v>
      </c>
      <c r="M141" s="50" t="s">
        <v>156</v>
      </c>
      <c r="N141" s="50" t="s">
        <v>141</v>
      </c>
      <c r="O141" s="50" t="s">
        <v>207</v>
      </c>
      <c r="P141" s="50"/>
      <c r="Q141" s="50"/>
      <c r="R141" s="50"/>
      <c r="S141" s="50"/>
    </row>
    <row r="142" spans="11:19">
      <c r="K142" s="21" t="s">
        <v>27</v>
      </c>
      <c r="L142" s="21" t="s">
        <v>88</v>
      </c>
      <c r="M142" s="21" t="s">
        <v>156</v>
      </c>
      <c r="N142" s="21" t="s">
        <v>141</v>
      </c>
      <c r="O142" s="21" t="s">
        <v>208</v>
      </c>
      <c r="P142" s="21"/>
      <c r="Q142" s="21"/>
      <c r="R142" s="21"/>
      <c r="S142" s="21"/>
    </row>
    <row r="143" spans="11:19">
      <c r="K143" s="50" t="s">
        <v>27</v>
      </c>
      <c r="L143" s="50" t="s">
        <v>88</v>
      </c>
      <c r="M143" s="50" t="s">
        <v>156</v>
      </c>
      <c r="N143" s="50" t="s">
        <v>141</v>
      </c>
      <c r="O143" s="50" t="s">
        <v>209</v>
      </c>
      <c r="P143" s="50"/>
      <c r="Q143" s="50"/>
      <c r="R143" s="50"/>
      <c r="S143" s="50"/>
    </row>
    <row r="144" spans="11:19">
      <c r="K144" s="50" t="s">
        <v>27</v>
      </c>
      <c r="L144" s="50" t="s">
        <v>88</v>
      </c>
      <c r="M144" s="50" t="s">
        <v>156</v>
      </c>
      <c r="N144" s="50" t="s">
        <v>141</v>
      </c>
      <c r="O144" s="50" t="s">
        <v>210</v>
      </c>
      <c r="P144" s="50"/>
      <c r="Q144" s="50"/>
      <c r="R144" s="50"/>
      <c r="S144" s="50"/>
    </row>
    <row r="145" spans="11:19">
      <c r="K145" s="50" t="s">
        <v>27</v>
      </c>
      <c r="L145" s="50" t="s">
        <v>88</v>
      </c>
      <c r="M145" s="50" t="s">
        <v>156</v>
      </c>
      <c r="N145" s="50" t="s">
        <v>141</v>
      </c>
      <c r="O145" s="50" t="s">
        <v>211</v>
      </c>
      <c r="P145" s="50"/>
      <c r="Q145" s="50"/>
      <c r="R145" s="50"/>
      <c r="S145" s="50"/>
    </row>
    <row r="146" spans="11:19">
      <c r="K146" s="50" t="s">
        <v>27</v>
      </c>
      <c r="L146" s="50" t="s">
        <v>88</v>
      </c>
      <c r="M146" s="50" t="s">
        <v>156</v>
      </c>
      <c r="N146" s="50" t="s">
        <v>141</v>
      </c>
      <c r="O146" s="50" t="s">
        <v>212</v>
      </c>
      <c r="P146" s="50"/>
      <c r="Q146" s="50"/>
      <c r="R146" s="50"/>
      <c r="S146" s="50"/>
    </row>
    <row r="147" spans="11:19">
      <c r="K147" s="50" t="s">
        <v>61</v>
      </c>
      <c r="L147" s="50"/>
      <c r="M147" s="50"/>
      <c r="N147" s="50"/>
      <c r="O147" s="50"/>
      <c r="P147" s="50"/>
      <c r="Q147" s="50"/>
      <c r="R147" s="50"/>
      <c r="S147" s="50"/>
    </row>
    <row r="149" spans="11:19">
      <c r="K149" s="43" t="s">
        <v>200</v>
      </c>
    </row>
    <row r="150" spans="11:19">
      <c r="K150" s="21" t="s">
        <v>45</v>
      </c>
      <c r="L150" s="21" t="s">
        <v>17</v>
      </c>
      <c r="M150" s="21" t="s">
        <v>46</v>
      </c>
      <c r="N150" s="43" t="s">
        <v>189</v>
      </c>
      <c r="O150" s="43" t="s">
        <v>213</v>
      </c>
      <c r="P150" s="43" t="s">
        <v>214</v>
      </c>
      <c r="Q150" s="43" t="s">
        <v>215</v>
      </c>
      <c r="R150" s="43" t="s">
        <v>222</v>
      </c>
      <c r="S150" s="43" t="s">
        <v>223</v>
      </c>
    </row>
    <row r="151" spans="11:19">
      <c r="K151" s="40" t="s">
        <v>27</v>
      </c>
      <c r="L151" s="154" t="s">
        <v>88</v>
      </c>
      <c r="M151" s="154" t="s">
        <v>216</v>
      </c>
      <c r="N151" s="154" t="s">
        <v>217</v>
      </c>
      <c r="O151" s="154"/>
      <c r="P151" s="154"/>
      <c r="Q151" s="154"/>
      <c r="R151" s="154"/>
      <c r="S151" s="154"/>
    </row>
    <row r="152" spans="11:19" ht="75">
      <c r="K152" s="40" t="s">
        <v>27</v>
      </c>
      <c r="L152" s="154" t="s">
        <v>88</v>
      </c>
      <c r="M152" s="154" t="s">
        <v>218</v>
      </c>
      <c r="N152" s="154" t="s">
        <v>217</v>
      </c>
      <c r="O152" s="154" t="s">
        <v>219</v>
      </c>
      <c r="P152" s="155" t="s">
        <v>220</v>
      </c>
      <c r="Q152" s="154"/>
      <c r="R152" s="154"/>
      <c r="S152" s="154"/>
    </row>
    <row r="153" spans="11:19">
      <c r="K153" s="40" t="s">
        <v>27</v>
      </c>
      <c r="L153" s="154" t="s">
        <v>88</v>
      </c>
      <c r="M153" s="154" t="s">
        <v>221</v>
      </c>
      <c r="N153" s="154" t="s">
        <v>217</v>
      </c>
      <c r="O153" s="154"/>
      <c r="P153" s="154"/>
      <c r="Q153" s="154"/>
      <c r="R153" s="154"/>
      <c r="S153" s="154"/>
    </row>
    <row r="154" spans="11:19">
      <c r="K154" s="154" t="s">
        <v>61</v>
      </c>
      <c r="L154" s="154"/>
      <c r="M154" s="154"/>
      <c r="N154" s="154"/>
      <c r="O154" s="154"/>
      <c r="P154" s="154"/>
      <c r="Q154" s="154"/>
      <c r="R154" s="154"/>
      <c r="S154" s="154"/>
    </row>
    <row r="156" spans="11:19">
      <c r="K156" s="43" t="s">
        <v>224</v>
      </c>
    </row>
    <row r="157" spans="11:19">
      <c r="K157" s="21" t="s">
        <v>45</v>
      </c>
      <c r="L157" s="21" t="s">
        <v>17</v>
      </c>
      <c r="M157" s="21" t="s">
        <v>46</v>
      </c>
      <c r="N157" s="21" t="s">
        <v>47</v>
      </c>
      <c r="O157" s="21" t="s">
        <v>48</v>
      </c>
      <c r="P157" s="21" t="s">
        <v>49</v>
      </c>
      <c r="Q157" s="21" t="s">
        <v>51</v>
      </c>
      <c r="R157" s="21" t="s">
        <v>53</v>
      </c>
      <c r="S157" s="21" t="s">
        <v>57</v>
      </c>
    </row>
    <row r="158" spans="11:19">
      <c r="K158" s="154" t="s">
        <v>27</v>
      </c>
      <c r="L158" s="154" t="s">
        <v>225</v>
      </c>
      <c r="M158" s="154" t="s">
        <v>226</v>
      </c>
      <c r="N158" s="154"/>
      <c r="O158" s="154"/>
      <c r="P158" s="154"/>
      <c r="Q158" s="154"/>
      <c r="R158" s="154"/>
      <c r="S158" s="154"/>
    </row>
    <row r="159" spans="11:19">
      <c r="K159" s="43" t="s">
        <v>61</v>
      </c>
      <c r="L159" s="154"/>
      <c r="M159" s="154"/>
      <c r="N159" s="154"/>
      <c r="O159" s="154"/>
      <c r="P159" s="154"/>
      <c r="Q159" s="154"/>
      <c r="R159" s="154"/>
      <c r="S159" s="154"/>
    </row>
    <row r="162" spans="11:19">
      <c r="K162" s="47"/>
      <c r="L162" s="47"/>
      <c r="M162" s="46"/>
      <c r="N162" s="67"/>
      <c r="O162" s="46"/>
    </row>
    <row r="163" spans="11:19">
      <c r="K163" s="175" t="s">
        <v>356</v>
      </c>
      <c r="L163" s="175"/>
      <c r="M163" s="175"/>
      <c r="N163" s="175"/>
      <c r="O163" s="175"/>
      <c r="P163" s="175"/>
      <c r="Q163" s="175"/>
      <c r="R163" s="175"/>
      <c r="S163" s="175"/>
    </row>
    <row r="164" spans="11:19">
      <c r="K164" s="178" t="s">
        <v>45</v>
      </c>
      <c r="L164" s="178" t="s">
        <v>17</v>
      </c>
      <c r="M164" s="178" t="s">
        <v>46</v>
      </c>
      <c r="N164" s="178" t="s">
        <v>47</v>
      </c>
      <c r="O164" s="178" t="s">
        <v>48</v>
      </c>
      <c r="P164" s="178" t="s">
        <v>49</v>
      </c>
      <c r="Q164" s="178" t="s">
        <v>51</v>
      </c>
      <c r="R164" s="178" t="s">
        <v>53</v>
      </c>
      <c r="S164" s="178" t="s">
        <v>57</v>
      </c>
    </row>
    <row r="165" spans="11:19" s="175" customFormat="1">
      <c r="K165" s="218" t="s">
        <v>358</v>
      </c>
      <c r="L165" s="218"/>
      <c r="M165" s="219"/>
      <c r="N165" s="219"/>
      <c r="O165" s="219"/>
      <c r="P165" s="219"/>
      <c r="Q165" s="219"/>
      <c r="R165" s="219"/>
      <c r="S165" s="219"/>
    </row>
    <row r="166" spans="11:19" s="175" customFormat="1">
      <c r="K166" s="218" t="s">
        <v>359</v>
      </c>
      <c r="L166" s="218" t="s">
        <v>360</v>
      </c>
      <c r="M166" s="219"/>
      <c r="N166" s="219"/>
      <c r="O166" s="219"/>
      <c r="P166" s="219"/>
      <c r="Q166" s="219"/>
      <c r="R166" s="219"/>
      <c r="S166" s="219"/>
    </row>
    <row r="167" spans="11:19">
      <c r="K167" s="218" t="s">
        <v>27</v>
      </c>
      <c r="L167" s="218" t="s">
        <v>98</v>
      </c>
      <c r="M167" s="218" t="s">
        <v>156</v>
      </c>
      <c r="N167" s="218" t="s">
        <v>141</v>
      </c>
      <c r="O167" s="218" t="s">
        <v>346</v>
      </c>
      <c r="P167" s="154"/>
      <c r="Q167" s="154"/>
      <c r="R167" s="154"/>
      <c r="S167" s="154"/>
    </row>
    <row r="168" spans="11:19">
      <c r="K168" s="218" t="s">
        <v>27</v>
      </c>
      <c r="L168" s="218" t="s">
        <v>98</v>
      </c>
      <c r="M168" s="218" t="s">
        <v>156</v>
      </c>
      <c r="N168" s="218" t="s">
        <v>141</v>
      </c>
      <c r="O168" s="218" t="s">
        <v>347</v>
      </c>
      <c r="P168" s="154"/>
      <c r="Q168" s="154"/>
      <c r="R168" s="154"/>
      <c r="S168" s="154"/>
    </row>
    <row r="169" spans="11:19">
      <c r="K169" s="218" t="s">
        <v>27</v>
      </c>
      <c r="L169" s="218" t="s">
        <v>98</v>
      </c>
      <c r="M169" s="218" t="s">
        <v>156</v>
      </c>
      <c r="N169" s="218" t="s">
        <v>141</v>
      </c>
      <c r="O169" s="218" t="s">
        <v>348</v>
      </c>
      <c r="P169" s="154"/>
      <c r="Q169" s="154"/>
      <c r="R169" s="154"/>
      <c r="S169" s="154"/>
    </row>
    <row r="170" spans="11:19">
      <c r="K170" s="218" t="s">
        <v>27</v>
      </c>
      <c r="L170" s="218" t="s">
        <v>98</v>
      </c>
      <c r="M170" s="218" t="s">
        <v>156</v>
      </c>
      <c r="N170" s="218" t="s">
        <v>141</v>
      </c>
      <c r="O170" s="218" t="s">
        <v>350</v>
      </c>
      <c r="P170" s="154"/>
      <c r="Q170" s="154"/>
      <c r="R170" s="154"/>
      <c r="S170" s="154"/>
    </row>
    <row r="171" spans="11:19">
      <c r="K171" s="218" t="s">
        <v>27</v>
      </c>
      <c r="L171" s="218" t="s">
        <v>98</v>
      </c>
      <c r="M171" s="218" t="s">
        <v>156</v>
      </c>
      <c r="N171" s="218" t="s">
        <v>141</v>
      </c>
      <c r="O171" s="218" t="s">
        <v>351</v>
      </c>
      <c r="P171" s="154"/>
      <c r="Q171" s="154"/>
      <c r="R171" s="154"/>
      <c r="S171" s="154"/>
    </row>
    <row r="172" spans="11:19" ht="14.25" customHeight="1">
      <c r="K172" s="218" t="s">
        <v>27</v>
      </c>
      <c r="L172" s="218" t="s">
        <v>98</v>
      </c>
      <c r="M172" s="218" t="s">
        <v>218</v>
      </c>
      <c r="N172" s="218" t="s">
        <v>352</v>
      </c>
      <c r="O172" s="218" t="s">
        <v>349</v>
      </c>
      <c r="P172" s="154" t="s">
        <v>326</v>
      </c>
      <c r="Q172" s="155" t="str">
        <f>ATE_Settings!AK6</f>
        <v>\\shvukfs2\Eng\FIB Series\FIB35P_734 (FEI)\Test Equipment\FIB35P_734 SSATS\Final Test\Scope_Settings\82097_Lens1_HF.txt</v>
      </c>
      <c r="R172" s="154"/>
      <c r="S172" s="154"/>
    </row>
    <row r="173" spans="11:19">
      <c r="K173" s="218" t="s">
        <v>361</v>
      </c>
      <c r="L173" s="218"/>
      <c r="M173" s="218"/>
      <c r="N173" s="218"/>
      <c r="O173" s="218"/>
      <c r="P173" s="154"/>
      <c r="Q173" s="154"/>
      <c r="R173" s="154"/>
      <c r="S173" s="154"/>
    </row>
    <row r="174" spans="11:19">
      <c r="K174" s="213" t="s">
        <v>61</v>
      </c>
      <c r="L174" s="213"/>
      <c r="M174" s="213"/>
      <c r="N174" s="213"/>
      <c r="O174" s="213"/>
      <c r="P174" s="154"/>
      <c r="Q174" s="154"/>
      <c r="R174" s="154"/>
      <c r="S174" s="154"/>
    </row>
    <row r="177" spans="11:19">
      <c r="K177" s="43" t="s">
        <v>373</v>
      </c>
    </row>
    <row r="178" spans="11:19">
      <c r="K178" s="43" t="s">
        <v>45</v>
      </c>
      <c r="L178" s="43" t="s">
        <v>17</v>
      </c>
      <c r="M178" s="43" t="s">
        <v>46</v>
      </c>
      <c r="N178" s="43" t="s">
        <v>47</v>
      </c>
      <c r="O178" s="43" t="s">
        <v>48</v>
      </c>
      <c r="P178" s="43" t="s">
        <v>49</v>
      </c>
      <c r="Q178" s="43" t="s">
        <v>51</v>
      </c>
      <c r="R178" s="43" t="s">
        <v>53</v>
      </c>
      <c r="S178" s="43" t="s">
        <v>57</v>
      </c>
    </row>
    <row r="179" spans="11:19">
      <c r="K179" s="43" t="s">
        <v>27</v>
      </c>
      <c r="L179" s="43" t="s">
        <v>98</v>
      </c>
      <c r="M179" s="43" t="s">
        <v>156</v>
      </c>
      <c r="N179" s="43" t="s">
        <v>141</v>
      </c>
      <c r="O179" s="43" t="s">
        <v>371</v>
      </c>
    </row>
    <row r="180" spans="11:19">
      <c r="K180" s="43" t="s">
        <v>370</v>
      </c>
      <c r="L180" s="43">
        <v>3000</v>
      </c>
    </row>
    <row r="181" spans="11:19">
      <c r="K181" s="175" t="s">
        <v>27</v>
      </c>
      <c r="L181" s="175" t="s">
        <v>98</v>
      </c>
      <c r="M181" s="175" t="s">
        <v>156</v>
      </c>
      <c r="N181" s="175" t="s">
        <v>141</v>
      </c>
      <c r="O181" s="175" t="s">
        <v>372</v>
      </c>
    </row>
    <row r="182" spans="11:19">
      <c r="K182" s="233" t="s">
        <v>61</v>
      </c>
    </row>
    <row r="185" spans="11:19">
      <c r="K185" s="43" t="s">
        <v>413</v>
      </c>
    </row>
    <row r="186" spans="11:19">
      <c r="K186" s="175" t="s">
        <v>414</v>
      </c>
      <c r="L186" s="175" t="s">
        <v>415</v>
      </c>
      <c r="M186" s="175" t="s">
        <v>189</v>
      </c>
      <c r="N186" s="175" t="s">
        <v>213</v>
      </c>
      <c r="O186" s="175" t="s">
        <v>214</v>
      </c>
      <c r="P186" s="175" t="s">
        <v>215</v>
      </c>
      <c r="Q186" s="175" t="s">
        <v>222</v>
      </c>
      <c r="R186" s="175" t="s">
        <v>223</v>
      </c>
      <c r="S186" s="175" t="s">
        <v>416</v>
      </c>
    </row>
    <row r="187" spans="11:19">
      <c r="K187" s="252" t="s">
        <v>358</v>
      </c>
      <c r="L187" s="252"/>
      <c r="M187" s="175"/>
      <c r="N187" s="175"/>
      <c r="O187" s="175"/>
      <c r="P187" s="175"/>
      <c r="Q187" s="175"/>
      <c r="R187" s="175"/>
      <c r="S187" s="175"/>
    </row>
    <row r="188" spans="11:19">
      <c r="K188" s="252" t="s">
        <v>359</v>
      </c>
      <c r="L188" s="252" t="s">
        <v>420</v>
      </c>
      <c r="M188" s="175"/>
      <c r="N188" s="175"/>
      <c r="O188" s="175"/>
      <c r="P188" s="175"/>
      <c r="Q188" s="175"/>
      <c r="R188" s="175"/>
      <c r="S188" s="175"/>
    </row>
    <row r="189" spans="11:19">
      <c r="K189" s="175" t="s">
        <v>27</v>
      </c>
      <c r="L189" s="175" t="s">
        <v>319</v>
      </c>
      <c r="M189" s="175" t="s">
        <v>156</v>
      </c>
      <c r="N189" s="175" t="s">
        <v>141</v>
      </c>
      <c r="O189" s="175" t="s">
        <v>386</v>
      </c>
    </row>
    <row r="190" spans="11:19">
      <c r="K190" s="175" t="s">
        <v>27</v>
      </c>
      <c r="L190" s="175" t="s">
        <v>319</v>
      </c>
      <c r="M190" s="175" t="s">
        <v>156</v>
      </c>
      <c r="N190" s="175" t="s">
        <v>141</v>
      </c>
      <c r="O190" s="175" t="s">
        <v>387</v>
      </c>
    </row>
    <row r="191" spans="11:19">
      <c r="K191" s="175" t="s">
        <v>80</v>
      </c>
      <c r="L191" s="175" t="s">
        <v>319</v>
      </c>
      <c r="M191" s="175" t="s">
        <v>156</v>
      </c>
      <c r="N191" s="175" t="s">
        <v>141</v>
      </c>
      <c r="O191" s="209" t="s">
        <v>402</v>
      </c>
    </row>
    <row r="192" spans="11:19">
      <c r="K192" s="175" t="s">
        <v>80</v>
      </c>
      <c r="L192" s="175" t="s">
        <v>319</v>
      </c>
      <c r="M192" s="175" t="s">
        <v>156</v>
      </c>
      <c r="N192" s="175" t="s">
        <v>141</v>
      </c>
      <c r="O192" s="209" t="s">
        <v>393</v>
      </c>
    </row>
    <row r="193" spans="11:15">
      <c r="K193" s="175" t="s">
        <v>80</v>
      </c>
      <c r="L193" s="175" t="s">
        <v>319</v>
      </c>
      <c r="M193" s="175" t="s">
        <v>156</v>
      </c>
      <c r="N193" s="175" t="s">
        <v>141</v>
      </c>
      <c r="O193" s="209" t="s">
        <v>385</v>
      </c>
    </row>
    <row r="194" spans="11:15">
      <c r="K194" s="175" t="s">
        <v>27</v>
      </c>
      <c r="L194" s="175" t="s">
        <v>319</v>
      </c>
      <c r="M194" s="175" t="s">
        <v>156</v>
      </c>
      <c r="N194" s="175" t="s">
        <v>141</v>
      </c>
      <c r="O194" s="209" t="s">
        <v>384</v>
      </c>
    </row>
    <row r="195" spans="11:15">
      <c r="K195" s="175" t="s">
        <v>27</v>
      </c>
      <c r="L195" s="175" t="s">
        <v>319</v>
      </c>
      <c r="M195" s="175" t="s">
        <v>156</v>
      </c>
      <c r="N195" s="175" t="s">
        <v>141</v>
      </c>
      <c r="O195" s="209" t="s">
        <v>388</v>
      </c>
    </row>
    <row r="196" spans="11:15">
      <c r="K196" s="175" t="s">
        <v>27</v>
      </c>
      <c r="L196" s="175" t="s">
        <v>319</v>
      </c>
      <c r="M196" s="175" t="s">
        <v>156</v>
      </c>
      <c r="N196" s="175" t="s">
        <v>141</v>
      </c>
      <c r="O196" s="209" t="s">
        <v>391</v>
      </c>
    </row>
    <row r="197" spans="11:15">
      <c r="K197" s="175" t="s">
        <v>80</v>
      </c>
      <c r="L197" s="175" t="s">
        <v>319</v>
      </c>
      <c r="M197" s="175" t="s">
        <v>55</v>
      </c>
      <c r="N197" s="175" t="s">
        <v>141</v>
      </c>
      <c r="O197" s="209" t="s">
        <v>392</v>
      </c>
    </row>
    <row r="198" spans="11:15">
      <c r="K198" s="175" t="s">
        <v>80</v>
      </c>
      <c r="L198" s="175"/>
      <c r="M198" s="175"/>
      <c r="N198" s="175"/>
      <c r="O198" s="209"/>
    </row>
    <row r="199" spans="11:15">
      <c r="K199" s="175" t="s">
        <v>80</v>
      </c>
      <c r="L199" s="175" t="s">
        <v>319</v>
      </c>
      <c r="M199" s="175" t="s">
        <v>156</v>
      </c>
      <c r="N199" s="175" t="s">
        <v>141</v>
      </c>
      <c r="O199" s="209" t="s">
        <v>389</v>
      </c>
    </row>
    <row r="200" spans="11:15">
      <c r="K200" s="175" t="s">
        <v>80</v>
      </c>
      <c r="L200" s="175" t="s">
        <v>319</v>
      </c>
      <c r="M200" s="175" t="s">
        <v>55</v>
      </c>
      <c r="N200" s="175" t="s">
        <v>141</v>
      </c>
      <c r="O200" s="209" t="s">
        <v>390</v>
      </c>
    </row>
    <row r="201" spans="11:15">
      <c r="K201" s="175" t="s">
        <v>80</v>
      </c>
      <c r="L201" s="175" t="s">
        <v>319</v>
      </c>
      <c r="M201" s="175" t="s">
        <v>55</v>
      </c>
      <c r="N201" s="175" t="s">
        <v>141</v>
      </c>
      <c r="O201" s="209" t="s">
        <v>394</v>
      </c>
    </row>
    <row r="202" spans="11:15">
      <c r="K202" s="175" t="s">
        <v>80</v>
      </c>
      <c r="L202" s="175"/>
      <c r="M202" s="175"/>
      <c r="N202" s="175"/>
      <c r="O202" s="209"/>
    </row>
    <row r="203" spans="11:15">
      <c r="K203" s="175" t="s">
        <v>80</v>
      </c>
      <c r="L203" s="175" t="s">
        <v>319</v>
      </c>
      <c r="M203" s="175" t="s">
        <v>55</v>
      </c>
      <c r="N203" s="175" t="s">
        <v>141</v>
      </c>
      <c r="O203" s="175" t="s">
        <v>395</v>
      </c>
    </row>
    <row r="204" spans="11:15">
      <c r="K204" s="175" t="s">
        <v>80</v>
      </c>
      <c r="L204" s="175" t="s">
        <v>319</v>
      </c>
      <c r="M204" s="175" t="s">
        <v>55</v>
      </c>
      <c r="N204" s="175" t="s">
        <v>141</v>
      </c>
      <c r="O204" s="175" t="s">
        <v>396</v>
      </c>
    </row>
    <row r="205" spans="11:15">
      <c r="K205" s="175" t="s">
        <v>80</v>
      </c>
      <c r="L205" s="175" t="s">
        <v>319</v>
      </c>
      <c r="M205" s="175" t="s">
        <v>55</v>
      </c>
      <c r="N205" s="175" t="s">
        <v>141</v>
      </c>
      <c r="O205" s="175" t="s">
        <v>397</v>
      </c>
    </row>
    <row r="206" spans="11:15">
      <c r="K206" s="175" t="s">
        <v>80</v>
      </c>
      <c r="L206" s="175" t="s">
        <v>319</v>
      </c>
      <c r="M206" s="175" t="s">
        <v>55</v>
      </c>
      <c r="N206" s="175" t="s">
        <v>141</v>
      </c>
      <c r="O206" s="175" t="s">
        <v>398</v>
      </c>
    </row>
    <row r="207" spans="11:15">
      <c r="K207" s="175" t="s">
        <v>80</v>
      </c>
      <c r="L207" s="175" t="s">
        <v>319</v>
      </c>
      <c r="M207" s="175" t="s">
        <v>55</v>
      </c>
      <c r="N207" s="175" t="s">
        <v>141</v>
      </c>
      <c r="O207" s="175" t="s">
        <v>399</v>
      </c>
    </row>
    <row r="208" spans="11:15">
      <c r="K208" s="175" t="s">
        <v>80</v>
      </c>
      <c r="L208" s="175" t="s">
        <v>319</v>
      </c>
      <c r="M208" s="175" t="s">
        <v>55</v>
      </c>
      <c r="N208" s="175" t="s">
        <v>141</v>
      </c>
      <c r="O208" s="175" t="s">
        <v>403</v>
      </c>
    </row>
    <row r="209" spans="11:19">
      <c r="K209" s="175" t="s">
        <v>80</v>
      </c>
      <c r="L209" s="175" t="s">
        <v>319</v>
      </c>
      <c r="M209" s="175" t="s">
        <v>55</v>
      </c>
      <c r="N209" s="175" t="s">
        <v>141</v>
      </c>
      <c r="O209" s="175" t="s">
        <v>404</v>
      </c>
    </row>
    <row r="210" spans="11:19">
      <c r="K210" s="175" t="s">
        <v>27</v>
      </c>
      <c r="L210" s="175" t="s">
        <v>319</v>
      </c>
      <c r="M210" s="175" t="s">
        <v>156</v>
      </c>
      <c r="N210" s="175" t="s">
        <v>141</v>
      </c>
      <c r="O210" s="175" t="s">
        <v>400</v>
      </c>
      <c r="P210" s="175"/>
    </row>
    <row r="211" spans="11:19">
      <c r="K211" s="175" t="s">
        <v>27</v>
      </c>
      <c r="L211" s="175" t="s">
        <v>319</v>
      </c>
      <c r="M211" s="175" t="s">
        <v>156</v>
      </c>
      <c r="N211" s="175" t="s">
        <v>141</v>
      </c>
      <c r="O211" s="175" t="s">
        <v>412</v>
      </c>
      <c r="P211" s="175"/>
    </row>
    <row r="212" spans="11:19">
      <c r="K212" s="175" t="s">
        <v>80</v>
      </c>
      <c r="L212" s="175" t="s">
        <v>319</v>
      </c>
      <c r="M212" s="175" t="s">
        <v>156</v>
      </c>
      <c r="N212" s="175" t="s">
        <v>141</v>
      </c>
      <c r="O212" s="175" t="s">
        <v>401</v>
      </c>
      <c r="P212" s="175"/>
    </row>
    <row r="213" spans="11:19">
      <c r="K213" s="175" t="s">
        <v>80</v>
      </c>
      <c r="L213" s="175"/>
      <c r="M213" s="175"/>
      <c r="N213" s="175"/>
      <c r="O213" s="209"/>
      <c r="P213" s="175"/>
      <c r="Q213" s="175"/>
      <c r="R213" s="175"/>
      <c r="S213" s="175"/>
    </row>
    <row r="214" spans="11:19">
      <c r="K214" s="175" t="s">
        <v>80</v>
      </c>
      <c r="L214" s="175"/>
      <c r="M214" s="175"/>
      <c r="N214" s="175"/>
      <c r="O214" s="209"/>
      <c r="P214" s="175"/>
      <c r="Q214" s="175"/>
      <c r="R214" s="175"/>
      <c r="S214" s="175"/>
    </row>
    <row r="215" spans="11:19">
      <c r="K215" s="175" t="s">
        <v>27</v>
      </c>
      <c r="L215" s="175" t="s">
        <v>319</v>
      </c>
      <c r="M215" s="175" t="s">
        <v>55</v>
      </c>
      <c r="N215" s="175" t="s">
        <v>141</v>
      </c>
      <c r="O215" s="175" t="s">
        <v>409</v>
      </c>
      <c r="P215" s="175"/>
      <c r="Q215" s="175"/>
      <c r="R215" s="175"/>
      <c r="S215" s="175"/>
    </row>
    <row r="216" spans="11:19">
      <c r="K216" s="175" t="s">
        <v>27</v>
      </c>
      <c r="L216" s="175" t="s">
        <v>319</v>
      </c>
      <c r="M216" s="175" t="s">
        <v>55</v>
      </c>
      <c r="N216" s="175" t="s">
        <v>141</v>
      </c>
      <c r="O216" s="175" t="s">
        <v>405</v>
      </c>
      <c r="P216" s="175"/>
      <c r="Q216" s="175"/>
      <c r="R216" s="175"/>
      <c r="S216" s="175"/>
    </row>
    <row r="217" spans="11:19">
      <c r="K217" s="175" t="s">
        <v>27</v>
      </c>
      <c r="L217" s="175" t="s">
        <v>319</v>
      </c>
      <c r="M217" s="175" t="s">
        <v>156</v>
      </c>
      <c r="N217" s="175" t="s">
        <v>141</v>
      </c>
      <c r="O217" s="175" t="s">
        <v>406</v>
      </c>
      <c r="P217" s="175"/>
      <c r="Q217" s="175"/>
      <c r="R217" s="175"/>
      <c r="S217" s="175"/>
    </row>
    <row r="218" spans="11:19">
      <c r="K218" s="175" t="s">
        <v>27</v>
      </c>
      <c r="L218" s="175" t="s">
        <v>319</v>
      </c>
      <c r="M218" s="175" t="s">
        <v>156</v>
      </c>
      <c r="N218" s="175" t="s">
        <v>141</v>
      </c>
      <c r="O218" s="175" t="s">
        <v>407</v>
      </c>
      <c r="P218" s="175"/>
      <c r="Q218" s="175"/>
      <c r="R218" s="175"/>
      <c r="S218" s="175"/>
    </row>
    <row r="219" spans="11:19" s="175" customFormat="1">
      <c r="K219" s="175" t="s">
        <v>27</v>
      </c>
      <c r="L219" s="175" t="s">
        <v>319</v>
      </c>
      <c r="M219" s="175" t="s">
        <v>156</v>
      </c>
      <c r="N219" s="175" t="s">
        <v>141</v>
      </c>
      <c r="O219" s="209" t="s">
        <v>408</v>
      </c>
    </row>
    <row r="220" spans="11:19" s="175" customFormat="1">
      <c r="K220" s="252" t="s">
        <v>361</v>
      </c>
      <c r="O220" s="209"/>
    </row>
    <row r="221" spans="11:19">
      <c r="K221" s="252" t="s">
        <v>61</v>
      </c>
      <c r="L221" s="175"/>
      <c r="M221" s="175"/>
      <c r="N221" s="175"/>
      <c r="O221" s="175"/>
      <c r="P221" s="175"/>
      <c r="Q221" s="175"/>
      <c r="R221" s="175"/>
      <c r="S221" s="175"/>
    </row>
    <row r="222" spans="11:19">
      <c r="K222" s="175"/>
      <c r="L222" s="175"/>
      <c r="M222" s="175"/>
      <c r="N222" s="175"/>
      <c r="O222" s="175"/>
      <c r="P222" s="175"/>
      <c r="Q222" s="175"/>
      <c r="R222" s="175"/>
      <c r="S222" s="175"/>
    </row>
    <row r="223" spans="11:19">
      <c r="K223" s="175"/>
      <c r="L223" s="175"/>
      <c r="M223" s="175"/>
      <c r="N223" s="175"/>
      <c r="O223" s="175"/>
      <c r="P223" s="175"/>
      <c r="Q223" s="175"/>
      <c r="R223" s="175"/>
      <c r="S223" s="175"/>
    </row>
    <row r="224" spans="11:19">
      <c r="K224" s="175" t="s">
        <v>418</v>
      </c>
      <c r="L224" s="175"/>
      <c r="M224" s="175"/>
      <c r="N224" s="175"/>
      <c r="O224" s="175"/>
      <c r="P224" s="175"/>
      <c r="Q224" s="175"/>
      <c r="R224" s="175"/>
      <c r="S224" s="175"/>
    </row>
    <row r="225" spans="11:19">
      <c r="K225" s="175" t="s">
        <v>414</v>
      </c>
      <c r="L225" s="175" t="s">
        <v>415</v>
      </c>
      <c r="M225" s="175" t="s">
        <v>189</v>
      </c>
      <c r="N225" s="175" t="s">
        <v>213</v>
      </c>
      <c r="O225" s="175" t="s">
        <v>214</v>
      </c>
      <c r="P225" s="175" t="s">
        <v>215</v>
      </c>
      <c r="Q225" s="175" t="s">
        <v>222</v>
      </c>
      <c r="R225" s="175" t="s">
        <v>223</v>
      </c>
      <c r="S225" s="175" t="s">
        <v>416</v>
      </c>
    </row>
    <row r="226" spans="11:19">
      <c r="K226" s="175" t="s">
        <v>27</v>
      </c>
      <c r="L226" s="175" t="s">
        <v>319</v>
      </c>
      <c r="M226" s="175" t="s">
        <v>156</v>
      </c>
      <c r="N226" s="175" t="s">
        <v>141</v>
      </c>
      <c r="O226" s="175" t="s">
        <v>411</v>
      </c>
      <c r="P226" s="175"/>
      <c r="Q226" s="175"/>
      <c r="R226" s="175"/>
      <c r="S226" s="175"/>
    </row>
    <row r="227" spans="11:19">
      <c r="K227" s="175" t="s">
        <v>27</v>
      </c>
      <c r="L227" s="175" t="s">
        <v>319</v>
      </c>
      <c r="M227" s="175" t="s">
        <v>156</v>
      </c>
      <c r="N227" s="175" t="s">
        <v>141</v>
      </c>
      <c r="O227" s="175" t="s">
        <v>410</v>
      </c>
      <c r="P227" s="175"/>
      <c r="Q227" s="175"/>
      <c r="R227" s="175"/>
      <c r="S227" s="175"/>
    </row>
    <row r="228" spans="11:19">
      <c r="K228" s="252" t="s">
        <v>61</v>
      </c>
      <c r="L228" s="175"/>
      <c r="M228" s="175"/>
      <c r="N228" s="175"/>
      <c r="O228" s="209"/>
      <c r="P228" s="175"/>
      <c r="Q228" s="175"/>
      <c r="R228" s="175"/>
      <c r="S228" s="175"/>
    </row>
    <row r="231" spans="11:19">
      <c r="K231" s="175" t="s">
        <v>485</v>
      </c>
      <c r="L231" s="175"/>
      <c r="M231" s="175"/>
      <c r="N231" s="175"/>
      <c r="O231" s="175"/>
      <c r="P231" s="175"/>
      <c r="Q231" s="175"/>
      <c r="R231" s="175"/>
      <c r="S231" s="175"/>
    </row>
    <row r="232" spans="11:19">
      <c r="K232" s="175" t="s">
        <v>414</v>
      </c>
      <c r="L232" s="175" t="s">
        <v>415</v>
      </c>
      <c r="M232" s="175" t="s">
        <v>189</v>
      </c>
      <c r="N232" s="175" t="s">
        <v>213</v>
      </c>
      <c r="O232" s="175" t="s">
        <v>214</v>
      </c>
      <c r="P232" s="175" t="s">
        <v>215</v>
      </c>
      <c r="Q232" s="175" t="s">
        <v>222</v>
      </c>
      <c r="R232" s="175" t="s">
        <v>223</v>
      </c>
      <c r="S232" s="175" t="s">
        <v>416</v>
      </c>
    </row>
    <row r="233" spans="11:19">
      <c r="K233" s="175" t="s">
        <v>486</v>
      </c>
      <c r="L233" s="175"/>
      <c r="M233" s="175"/>
      <c r="N233" s="175"/>
      <c r="O233" s="175"/>
      <c r="P233" s="175"/>
      <c r="Q233" s="175"/>
      <c r="R233" s="175"/>
      <c r="S233" s="175"/>
    </row>
    <row r="234" spans="11:19" s="175" customFormat="1">
      <c r="K234" s="175" t="s">
        <v>27</v>
      </c>
      <c r="L234" s="175" t="s">
        <v>42</v>
      </c>
      <c r="M234" s="175" t="s">
        <v>60</v>
      </c>
      <c r="N234" s="175" t="s">
        <v>342</v>
      </c>
      <c r="O234" s="175">
        <v>1000</v>
      </c>
    </row>
    <row r="235" spans="11:19">
      <c r="K235" s="175" t="s">
        <v>487</v>
      </c>
      <c r="L235" s="175"/>
      <c r="M235" s="175"/>
      <c r="N235" s="175"/>
      <c r="O235" s="175"/>
      <c r="P235" s="175"/>
      <c r="Q235" s="175"/>
      <c r="R235" s="175"/>
      <c r="S235" s="175"/>
    </row>
    <row r="236" spans="11:19" s="175" customFormat="1">
      <c r="K236" s="175" t="s">
        <v>27</v>
      </c>
      <c r="L236" s="175" t="s">
        <v>42</v>
      </c>
      <c r="M236" s="175" t="s">
        <v>60</v>
      </c>
      <c r="N236" s="175" t="s">
        <v>342</v>
      </c>
      <c r="O236" s="175">
        <v>1000</v>
      </c>
    </row>
    <row r="237" spans="11:19">
      <c r="K237" s="291" t="s">
        <v>61</v>
      </c>
      <c r="L237" s="175"/>
      <c r="M237" s="175"/>
      <c r="N237" s="175"/>
      <c r="O237" s="209"/>
      <c r="P237" s="175"/>
      <c r="Q237" s="175"/>
      <c r="R237" s="175"/>
      <c r="S237" s="175"/>
    </row>
    <row r="240" spans="11:19">
      <c r="K240" s="175" t="s">
        <v>493</v>
      </c>
      <c r="L240" s="175"/>
      <c r="M240" s="175"/>
      <c r="N240" s="175"/>
      <c r="O240" s="175"/>
      <c r="P240" s="175"/>
      <c r="Q240" s="175"/>
      <c r="R240" s="175"/>
      <c r="S240" s="175"/>
    </row>
    <row r="241" spans="11:19">
      <c r="K241" s="175" t="s">
        <v>414</v>
      </c>
      <c r="L241" s="175" t="s">
        <v>415</v>
      </c>
      <c r="M241" s="175" t="s">
        <v>189</v>
      </c>
      <c r="N241" s="175" t="s">
        <v>213</v>
      </c>
      <c r="O241" s="175" t="s">
        <v>214</v>
      </c>
      <c r="P241" s="175" t="s">
        <v>215</v>
      </c>
      <c r="Q241" s="175" t="s">
        <v>222</v>
      </c>
      <c r="R241" s="175" t="s">
        <v>223</v>
      </c>
      <c r="S241" s="175" t="s">
        <v>416</v>
      </c>
    </row>
    <row r="242" spans="11:19">
      <c r="K242" s="175" t="s">
        <v>486</v>
      </c>
      <c r="L242" s="175"/>
      <c r="M242" s="175"/>
      <c r="N242" s="175"/>
      <c r="O242" s="175"/>
      <c r="P242" s="175"/>
      <c r="Q242" s="175"/>
      <c r="R242" s="175"/>
      <c r="S242" s="175"/>
    </row>
    <row r="243" spans="11:19" s="175" customFormat="1">
      <c r="K243" s="175" t="s">
        <v>27</v>
      </c>
      <c r="L243" s="175" t="s">
        <v>42</v>
      </c>
      <c r="M243" s="175" t="s">
        <v>60</v>
      </c>
      <c r="N243" s="175" t="s">
        <v>342</v>
      </c>
      <c r="O243" s="175">
        <v>1000</v>
      </c>
    </row>
    <row r="244" spans="11:19">
      <c r="K244" s="175" t="s">
        <v>495</v>
      </c>
      <c r="L244" s="175"/>
      <c r="M244" s="175"/>
      <c r="N244" s="175"/>
      <c r="O244" s="175"/>
      <c r="P244" s="175"/>
      <c r="Q244" s="175"/>
      <c r="R244" s="175"/>
      <c r="S244" s="175"/>
    </row>
    <row r="245" spans="11:19" s="175" customFormat="1">
      <c r="K245" s="175" t="s">
        <v>27</v>
      </c>
      <c r="L245" s="175" t="s">
        <v>42</v>
      </c>
      <c r="M245" s="175" t="s">
        <v>60</v>
      </c>
      <c r="N245" s="175" t="s">
        <v>342</v>
      </c>
      <c r="O245" s="175">
        <v>1000</v>
      </c>
    </row>
    <row r="246" spans="11:19">
      <c r="K246" s="291" t="s">
        <v>61</v>
      </c>
      <c r="L246" s="175"/>
      <c r="M246" s="175"/>
      <c r="N246" s="175"/>
      <c r="O246" s="209"/>
      <c r="P246" s="175"/>
      <c r="Q246" s="175"/>
      <c r="R246" s="175"/>
      <c r="S246" s="175"/>
    </row>
    <row r="249" spans="11:19">
      <c r="K249" s="175" t="s">
        <v>494</v>
      </c>
      <c r="L249" s="175"/>
      <c r="M249" s="175"/>
      <c r="N249" s="175"/>
      <c r="O249" s="175"/>
      <c r="P249" s="175"/>
      <c r="Q249" s="175"/>
      <c r="R249" s="175"/>
      <c r="S249" s="175"/>
    </row>
    <row r="250" spans="11:19">
      <c r="K250" s="175" t="s">
        <v>414</v>
      </c>
      <c r="L250" s="175" t="s">
        <v>415</v>
      </c>
      <c r="M250" s="175" t="s">
        <v>189</v>
      </c>
      <c r="N250" s="175" t="s">
        <v>213</v>
      </c>
      <c r="O250" s="175" t="s">
        <v>214</v>
      </c>
      <c r="P250" s="175" t="s">
        <v>215</v>
      </c>
      <c r="Q250" s="175" t="s">
        <v>222</v>
      </c>
      <c r="R250" s="175" t="s">
        <v>223</v>
      </c>
      <c r="S250" s="175" t="s">
        <v>416</v>
      </c>
    </row>
    <row r="251" spans="11:19">
      <c r="K251" s="175" t="s">
        <v>486</v>
      </c>
      <c r="L251" s="175"/>
      <c r="M251" s="175"/>
      <c r="N251" s="175"/>
      <c r="O251" s="175"/>
      <c r="P251" s="175"/>
      <c r="Q251" s="175"/>
      <c r="R251" s="175"/>
      <c r="S251" s="175"/>
    </row>
    <row r="252" spans="11:19" s="175" customFormat="1">
      <c r="K252" s="175" t="s">
        <v>27</v>
      </c>
      <c r="L252" s="175" t="s">
        <v>42</v>
      </c>
      <c r="M252" s="175" t="s">
        <v>60</v>
      </c>
      <c r="N252" s="175" t="s">
        <v>342</v>
      </c>
      <c r="O252" s="175">
        <v>1000</v>
      </c>
    </row>
    <row r="253" spans="11:19">
      <c r="K253" s="175" t="s">
        <v>496</v>
      </c>
      <c r="L253" s="175"/>
      <c r="M253" s="175"/>
      <c r="N253" s="175"/>
      <c r="O253" s="175"/>
      <c r="P253" s="175"/>
      <c r="Q253" s="175"/>
      <c r="R253" s="175"/>
      <c r="S253" s="175"/>
    </row>
    <row r="254" spans="11:19" s="175" customFormat="1">
      <c r="K254" s="175" t="s">
        <v>27</v>
      </c>
      <c r="L254" s="175" t="s">
        <v>42</v>
      </c>
      <c r="M254" s="175" t="s">
        <v>60</v>
      </c>
      <c r="N254" s="175" t="s">
        <v>342</v>
      </c>
      <c r="O254" s="175">
        <v>1000</v>
      </c>
    </row>
    <row r="255" spans="11:19">
      <c r="K255" s="291" t="s">
        <v>61</v>
      </c>
      <c r="L255" s="175"/>
      <c r="M255" s="175"/>
      <c r="N255" s="175"/>
      <c r="O255" s="209"/>
      <c r="P255" s="175"/>
      <c r="Q255" s="175"/>
      <c r="R255" s="175"/>
      <c r="S255" s="175"/>
    </row>
    <row r="258" spans="9:19">
      <c r="I258" s="175"/>
      <c r="J258" s="175"/>
      <c r="K258" s="175" t="s">
        <v>517</v>
      </c>
      <c r="L258" s="175"/>
      <c r="M258" s="175"/>
      <c r="N258" s="175"/>
      <c r="O258" s="175"/>
      <c r="P258" s="175"/>
      <c r="Q258" s="175"/>
      <c r="R258" s="175"/>
      <c r="S258" s="175"/>
    </row>
    <row r="259" spans="9:19">
      <c r="I259" s="175"/>
      <c r="J259" s="175"/>
      <c r="K259" s="175" t="s">
        <v>414</v>
      </c>
      <c r="L259" s="175" t="s">
        <v>415</v>
      </c>
      <c r="M259" s="175" t="s">
        <v>189</v>
      </c>
      <c r="N259" s="175" t="s">
        <v>213</v>
      </c>
      <c r="O259" s="175" t="s">
        <v>214</v>
      </c>
      <c r="P259" s="175" t="s">
        <v>215</v>
      </c>
      <c r="Q259" s="175" t="s">
        <v>222</v>
      </c>
      <c r="R259" s="175" t="s">
        <v>223</v>
      </c>
      <c r="S259" s="175" t="s">
        <v>416</v>
      </c>
    </row>
    <row r="260" spans="9:19">
      <c r="I260" s="175"/>
      <c r="J260" s="175"/>
      <c r="K260" s="175" t="s">
        <v>516</v>
      </c>
      <c r="L260" s="175"/>
      <c r="M260" s="175"/>
      <c r="N260" s="175"/>
      <c r="O260" s="175"/>
      <c r="P260" s="175"/>
      <c r="Q260" s="175"/>
      <c r="R260" s="175"/>
      <c r="S260" s="175"/>
    </row>
    <row r="261" spans="9:19">
      <c r="I261" s="175"/>
      <c r="J261" s="175"/>
      <c r="K261" s="175" t="s">
        <v>27</v>
      </c>
      <c r="L261" s="175" t="s">
        <v>42</v>
      </c>
      <c r="M261" s="175" t="s">
        <v>60</v>
      </c>
      <c r="N261" s="175" t="s">
        <v>342</v>
      </c>
      <c r="O261" s="175">
        <v>1000</v>
      </c>
      <c r="P261" s="175"/>
      <c r="Q261" s="175"/>
      <c r="R261" s="175"/>
      <c r="S261" s="175"/>
    </row>
    <row r="262" spans="9:19">
      <c r="I262" s="175"/>
      <c r="J262" s="175"/>
      <c r="K262" s="175" t="s">
        <v>515</v>
      </c>
      <c r="L262" s="175"/>
      <c r="M262" s="175"/>
      <c r="N262" s="175"/>
      <c r="O262" s="175"/>
      <c r="P262" s="175"/>
      <c r="Q262" s="175"/>
      <c r="R262" s="175"/>
      <c r="S262" s="175"/>
    </row>
    <row r="263" spans="9:19">
      <c r="I263" s="175"/>
      <c r="J263" s="175"/>
      <c r="K263" s="175" t="s">
        <v>27</v>
      </c>
      <c r="L263" s="175" t="s">
        <v>42</v>
      </c>
      <c r="M263" s="175" t="s">
        <v>60</v>
      </c>
      <c r="N263" s="175" t="s">
        <v>342</v>
      </c>
      <c r="O263" s="175">
        <v>1000</v>
      </c>
      <c r="P263" s="175"/>
      <c r="Q263" s="175"/>
      <c r="R263" s="175"/>
      <c r="S263" s="175"/>
    </row>
    <row r="264" spans="9:19">
      <c r="I264" s="175"/>
      <c r="J264" s="175"/>
      <c r="K264" s="295" t="s">
        <v>61</v>
      </c>
      <c r="L264" s="175"/>
      <c r="M264" s="175"/>
      <c r="N264" s="175"/>
      <c r="O264" s="209"/>
      <c r="P264" s="175"/>
      <c r="Q264" s="175"/>
      <c r="R264" s="175"/>
      <c r="S264" s="175"/>
    </row>
    <row r="268" spans="9:19">
      <c r="K268" s="175" t="s">
        <v>526</v>
      </c>
      <c r="L268" s="175"/>
      <c r="M268" s="175"/>
      <c r="N268" s="175"/>
      <c r="O268" s="175"/>
      <c r="P268" s="175"/>
      <c r="Q268" s="175"/>
      <c r="R268" s="175"/>
      <c r="S268" s="175"/>
    </row>
    <row r="269" spans="9:19">
      <c r="K269" s="175" t="s">
        <v>414</v>
      </c>
      <c r="L269" s="175" t="s">
        <v>415</v>
      </c>
      <c r="M269" s="175" t="s">
        <v>189</v>
      </c>
      <c r="N269" s="175" t="s">
        <v>213</v>
      </c>
      <c r="O269" s="175" t="s">
        <v>214</v>
      </c>
      <c r="P269" s="175" t="s">
        <v>215</v>
      </c>
      <c r="Q269" s="175" t="s">
        <v>222</v>
      </c>
      <c r="R269" s="175" t="s">
        <v>223</v>
      </c>
      <c r="S269" s="175" t="s">
        <v>416</v>
      </c>
    </row>
    <row r="270" spans="9:19">
      <c r="K270" s="175" t="s">
        <v>516</v>
      </c>
      <c r="L270" s="175"/>
      <c r="M270" s="175"/>
      <c r="N270" s="175"/>
      <c r="O270" s="175"/>
      <c r="P270" s="175"/>
      <c r="Q270" s="175"/>
      <c r="R270" s="175"/>
      <c r="S270" s="175"/>
    </row>
    <row r="271" spans="9:19">
      <c r="K271" s="175" t="s">
        <v>27</v>
      </c>
      <c r="L271" s="175" t="s">
        <v>42</v>
      </c>
      <c r="M271" s="175" t="s">
        <v>60</v>
      </c>
      <c r="N271" s="175" t="s">
        <v>342</v>
      </c>
      <c r="O271" s="175">
        <v>1000</v>
      </c>
      <c r="P271" s="175"/>
      <c r="Q271" s="175"/>
      <c r="R271" s="175"/>
      <c r="S271" s="175"/>
    </row>
    <row r="272" spans="9:19">
      <c r="K272" s="175" t="s">
        <v>527</v>
      </c>
      <c r="L272" s="175"/>
      <c r="M272" s="175"/>
      <c r="N272" s="175"/>
      <c r="O272" s="175"/>
      <c r="P272" s="175"/>
      <c r="Q272" s="175"/>
      <c r="R272" s="175"/>
      <c r="S272" s="175"/>
    </row>
    <row r="273" spans="11:19">
      <c r="K273" s="175" t="s">
        <v>27</v>
      </c>
      <c r="L273" s="175" t="s">
        <v>42</v>
      </c>
      <c r="M273" s="175" t="s">
        <v>60</v>
      </c>
      <c r="N273" s="175" t="s">
        <v>342</v>
      </c>
      <c r="O273" s="175">
        <v>1000</v>
      </c>
      <c r="P273" s="175"/>
      <c r="Q273" s="175"/>
      <c r="R273" s="175"/>
      <c r="S273" s="175"/>
    </row>
    <row r="274" spans="11:19">
      <c r="K274" s="301" t="s">
        <v>61</v>
      </c>
      <c r="L274" s="175"/>
      <c r="M274" s="175"/>
      <c r="N274" s="175"/>
      <c r="O274" s="209"/>
      <c r="P274" s="175"/>
      <c r="Q274" s="175"/>
      <c r="R274" s="175"/>
      <c r="S274" s="175"/>
    </row>
    <row r="903" spans="10:10">
      <c r="J903" s="43" t="s">
        <v>63</v>
      </c>
    </row>
    <row r="904" spans="10:10">
      <c r="J904" s="43" t="s">
        <v>63</v>
      </c>
    </row>
    <row r="906" spans="10:10">
      <c r="J906" s="43" t="s">
        <v>63</v>
      </c>
    </row>
    <row r="924" spans="10:10">
      <c r="J924" s="43" t="s">
        <v>63</v>
      </c>
    </row>
    <row r="926" spans="10:10">
      <c r="J926" s="43" t="s">
        <v>63</v>
      </c>
    </row>
    <row r="927" spans="10:10">
      <c r="J927" s="43" t="s">
        <v>63</v>
      </c>
    </row>
    <row r="938" spans="10:10">
      <c r="J938" s="43" t="s">
        <v>63</v>
      </c>
    </row>
    <row r="1027" spans="10:10">
      <c r="J1027" s="43" t="s">
        <v>63</v>
      </c>
    </row>
    <row r="1030" spans="10:10">
      <c r="J1030" s="43" t="s">
        <v>63</v>
      </c>
    </row>
  </sheetData>
  <phoneticPr fontId="11" type="noConversion"/>
  <hyperlinks>
    <hyperlink ref="Q172" r:id="rId1" display="\\shvukfs2\Eng\FIB Series\FIB35P_734 (FEI)\Software\FIB35P_734 Modules\734_Ripple_Buffer.txt" xr:uid="{CFF51A50-40C3-403B-AE9A-A945E3A4C465}"/>
  </hyperlinks>
  <pageMargins left="0.7" right="0.7" top="0.75" bottom="0.75" header="0.3" footer="0.3"/>
  <pageSetup paperSize="9" orientation="portrait"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80444-42A6-4996-B9E3-5C9BCBC42CEB}">
  <sheetPr codeName="Sheet3"/>
  <dimension ref="A1:AK177"/>
  <sheetViews>
    <sheetView topLeftCell="A2" zoomScale="70" zoomScaleNormal="70" workbookViewId="0">
      <selection activeCell="AF15" sqref="AF15"/>
    </sheetView>
  </sheetViews>
  <sheetFormatPr defaultRowHeight="15"/>
  <cols>
    <col min="2" max="2" width="25.7109375" style="23" customWidth="1"/>
    <col min="3" max="3" width="30.7109375" style="23" customWidth="1"/>
    <col min="4" max="4" width="27.28515625" style="23" customWidth="1"/>
    <col min="5" max="5" width="10.7109375" customWidth="1"/>
    <col min="6" max="6" width="15.7109375" customWidth="1"/>
    <col min="7" max="7" width="29" bestFit="1" customWidth="1"/>
    <col min="8" max="8" width="33.5703125" customWidth="1"/>
    <col min="9" max="9" width="18" customWidth="1"/>
    <col min="10" max="10" width="22" customWidth="1"/>
    <col min="11" max="11" width="22" bestFit="1" customWidth="1"/>
    <col min="12" max="12" width="22" style="175" customWidth="1"/>
    <col min="13" max="13" width="11.42578125" customWidth="1"/>
    <col min="14" max="14" width="14.28515625" customWidth="1"/>
    <col min="15" max="15" width="18.85546875" style="11" customWidth="1"/>
    <col min="16" max="16" width="26.7109375" customWidth="1"/>
    <col min="17" max="17" width="27.85546875" customWidth="1"/>
    <col min="18" max="18" width="12.85546875" customWidth="1"/>
    <col min="19" max="19" width="41.28515625" customWidth="1"/>
    <col min="20" max="20" width="30.7109375" customWidth="1"/>
    <col min="21" max="21" width="19.5703125" customWidth="1"/>
    <col min="22" max="23" width="30.7109375" customWidth="1"/>
    <col min="24" max="24" width="44.140625" customWidth="1"/>
    <col min="25" max="25" width="41" customWidth="1"/>
    <col min="26" max="27" width="28.7109375" customWidth="1"/>
    <col min="28" max="28" width="17.28515625" bestFit="1" customWidth="1"/>
    <col min="29" max="29" width="10.42578125" style="175" customWidth="1"/>
    <col min="30" max="30" width="10.42578125" customWidth="1"/>
    <col min="32" max="32" width="33.85546875" customWidth="1"/>
    <col min="36" max="37" width="51.42578125" customWidth="1"/>
  </cols>
  <sheetData>
    <row r="1" spans="2:37">
      <c r="B1" s="24" t="s">
        <v>58</v>
      </c>
    </row>
    <row r="3" spans="2:37" ht="45" customHeight="1">
      <c r="B3" s="652" t="s">
        <v>59</v>
      </c>
      <c r="C3" s="652"/>
      <c r="D3" s="652"/>
      <c r="F3" s="652" t="s">
        <v>67</v>
      </c>
      <c r="G3" s="652"/>
      <c r="H3" s="652"/>
      <c r="I3" s="652"/>
      <c r="J3" s="652"/>
      <c r="L3" s="652" t="s">
        <v>41</v>
      </c>
      <c r="M3" s="652"/>
      <c r="N3" s="652"/>
      <c r="O3" s="652"/>
      <c r="P3" s="652"/>
      <c r="S3" s="418" t="s">
        <v>715</v>
      </c>
      <c r="T3" s="174"/>
      <c r="U3" s="653" t="s">
        <v>263</v>
      </c>
      <c r="V3" s="653"/>
      <c r="W3" s="174"/>
      <c r="X3" s="406" t="s">
        <v>266</v>
      </c>
      <c r="Y3" s="174"/>
      <c r="Z3" s="653" t="s">
        <v>279</v>
      </c>
      <c r="AA3" s="653"/>
      <c r="AB3" s="174"/>
      <c r="AC3" s="380"/>
      <c r="AD3" s="174"/>
      <c r="AE3" s="174"/>
      <c r="AF3" s="406" t="s">
        <v>305</v>
      </c>
      <c r="AG3" s="380"/>
      <c r="AH3" s="380"/>
      <c r="AI3" s="380"/>
      <c r="AJ3" s="653" t="s">
        <v>262</v>
      </c>
      <c r="AK3" s="653"/>
    </row>
    <row r="4" spans="2:37" ht="45" customHeight="1">
      <c r="B4" s="26" t="s">
        <v>23</v>
      </c>
      <c r="C4" s="26" t="s">
        <v>36</v>
      </c>
      <c r="D4" s="26" t="s">
        <v>37</v>
      </c>
      <c r="F4" s="26" t="s">
        <v>38</v>
      </c>
      <c r="G4" s="26" t="s">
        <v>11</v>
      </c>
      <c r="H4" s="26" t="s">
        <v>68</v>
      </c>
      <c r="I4" s="26" t="s">
        <v>65</v>
      </c>
      <c r="J4" s="26" t="s">
        <v>66</v>
      </c>
      <c r="L4" s="184" t="s">
        <v>64</v>
      </c>
      <c r="M4" s="172" t="s">
        <v>235</v>
      </c>
      <c r="N4" s="172" t="s">
        <v>17</v>
      </c>
      <c r="O4" s="172" t="s">
        <v>11</v>
      </c>
      <c r="P4" s="172" t="s">
        <v>33</v>
      </c>
      <c r="R4" s="384"/>
      <c r="S4" s="384" t="s">
        <v>716</v>
      </c>
      <c r="T4" s="380"/>
      <c r="U4" s="384" t="s">
        <v>264</v>
      </c>
      <c r="V4" s="384" t="s">
        <v>265</v>
      </c>
      <c r="W4" s="380"/>
      <c r="X4" s="384" t="s">
        <v>264</v>
      </c>
      <c r="Y4" s="384"/>
      <c r="Z4" s="384" t="s">
        <v>280</v>
      </c>
      <c r="AA4" s="384" t="s">
        <v>113</v>
      </c>
      <c r="AB4" s="384" t="s">
        <v>424</v>
      </c>
      <c r="AC4" s="380"/>
      <c r="AD4" s="380"/>
      <c r="AE4" s="380"/>
      <c r="AF4" s="380" t="s">
        <v>306</v>
      </c>
      <c r="AG4" s="380"/>
      <c r="AH4" s="380"/>
      <c r="AI4" s="380"/>
      <c r="AJ4" s="184" t="s">
        <v>236</v>
      </c>
      <c r="AK4" s="49" t="s">
        <v>37</v>
      </c>
    </row>
    <row r="5" spans="2:37" s="11" customFormat="1" ht="40.5" customHeight="1">
      <c r="B5" s="26" t="s">
        <v>308</v>
      </c>
      <c r="C5" s="26" t="s">
        <v>253</v>
      </c>
      <c r="D5" s="183" t="s">
        <v>309</v>
      </c>
      <c r="F5" s="26">
        <v>1</v>
      </c>
      <c r="G5" s="26" t="s">
        <v>299</v>
      </c>
      <c r="H5" s="26">
        <v>10000</v>
      </c>
      <c r="I5" s="31" t="s">
        <v>63</v>
      </c>
      <c r="J5" s="31" t="s">
        <v>63</v>
      </c>
      <c r="L5" s="184">
        <v>1</v>
      </c>
      <c r="M5" s="41">
        <v>1</v>
      </c>
      <c r="N5" s="172" t="s">
        <v>237</v>
      </c>
      <c r="O5" s="172" t="str">
        <f>_xlfn.CONCAT(tblDMMChannels[[#This Row],[Alias]], " ","DMM Vout")</f>
        <v>LENS1 DMM Vout</v>
      </c>
      <c r="P5" s="41">
        <v>1</v>
      </c>
      <c r="R5" s="384"/>
      <c r="S5" s="384" t="s">
        <v>717</v>
      </c>
      <c r="T5" s="380"/>
      <c r="U5" s="384"/>
      <c r="V5" s="384"/>
      <c r="W5" s="380"/>
      <c r="X5" s="384" t="s">
        <v>244</v>
      </c>
      <c r="Y5" s="380"/>
      <c r="Z5" s="384" t="s">
        <v>281</v>
      </c>
      <c r="AA5" s="384" t="s">
        <v>282</v>
      </c>
      <c r="AB5" s="384" t="s">
        <v>282</v>
      </c>
      <c r="AC5" s="380"/>
      <c r="AD5" s="380"/>
      <c r="AE5" s="380"/>
      <c r="AF5" s="380" t="s">
        <v>267</v>
      </c>
      <c r="AG5" s="380"/>
      <c r="AH5" s="380"/>
      <c r="AI5" s="380"/>
      <c r="AJ5" s="184" t="s">
        <v>42</v>
      </c>
      <c r="AK5" s="49" t="s">
        <v>317</v>
      </c>
    </row>
    <row r="6" spans="2:37" s="11" customFormat="1" ht="45">
      <c r="B6" s="26" t="s">
        <v>308</v>
      </c>
      <c r="C6" s="26" t="s">
        <v>254</v>
      </c>
      <c r="D6" s="183" t="s">
        <v>73</v>
      </c>
      <c r="F6" s="26">
        <v>2</v>
      </c>
      <c r="G6" s="26" t="s">
        <v>304</v>
      </c>
      <c r="H6" s="26">
        <v>1000000</v>
      </c>
      <c r="I6" s="31" t="s">
        <v>63</v>
      </c>
      <c r="J6" s="31" t="s">
        <v>63</v>
      </c>
      <c r="L6" s="184">
        <v>2</v>
      </c>
      <c r="M6" s="41">
        <v>1</v>
      </c>
      <c r="N6" s="172" t="s">
        <v>237</v>
      </c>
      <c r="O6" s="172" t="str">
        <f>_xlfn.CONCAT(tblDMMChannels[[#This Row],[Alias]], " ","DMM Iout")</f>
        <v>LENS1 DMM Iout</v>
      </c>
      <c r="P6" s="41" t="s">
        <v>63</v>
      </c>
      <c r="Q6" s="175"/>
      <c r="S6" s="419" t="s">
        <v>718</v>
      </c>
      <c r="T6" s="380"/>
      <c r="U6" s="380"/>
      <c r="V6" s="380"/>
      <c r="W6" s="380"/>
      <c r="X6" s="380"/>
      <c r="Y6" s="380"/>
      <c r="Z6" s="384" t="s">
        <v>276</v>
      </c>
      <c r="AA6" s="384">
        <v>1</v>
      </c>
      <c r="AB6" s="384" t="s">
        <v>282</v>
      </c>
      <c r="AC6" s="380"/>
      <c r="AD6" s="380"/>
      <c r="AE6" s="380"/>
      <c r="AF6" s="380" t="s">
        <v>227</v>
      </c>
      <c r="AG6" s="380"/>
      <c r="AH6" s="380"/>
      <c r="AI6" s="380"/>
      <c r="AJ6" s="49" t="s">
        <v>690</v>
      </c>
      <c r="AK6" s="278" t="s">
        <v>754</v>
      </c>
    </row>
    <row r="7" spans="2:37" s="11" customFormat="1" ht="45" customHeight="1">
      <c r="B7" s="26" t="s">
        <v>87</v>
      </c>
      <c r="C7" s="26" t="s">
        <v>90</v>
      </c>
      <c r="D7" s="183" t="s">
        <v>72</v>
      </c>
      <c r="F7" s="26">
        <v>3</v>
      </c>
      <c r="G7" s="26" t="s">
        <v>300</v>
      </c>
      <c r="H7" s="26">
        <v>10000</v>
      </c>
      <c r="I7" s="31" t="s">
        <v>63</v>
      </c>
      <c r="J7" s="31" t="s">
        <v>63</v>
      </c>
      <c r="L7" s="184">
        <v>3</v>
      </c>
      <c r="M7" s="41">
        <v>2</v>
      </c>
      <c r="N7" s="172" t="s">
        <v>238</v>
      </c>
      <c r="O7" s="172" t="str">
        <f>_xlfn.CONCAT(tblDMMChannels[[#This Row],[Alias]], " ","DMM Vout")</f>
        <v>LENS2 DMM Vout</v>
      </c>
      <c r="P7" s="41">
        <v>2</v>
      </c>
      <c r="Q7" s="175"/>
      <c r="S7" s="380"/>
      <c r="T7" s="380"/>
      <c r="U7" s="380"/>
      <c r="V7" s="380"/>
      <c r="W7" s="380"/>
      <c r="X7" s="380"/>
      <c r="Y7" s="380"/>
      <c r="Z7" s="384" t="s">
        <v>277</v>
      </c>
      <c r="AA7" s="384">
        <v>2</v>
      </c>
      <c r="AB7" s="384" t="s">
        <v>679</v>
      </c>
      <c r="AC7" s="380"/>
      <c r="AD7" s="380"/>
      <c r="AE7" s="380"/>
      <c r="AF7" s="380" t="s">
        <v>338</v>
      </c>
      <c r="AG7" s="380"/>
      <c r="AH7" s="380"/>
      <c r="AI7" s="380"/>
      <c r="AJ7" s="49" t="s">
        <v>691</v>
      </c>
      <c r="AK7" s="278" t="s">
        <v>755</v>
      </c>
    </row>
    <row r="8" spans="2:37" s="11" customFormat="1" ht="45" customHeight="1">
      <c r="B8" s="26" t="s">
        <v>87</v>
      </c>
      <c r="C8" s="26" t="s">
        <v>89</v>
      </c>
      <c r="D8" s="183" t="s">
        <v>73</v>
      </c>
      <c r="F8" s="26">
        <v>4</v>
      </c>
      <c r="G8" s="26" t="s">
        <v>467</v>
      </c>
      <c r="H8" s="184">
        <v>1000000</v>
      </c>
      <c r="I8" s="31" t="s">
        <v>63</v>
      </c>
      <c r="J8" s="31" t="s">
        <v>63</v>
      </c>
      <c r="L8" s="184">
        <v>4</v>
      </c>
      <c r="M8" s="41">
        <v>2</v>
      </c>
      <c r="N8" s="172" t="s">
        <v>238</v>
      </c>
      <c r="O8" s="172" t="str">
        <f>_xlfn.CONCAT(tblDMMChannels[[#This Row],[Alias]], " ","DMM Iout")</f>
        <v>LENS2 DMM Iout</v>
      </c>
      <c r="P8" s="41" t="s">
        <v>243</v>
      </c>
      <c r="Q8" s="175"/>
      <c r="S8" s="380"/>
      <c r="T8" s="380"/>
      <c r="U8" s="380"/>
      <c r="V8" s="380"/>
      <c r="W8" s="380"/>
      <c r="X8" s="380"/>
      <c r="Y8" s="380"/>
      <c r="Z8" s="384" t="s">
        <v>287</v>
      </c>
      <c r="AA8" s="384">
        <v>3</v>
      </c>
      <c r="AB8" s="384" t="s">
        <v>680</v>
      </c>
      <c r="AC8" s="380"/>
      <c r="AD8" s="380"/>
      <c r="AE8" s="380"/>
      <c r="AF8" s="380"/>
      <c r="AG8" s="380"/>
      <c r="AH8" s="380"/>
      <c r="AI8" s="380"/>
      <c r="AJ8" s="49" t="s">
        <v>692</v>
      </c>
      <c r="AK8" s="278" t="s">
        <v>756</v>
      </c>
    </row>
    <row r="9" spans="2:37" s="11" customFormat="1" ht="45">
      <c r="B9" s="26" t="s">
        <v>255</v>
      </c>
      <c r="C9" s="26" t="s">
        <v>256</v>
      </c>
      <c r="D9" s="183" t="s">
        <v>72</v>
      </c>
      <c r="F9" s="26">
        <v>5</v>
      </c>
      <c r="G9" s="26" t="s">
        <v>468</v>
      </c>
      <c r="H9" s="26">
        <v>10000</v>
      </c>
      <c r="I9" s="31" t="s">
        <v>63</v>
      </c>
      <c r="J9" s="31" t="s">
        <v>63</v>
      </c>
      <c r="L9" s="184">
        <v>5</v>
      </c>
      <c r="M9" s="41">
        <v>3</v>
      </c>
      <c r="N9" s="172" t="s">
        <v>239</v>
      </c>
      <c r="O9" s="172" t="str">
        <f>_xlfn.CONCAT(tblDMMChannels[[#This Row],[Alias]], " ","DMM Vout")</f>
        <v>ACCELERATOR DMM Vout</v>
      </c>
      <c r="P9" s="41">
        <v>3</v>
      </c>
      <c r="Q9" s="175"/>
      <c r="S9" s="380"/>
      <c r="T9" s="380"/>
      <c r="U9" s="380"/>
      <c r="V9" s="380"/>
      <c r="W9" s="380"/>
      <c r="X9" s="380"/>
      <c r="Y9" s="380"/>
      <c r="Z9" s="384" t="s">
        <v>461</v>
      </c>
      <c r="AA9" s="384">
        <v>4</v>
      </c>
      <c r="AB9" s="384" t="s">
        <v>681</v>
      </c>
      <c r="AC9" s="380"/>
      <c r="AD9" s="380"/>
      <c r="AE9" s="380"/>
      <c r="AF9" s="380"/>
      <c r="AG9" s="380"/>
      <c r="AH9" s="380"/>
      <c r="AI9" s="380"/>
      <c r="AJ9" s="49" t="s">
        <v>693</v>
      </c>
      <c r="AK9" s="278" t="s">
        <v>757</v>
      </c>
    </row>
    <row r="10" spans="2:37" s="11" customFormat="1" ht="45" customHeight="1">
      <c r="B10" s="26" t="s">
        <v>255</v>
      </c>
      <c r="C10" s="26" t="s">
        <v>257</v>
      </c>
      <c r="D10" s="183" t="s">
        <v>73</v>
      </c>
      <c r="F10" s="26">
        <v>6</v>
      </c>
      <c r="G10" s="26" t="s">
        <v>469</v>
      </c>
      <c r="H10" s="184">
        <v>1000000</v>
      </c>
      <c r="I10" s="31" t="s">
        <v>63</v>
      </c>
      <c r="J10" s="31" t="s">
        <v>63</v>
      </c>
      <c r="L10" s="184">
        <v>6</v>
      </c>
      <c r="M10" s="41">
        <v>3</v>
      </c>
      <c r="N10" s="172" t="s">
        <v>239</v>
      </c>
      <c r="O10" s="172" t="str">
        <f>_xlfn.CONCAT(tblDMMChannels[[#This Row],[Alias]], " ","DMM Iout")</f>
        <v>ACCELERATOR DMM Iout</v>
      </c>
      <c r="P10" s="41" t="s">
        <v>63</v>
      </c>
      <c r="Q10" s="175"/>
      <c r="S10" s="380"/>
      <c r="T10" s="380"/>
      <c r="U10" s="380"/>
      <c r="V10" s="380"/>
      <c r="W10" s="380"/>
      <c r="X10" s="380"/>
      <c r="Y10" s="380"/>
      <c r="Z10" s="384" t="s">
        <v>111</v>
      </c>
      <c r="AA10" s="384">
        <v>5</v>
      </c>
      <c r="AB10" s="384" t="s">
        <v>682</v>
      </c>
      <c r="AC10" s="380"/>
      <c r="AD10" s="380"/>
      <c r="AE10" s="380"/>
      <c r="AF10" s="380"/>
      <c r="AG10" s="380"/>
      <c r="AH10" s="380"/>
      <c r="AI10" s="380"/>
      <c r="AJ10" s="49" t="s">
        <v>694</v>
      </c>
      <c r="AK10" s="278" t="s">
        <v>758</v>
      </c>
    </row>
    <row r="11" spans="2:37" s="43" customFormat="1" ht="45">
      <c r="B11" s="184" t="s">
        <v>258</v>
      </c>
      <c r="C11" s="184" t="s">
        <v>259</v>
      </c>
      <c r="D11" s="183" t="s">
        <v>73</v>
      </c>
      <c r="F11" s="26">
        <v>7</v>
      </c>
      <c r="G11" s="26" t="s">
        <v>301</v>
      </c>
      <c r="H11" s="26">
        <v>10000</v>
      </c>
      <c r="I11" s="31" t="s">
        <v>63</v>
      </c>
      <c r="J11" s="31" t="s">
        <v>63</v>
      </c>
      <c r="L11" s="184">
        <v>7</v>
      </c>
      <c r="M11" s="41">
        <v>4</v>
      </c>
      <c r="N11" s="91" t="s">
        <v>240</v>
      </c>
      <c r="O11" s="172" t="str">
        <f>_xlfn.CONCAT(tblDMMChannels[[#This Row],[Alias]], " ","DMM Vout")</f>
        <v>EXTRACTOR DMM Vout</v>
      </c>
      <c r="P11" s="41">
        <v>4</v>
      </c>
      <c r="Q11" s="175"/>
      <c r="S11" s="380"/>
      <c r="T11" s="380"/>
      <c r="U11" s="380"/>
      <c r="V11" s="380"/>
      <c r="W11" s="380"/>
      <c r="X11" s="380"/>
      <c r="Y11" s="380"/>
      <c r="Z11" s="384" t="s">
        <v>103</v>
      </c>
      <c r="AA11" s="384">
        <v>6</v>
      </c>
      <c r="AB11" s="384" t="s">
        <v>683</v>
      </c>
      <c r="AC11" s="380"/>
      <c r="AD11" s="380"/>
      <c r="AE11" s="380"/>
      <c r="AF11" s="380"/>
      <c r="AG11" s="380"/>
      <c r="AH11" s="380"/>
      <c r="AI11" s="380"/>
      <c r="AJ11" s="49" t="s">
        <v>695</v>
      </c>
      <c r="AK11" s="278" t="s">
        <v>759</v>
      </c>
    </row>
    <row r="12" spans="2:37" s="43" customFormat="1" ht="45" customHeight="1">
      <c r="B12" s="184" t="s">
        <v>258</v>
      </c>
      <c r="C12" s="184" t="s">
        <v>260</v>
      </c>
      <c r="D12" s="183" t="s">
        <v>309</v>
      </c>
      <c r="F12" s="26">
        <v>8</v>
      </c>
      <c r="G12" s="26" t="s">
        <v>482</v>
      </c>
      <c r="H12" s="184">
        <v>1000000</v>
      </c>
      <c r="I12" s="31" t="s">
        <v>63</v>
      </c>
      <c r="J12" s="31" t="s">
        <v>63</v>
      </c>
      <c r="L12" s="184">
        <v>8</v>
      </c>
      <c r="M12" s="41">
        <v>4</v>
      </c>
      <c r="N12" s="172" t="s">
        <v>240</v>
      </c>
      <c r="O12" s="172" t="str">
        <f>_xlfn.CONCAT(tblDMMChannels[[#This Row],[Alias]], " ","DMM Iout")</f>
        <v>EXTRACTOR DMM Iout</v>
      </c>
      <c r="P12" s="41" t="s">
        <v>243</v>
      </c>
      <c r="Q12" s="175"/>
      <c r="S12" s="380"/>
      <c r="T12" s="380"/>
      <c r="U12" s="380"/>
      <c r="V12" s="380"/>
      <c r="W12" s="380"/>
      <c r="X12" s="380"/>
      <c r="Y12" s="380"/>
      <c r="Z12" s="384" t="s">
        <v>530</v>
      </c>
      <c r="AA12" s="384">
        <v>7</v>
      </c>
      <c r="AB12" s="384" t="s">
        <v>684</v>
      </c>
      <c r="AC12" s="380"/>
      <c r="AD12" s="380"/>
      <c r="AE12" s="380"/>
      <c r="AF12" s="380"/>
      <c r="AG12" s="380"/>
      <c r="AH12" s="380"/>
      <c r="AI12" s="380"/>
      <c r="AJ12" s="49" t="s">
        <v>696</v>
      </c>
      <c r="AK12" s="278" t="s">
        <v>760</v>
      </c>
    </row>
    <row r="13" spans="2:37" s="43" customFormat="1" ht="45" customHeight="1">
      <c r="B13" s="407"/>
      <c r="C13" s="407"/>
      <c r="D13" s="407"/>
      <c r="F13" s="26">
        <v>9</v>
      </c>
      <c r="G13" s="26" t="s">
        <v>302</v>
      </c>
      <c r="H13" s="26">
        <v>10000</v>
      </c>
      <c r="I13" s="31" t="s">
        <v>63</v>
      </c>
      <c r="J13" s="31" t="s">
        <v>63</v>
      </c>
      <c r="L13" s="184">
        <v>9</v>
      </c>
      <c r="M13" s="41">
        <v>5</v>
      </c>
      <c r="N13" s="91" t="s">
        <v>241</v>
      </c>
      <c r="O13" s="172" t="str">
        <f>_xlfn.CONCAT(tblDMMChannels[[#This Row],[Alias]], " ","DMM Vout")</f>
        <v>SUPPRESSOR DMM Vout</v>
      </c>
      <c r="P13" s="41">
        <v>5</v>
      </c>
      <c r="Q13" s="175"/>
      <c r="R13" s="175"/>
      <c r="S13" s="380"/>
      <c r="T13" s="380"/>
      <c r="U13" s="380"/>
      <c r="V13" s="380"/>
      <c r="W13" s="380"/>
      <c r="X13" s="380"/>
      <c r="Y13" s="380"/>
      <c r="Z13" s="380"/>
      <c r="AA13" s="380"/>
      <c r="AB13" s="380"/>
      <c r="AC13" s="380"/>
      <c r="AD13" s="380"/>
      <c r="AE13" s="380"/>
      <c r="AF13" s="380"/>
      <c r="AG13" s="380"/>
      <c r="AH13" s="380"/>
      <c r="AI13" s="380"/>
      <c r="AJ13" s="184" t="s">
        <v>697</v>
      </c>
      <c r="AK13" s="278" t="s">
        <v>761</v>
      </c>
    </row>
    <row r="14" spans="2:37" s="43" customFormat="1" ht="45" customHeight="1">
      <c r="B14" s="407"/>
      <c r="C14" s="407"/>
      <c r="D14" s="407"/>
      <c r="F14" s="26">
        <v>10</v>
      </c>
      <c r="G14" s="26" t="s">
        <v>595</v>
      </c>
      <c r="H14" s="26">
        <v>1000000</v>
      </c>
      <c r="I14" s="31" t="s">
        <v>63</v>
      </c>
      <c r="J14" s="31" t="s">
        <v>63</v>
      </c>
      <c r="L14" s="184">
        <v>10</v>
      </c>
      <c r="M14" s="41">
        <v>5</v>
      </c>
      <c r="N14" s="91" t="s">
        <v>241</v>
      </c>
      <c r="O14" s="172" t="str">
        <f>_xlfn.CONCAT(tblDMMChannels[[#This Row],[Alias]], " ","DMM Iout")</f>
        <v>SUPPRESSOR DMM Iout</v>
      </c>
      <c r="P14" s="41" t="s">
        <v>243</v>
      </c>
      <c r="Q14" s="175"/>
      <c r="R14" s="175"/>
      <c r="S14" s="380"/>
      <c r="T14" s="380"/>
      <c r="U14" s="380"/>
      <c r="V14" s="380"/>
      <c r="W14" s="380"/>
      <c r="X14" s="380"/>
      <c r="Y14" s="380"/>
      <c r="Z14" s="380"/>
      <c r="AA14" s="380"/>
      <c r="AB14" s="380"/>
      <c r="AC14" s="380"/>
      <c r="AD14" s="380"/>
      <c r="AE14" s="380"/>
      <c r="AF14" s="380"/>
      <c r="AG14" s="380"/>
      <c r="AH14" s="380"/>
      <c r="AI14" s="380"/>
      <c r="AJ14" s="184" t="s">
        <v>698</v>
      </c>
      <c r="AK14" s="372" t="s">
        <v>762</v>
      </c>
    </row>
    <row r="15" spans="2:37" s="43" customFormat="1" ht="45" customHeight="1">
      <c r="B15" s="407"/>
      <c r="C15" s="407"/>
      <c r="D15" s="407"/>
      <c r="E15" s="26"/>
      <c r="F15" s="26">
        <v>11</v>
      </c>
      <c r="G15" s="26" t="s">
        <v>303</v>
      </c>
      <c r="H15" s="26">
        <v>10000</v>
      </c>
      <c r="I15" s="31" t="s">
        <v>63</v>
      </c>
      <c r="J15" s="31" t="s">
        <v>63</v>
      </c>
      <c r="L15" s="184">
        <v>11</v>
      </c>
      <c r="M15" s="41">
        <v>6</v>
      </c>
      <c r="N15" s="91" t="s">
        <v>242</v>
      </c>
      <c r="O15" s="172" t="str">
        <f>_xlfn.CONCAT(tblDMMChannels[[#This Row],[Alias]], " ","DMM Vout")</f>
        <v>FILAMENT DMM Vout</v>
      </c>
      <c r="P15" s="41">
        <v>6</v>
      </c>
      <c r="Q15" s="175"/>
      <c r="R15" s="175"/>
      <c r="S15" s="380"/>
      <c r="T15" s="380"/>
      <c r="U15" s="380"/>
      <c r="V15" s="380"/>
      <c r="W15" s="380"/>
      <c r="X15" s="380"/>
      <c r="Y15" s="380"/>
      <c r="Z15" s="380"/>
      <c r="AA15" s="380"/>
      <c r="AB15" s="380"/>
      <c r="AC15" s="380"/>
      <c r="AD15" s="380"/>
      <c r="AE15" s="380"/>
      <c r="AF15" s="380"/>
      <c r="AG15" s="380"/>
      <c r="AH15" s="380"/>
      <c r="AI15" s="380"/>
      <c r="AJ15" s="184" t="s">
        <v>699</v>
      </c>
      <c r="AK15" s="372" t="s">
        <v>763</v>
      </c>
    </row>
    <row r="16" spans="2:37" s="43" customFormat="1" ht="45" customHeight="1">
      <c r="B16" s="407"/>
      <c r="C16" s="407"/>
      <c r="D16" s="407"/>
      <c r="E16" s="26"/>
      <c r="F16" s="26">
        <v>12</v>
      </c>
      <c r="G16" s="26" t="s">
        <v>581</v>
      </c>
      <c r="H16" s="26">
        <v>100</v>
      </c>
      <c r="I16" s="31" t="s">
        <v>63</v>
      </c>
      <c r="J16" s="31" t="s">
        <v>63</v>
      </c>
      <c r="L16" s="184">
        <v>12</v>
      </c>
      <c r="M16" s="41">
        <v>6</v>
      </c>
      <c r="N16" s="91" t="s">
        <v>242</v>
      </c>
      <c r="O16" s="172" t="str">
        <f>_xlfn.CONCAT(tblDMMChannels[[#This Row],[Alias]], " ","DMM Iout")</f>
        <v>FILAMENT DMM Iout</v>
      </c>
      <c r="P16" s="41" t="s">
        <v>63</v>
      </c>
      <c r="Q16" s="175"/>
      <c r="R16" s="175"/>
      <c r="S16" s="380"/>
      <c r="T16" s="380"/>
      <c r="U16" s="380"/>
      <c r="V16" s="380"/>
      <c r="W16" s="380"/>
      <c r="X16" s="380"/>
      <c r="Y16" s="380"/>
      <c r="Z16" s="380"/>
      <c r="AA16" s="380"/>
      <c r="AB16" s="380"/>
      <c r="AC16" s="380"/>
      <c r="AD16" s="380"/>
      <c r="AE16" s="380"/>
      <c r="AF16" s="380"/>
      <c r="AG16" s="380"/>
      <c r="AH16" s="380"/>
      <c r="AI16" s="380"/>
    </row>
    <row r="17" spans="1:29" s="43" customFormat="1">
      <c r="B17"/>
      <c r="C17"/>
      <c r="D17"/>
      <c r="E17" s="26"/>
      <c r="F17" s="384">
        <v>13</v>
      </c>
      <c r="G17" s="31" t="s">
        <v>739</v>
      </c>
      <c r="H17" s="384">
        <v>1.2829999999999999</v>
      </c>
      <c r="I17" s="31"/>
      <c r="J17" s="31"/>
      <c r="K17" s="26"/>
      <c r="L17" s="184"/>
      <c r="M17" s="26"/>
      <c r="N17" s="41"/>
      <c r="O17" s="91"/>
      <c r="P17" s="172"/>
      <c r="Q17" s="41"/>
      <c r="AC17" s="175"/>
    </row>
    <row r="18" spans="1:29" s="175" customFormat="1" ht="18.75">
      <c r="A18" s="184"/>
      <c r="B18" s="407"/>
      <c r="C18" s="407"/>
      <c r="D18" s="407"/>
      <c r="E18" s="184"/>
      <c r="F18" s="384">
        <v>14</v>
      </c>
      <c r="G18" s="31" t="s">
        <v>740</v>
      </c>
      <c r="H18" s="384">
        <v>1.1876</v>
      </c>
      <c r="I18" s="31"/>
      <c r="J18" s="31"/>
      <c r="K18" s="184"/>
      <c r="L18" s="184"/>
      <c r="M18" s="184"/>
      <c r="N18" s="41"/>
      <c r="O18" s="91"/>
      <c r="P18" s="172"/>
      <c r="Q18" s="41"/>
    </row>
    <row r="19" spans="1:29" ht="43.5" customHeight="1">
      <c r="B19"/>
      <c r="C19"/>
      <c r="D19"/>
      <c r="L19"/>
      <c r="O19"/>
    </row>
    <row r="20" spans="1:29" s="175" customFormat="1" ht="45" customHeight="1">
      <c r="B20"/>
      <c r="C20"/>
      <c r="D20"/>
      <c r="E20"/>
      <c r="F20"/>
      <c r="G20"/>
      <c r="H20"/>
      <c r="I20"/>
      <c r="J20"/>
      <c r="K20"/>
      <c r="L20"/>
      <c r="M20"/>
      <c r="N20"/>
      <c r="O20"/>
      <c r="P20"/>
      <c r="Q20"/>
      <c r="R20"/>
      <c r="S20"/>
      <c r="T20"/>
      <c r="U20"/>
      <c r="V20"/>
      <c r="W20"/>
      <c r="X20"/>
      <c r="Y20"/>
      <c r="Z20"/>
      <c r="AA20"/>
    </row>
    <row r="21" spans="1:29" s="175" customFormat="1" ht="45" customHeight="1">
      <c r="A21" s="380"/>
      <c r="B21"/>
      <c r="C21"/>
      <c r="D21"/>
      <c r="E21"/>
      <c r="F21"/>
      <c r="G21"/>
      <c r="H21"/>
      <c r="I21"/>
      <c r="J21"/>
      <c r="K21"/>
      <c r="L21"/>
      <c r="M21"/>
      <c r="N21"/>
      <c r="O21"/>
      <c r="P21"/>
      <c r="Q21"/>
      <c r="R21"/>
      <c r="S21"/>
      <c r="T21"/>
      <c r="U21"/>
      <c r="V21"/>
      <c r="W21"/>
      <c r="X21"/>
      <c r="Y21"/>
      <c r="Z21"/>
      <c r="AA21"/>
    </row>
    <row r="22" spans="1:29" s="175" customFormat="1"/>
    <row r="23" spans="1:29" s="175" customFormat="1"/>
    <row r="24" spans="1:29" s="175" customFormat="1"/>
    <row r="25" spans="1:29" s="175" customFormat="1"/>
    <row r="26" spans="1:29" s="43" customFormat="1">
      <c r="B26" s="23"/>
      <c r="C26" s="23"/>
      <c r="D26" s="23"/>
      <c r="L26" s="175"/>
      <c r="T26" s="173"/>
      <c r="AC26" s="175"/>
    </row>
    <row r="27" spans="1:29" s="43" customFormat="1">
      <c r="B27" s="23" t="s">
        <v>110</v>
      </c>
      <c r="C27" s="23" t="s">
        <v>244</v>
      </c>
      <c r="D27" s="68" t="s">
        <v>127</v>
      </c>
      <c r="L27" s="175"/>
      <c r="AC27" s="175"/>
    </row>
    <row r="28" spans="1:29" s="43" customFormat="1">
      <c r="B28" s="23"/>
      <c r="C28" s="23"/>
      <c r="D28" s="68" t="s">
        <v>261</v>
      </c>
      <c r="L28" s="175"/>
      <c r="AC28" s="175"/>
    </row>
    <row r="30" spans="1:29">
      <c r="B30" s="23" t="s">
        <v>104</v>
      </c>
      <c r="N30" t="s">
        <v>109</v>
      </c>
      <c r="O30"/>
    </row>
    <row r="31" spans="1:29" ht="15.75" thickBot="1">
      <c r="B31" s="23" t="s">
        <v>64</v>
      </c>
      <c r="C31" s="23" t="s">
        <v>105</v>
      </c>
      <c r="D31" s="23" t="s">
        <v>106</v>
      </c>
      <c r="N31" s="72" t="s">
        <v>64</v>
      </c>
      <c r="O31" s="72" t="s">
        <v>105</v>
      </c>
      <c r="P31" s="72" t="s">
        <v>106</v>
      </c>
    </row>
    <row r="32" spans="1:29" s="43" customFormat="1" ht="21.75" thickBot="1">
      <c r="B32" s="26">
        <v>1</v>
      </c>
      <c r="C32" s="23" t="s">
        <v>244</v>
      </c>
      <c r="D32" s="23" t="str">
        <f>RIGHT(tblUnitTypes[[#This Row],[Product]],LEN(tblUnitTypes[[#This Row],[Product]])-FIND("/",tblUnitTypes[[#This Row],[Product]]))</f>
        <v>734</v>
      </c>
      <c r="H32" s="656" t="s">
        <v>364</v>
      </c>
      <c r="I32" s="657"/>
      <c r="L32" s="175"/>
      <c r="N32" s="73">
        <f>INDEX(tblUnitTypes[Index],MATCH(C27,tblUnitTypes[Product],0))</f>
        <v>1</v>
      </c>
      <c r="O32" s="73" t="str">
        <f>INDEX(C27,MATCH(unit_type,tblUnitTypes[Product]))</f>
        <v>FIB35P/734</v>
      </c>
      <c r="P32" s="73" t="str">
        <f>INDEX(tblUnitTypes[ProductId],MATCH(C27,tblUnitTypes[Product],0))</f>
        <v>734</v>
      </c>
      <c r="AC32" s="175"/>
    </row>
    <row r="33" spans="2:29">
      <c r="B33" s="26"/>
      <c r="H33" s="221" t="s">
        <v>365</v>
      </c>
      <c r="I33" s="222" t="s">
        <v>366</v>
      </c>
    </row>
    <row r="34" spans="2:29" s="43" customFormat="1">
      <c r="B34" s="23"/>
      <c r="C34" s="23"/>
      <c r="D34" s="23"/>
      <c r="H34" s="223" t="s">
        <v>367</v>
      </c>
      <c r="I34" s="222" t="s">
        <v>368</v>
      </c>
      <c r="L34" s="175"/>
      <c r="AC34" s="175"/>
    </row>
    <row r="35" spans="2:29" s="43" customFormat="1">
      <c r="B35" s="23"/>
      <c r="C35" s="23"/>
      <c r="D35" s="23"/>
      <c r="H35" s="438" t="s">
        <v>742</v>
      </c>
      <c r="I35" s="439" t="s">
        <v>743</v>
      </c>
      <c r="L35" s="175"/>
      <c r="AC35" s="175"/>
    </row>
    <row r="36" spans="2:29" ht="15.75" thickBot="1">
      <c r="H36" s="408" t="s">
        <v>678</v>
      </c>
      <c r="I36" s="224" t="s">
        <v>714</v>
      </c>
      <c r="O36"/>
      <c r="P36" s="11"/>
    </row>
    <row r="37" spans="2:29">
      <c r="B37" s="23" t="s">
        <v>107</v>
      </c>
      <c r="N37" t="s">
        <v>116</v>
      </c>
      <c r="O37"/>
      <c r="P37" s="11"/>
      <c r="S37" s="23" t="s">
        <v>246</v>
      </c>
      <c r="T37" s="23"/>
      <c r="U37" s="23"/>
      <c r="V37" s="43"/>
    </row>
    <row r="38" spans="2:29">
      <c r="B38" s="26" t="s">
        <v>38</v>
      </c>
      <c r="C38" s="23" t="s">
        <v>106</v>
      </c>
      <c r="D38" s="23" t="s">
        <v>108</v>
      </c>
      <c r="E38" s="23" t="s">
        <v>17</v>
      </c>
      <c r="N38" s="69" t="s">
        <v>38</v>
      </c>
      <c r="O38" s="70" t="s">
        <v>106</v>
      </c>
      <c r="P38" s="70" t="s">
        <v>113</v>
      </c>
      <c r="Q38" s="71" t="s">
        <v>114</v>
      </c>
      <c r="S38" s="23" t="s">
        <v>38</v>
      </c>
      <c r="T38" s="23" t="s">
        <v>106</v>
      </c>
      <c r="U38" s="23" t="s">
        <v>108</v>
      </c>
      <c r="V38" s="23" t="s">
        <v>17</v>
      </c>
    </row>
    <row r="39" spans="2:29">
      <c r="B39" s="26">
        <v>1</v>
      </c>
      <c r="C39" s="23">
        <f ca="1">INDEX(INDIRECT(_xlfn.CONCAT(INDIRECT("tblSelectedOutputs[Table]"),"[","ProductId","]")),MATCH(tblProductOutputs[[#This Row],[ID]],INDIRECT(_xlfn.CONCAT(INDIRECT("tblSelectedOutputs[Table]"),"[","ID","]")),0))</f>
        <v>734</v>
      </c>
      <c r="D39" s="23" t="str">
        <f ca="1">INDEX(INDIRECT(_xlfn.CONCAT(INDIRECT("tblSelectedOutputs[Table]"),"[","OutputName","]")),MATCH(tblProductOutputs[[#This Row],[ID]],INDIRECT(_xlfn.CONCAT(INDIRECT("tblSelectedOutputs[Table]"),"[","ID","]")),0))</f>
        <v>CHASSIS</v>
      </c>
      <c r="E39" t="str">
        <f ca="1">INDEX(INDIRECT(_xlfn.CONCAT(INDIRECT("tblSelectedOutputs[Table]"),"[","Alias","]")),MATCH(tblProductOutputs[[#This Row],[ID]],INDIRECT(_xlfn.CONCAT(INDIRECT("tblSelectedOutputs[Table]"),"[","ID","]")),0))</f>
        <v>CRB</v>
      </c>
      <c r="N39" s="26">
        <f>INDEX(tblOutputs_Index[ID],MATCH(tblSelectedUnit[Index],tblOutputs_Index[ID],0))</f>
        <v>1</v>
      </c>
      <c r="O39" s="26" t="str">
        <f>INDEX(tblOutputs_Index[ProductId],MATCH(tblSelectedUnit[Index],tblOutputs_Index[ID],0))</f>
        <v>734</v>
      </c>
      <c r="P39" s="26" t="str">
        <f>INDEX(tblOutputs_Index[Section],MATCH(tblSelectedUnit[Index],tblOutputs_Index[ID],0))</f>
        <v>Outputs</v>
      </c>
      <c r="Q39" s="26" t="str">
        <f>INDEX(tblOutputs_Index[Table],MATCH(tblSelectedUnit[Index],tblOutputs_Index[ID],0))</f>
        <v>tblOutputs_734</v>
      </c>
      <c r="S39" s="25">
        <v>1</v>
      </c>
      <c r="T39" s="26">
        <v>734</v>
      </c>
      <c r="U39" t="s">
        <v>285</v>
      </c>
      <c r="V39" s="43" t="s">
        <v>286</v>
      </c>
    </row>
    <row r="40" spans="2:29">
      <c r="B40" s="26">
        <v>2</v>
      </c>
      <c r="C40" s="23">
        <f ca="1">INDEX(INDIRECT(_xlfn.CONCAT(INDIRECT("tblSelectedOutputs[Table]"),"[","ProductId","]")),MATCH(tblProductOutputs[[#This Row],[ID]],INDIRECT(_xlfn.CONCAT(INDIRECT("tblSelectedOutputs[Table]"),"[","ID","]")),0))</f>
        <v>734</v>
      </c>
      <c r="D40" s="23" t="str">
        <f ca="1">INDEX(INDIRECT(_xlfn.CONCAT(INDIRECT("tblSelectedOutputs[Table]"),"[","OutputName","]")),MATCH(tblProductOutputs[[#This Row],[ID]],INDIRECT(_xlfn.CONCAT(INDIRECT("tblSelectedOutputs[Table]"),"[","ID","]")),0))</f>
        <v>LENS1</v>
      </c>
      <c r="E40" t="str">
        <f ca="1">INDEX(INDIRECT(_xlfn.CONCAT(INDIRECT("tblSelectedOutputs[Table]"),"[","Alias","]")),MATCH(tblProductOutputs[[#This Row],[ID]],INDIRECT(_xlfn.CONCAT(INDIRECT("tblSelectedOutputs[Table]"),"[","ID","]")),0))</f>
        <v>L1</v>
      </c>
      <c r="H40" s="432"/>
      <c r="O40"/>
      <c r="S40" s="187">
        <v>2</v>
      </c>
      <c r="T40" s="184">
        <v>734</v>
      </c>
      <c r="U40" s="175" t="s">
        <v>237</v>
      </c>
      <c r="V40" s="175" t="s">
        <v>247</v>
      </c>
    </row>
    <row r="41" spans="2:29">
      <c r="B41" s="26">
        <v>3</v>
      </c>
      <c r="C41" s="23">
        <f ca="1">INDEX(INDIRECT(_xlfn.CONCAT(INDIRECT("tblSelectedOutputs[Table]"),"[","ProductId","]")),MATCH(tblProductOutputs[[#This Row],[ID]],INDIRECT(_xlfn.CONCAT(INDIRECT("tblSelectedOutputs[Table]"),"[","ID","]")),0))</f>
        <v>734</v>
      </c>
      <c r="D41" s="23" t="str">
        <f ca="1">INDEX(INDIRECT(_xlfn.CONCAT(INDIRECT("tblSelectedOutputs[Table]"),"[","OutputName","]")),MATCH(tblProductOutputs[[#This Row],[ID]],INDIRECT(_xlfn.CONCAT(INDIRECT("tblSelectedOutputs[Table]"),"[","ID","]")),0))</f>
        <v>LENS2</v>
      </c>
      <c r="E41" t="str">
        <f ca="1">INDEX(INDIRECT(_xlfn.CONCAT(INDIRECT("tblSelectedOutputs[Table]"),"[","Alias","]")),MATCH(tblProductOutputs[[#This Row],[ID]],INDIRECT(_xlfn.CONCAT(INDIRECT("tblSelectedOutputs[Table]"),"[","ID","]")),0))</f>
        <v>L2</v>
      </c>
      <c r="O41"/>
      <c r="S41" s="187">
        <v>3</v>
      </c>
      <c r="T41" s="184">
        <v>734</v>
      </c>
      <c r="U41" s="175" t="s">
        <v>238</v>
      </c>
      <c r="V41" s="175" t="s">
        <v>248</v>
      </c>
    </row>
    <row r="42" spans="2:29">
      <c r="B42" s="26">
        <v>4</v>
      </c>
      <c r="C42" s="23">
        <f ca="1">INDEX(INDIRECT(_xlfn.CONCAT(INDIRECT("tblSelectedOutputs[Table]"),"[","ProductId","]")),MATCH(tblProductOutputs[[#This Row],[ID]],INDIRECT(_xlfn.CONCAT(INDIRECT("tblSelectedOutputs[Table]"),"[","ID","]")),0))</f>
        <v>734</v>
      </c>
      <c r="D42" s="23" t="str">
        <f ca="1">INDEX(INDIRECT(_xlfn.CONCAT(INDIRECT("tblSelectedOutputs[Table]"),"[","OutputName","]")),MATCH(tblProductOutputs[[#This Row],[ID]],INDIRECT(_xlfn.CONCAT(INDIRECT("tblSelectedOutputs[Table]"),"[","ID","]")),0))</f>
        <v>ACCELERATOR</v>
      </c>
      <c r="E42" t="str">
        <f ca="1">INDEX(INDIRECT(_xlfn.CONCAT(INDIRECT("tblSelectedOutputs[Table]"),"[","Alias","]")),MATCH(tblProductOutputs[[#This Row],[ID]],INDIRECT(_xlfn.CONCAT(INDIRECT("tblSelectedOutputs[Table]"),"[","ID","]")),0))</f>
        <v>ACC</v>
      </c>
      <c r="N42" t="s">
        <v>112</v>
      </c>
      <c r="O42"/>
      <c r="S42" s="187">
        <v>4</v>
      </c>
      <c r="T42" s="184">
        <v>734</v>
      </c>
      <c r="U42" s="175" t="s">
        <v>239</v>
      </c>
      <c r="V42" s="175" t="s">
        <v>249</v>
      </c>
    </row>
    <row r="43" spans="2:29">
      <c r="B43" s="26">
        <v>5</v>
      </c>
      <c r="C43" s="23">
        <f ca="1">INDEX(INDIRECT(_xlfn.CONCAT(INDIRECT("tblSelectedOutputs[Table]"),"[","ProductId","]")),MATCH(tblProductOutputs[[#This Row],[ID]],INDIRECT(_xlfn.CONCAT(INDIRECT("tblSelectedOutputs[Table]"),"[","ID","]")),0))</f>
        <v>734</v>
      </c>
      <c r="D43" s="23" t="str">
        <f ca="1">INDEX(INDIRECT(_xlfn.CONCAT(INDIRECT("tblSelectedOutputs[Table]"),"[","OutputName","]")),MATCH(tblProductOutputs[[#This Row],[ID]],INDIRECT(_xlfn.CONCAT(INDIRECT("tblSelectedOutputs[Table]"),"[","ID","]")),0))</f>
        <v>EXTRACTOR</v>
      </c>
      <c r="E43" t="str">
        <f ca="1">INDEX(INDIRECT(_xlfn.CONCAT(INDIRECT("tblSelectedOutputs[Table]"),"[","Alias","]")),MATCH(tblProductOutputs[[#This Row],[ID]],INDIRECT(_xlfn.CONCAT(INDIRECT("tblSelectedOutputs[Table]"),"[","ID","]")),0))</f>
        <v>EXT</v>
      </c>
      <c r="N43" s="25" t="s">
        <v>38</v>
      </c>
      <c r="O43" s="25" t="s">
        <v>106</v>
      </c>
      <c r="P43" s="25" t="s">
        <v>113</v>
      </c>
      <c r="Q43" s="25" t="s">
        <v>114</v>
      </c>
      <c r="S43" s="187">
        <v>5</v>
      </c>
      <c r="T43" s="184">
        <v>734</v>
      </c>
      <c r="U43" s="175" t="s">
        <v>240</v>
      </c>
      <c r="V43" s="175" t="s">
        <v>250</v>
      </c>
    </row>
    <row r="44" spans="2:29">
      <c r="B44" s="26">
        <v>6</v>
      </c>
      <c r="C44" s="23">
        <f ca="1">INDEX(INDIRECT(_xlfn.CONCAT(INDIRECT("tblSelectedOutputs[Table]"),"[","ProductId","]")),MATCH(tblProductOutputs[[#This Row],[ID]],INDIRECT(_xlfn.CONCAT(INDIRECT("tblSelectedOutputs[Table]"),"[","ID","]")),0))</f>
        <v>734</v>
      </c>
      <c r="D44" s="23" t="str">
        <f ca="1">INDEX(INDIRECT(_xlfn.CONCAT(INDIRECT("tblSelectedOutputs[Table]"),"[","OutputName","]")),MATCH(tblProductOutputs[[#This Row],[ID]],INDIRECT(_xlfn.CONCAT(INDIRECT("tblSelectedOutputs[Table]"),"[","ID","]")),0))</f>
        <v>SUPPRESSOR</v>
      </c>
      <c r="E44" t="str">
        <f ca="1">INDEX(INDIRECT(_xlfn.CONCAT(INDIRECT("tblSelectedOutputs[Table]"),"[","Alias","]")),MATCH(tblProductOutputs[[#This Row],[ID]],INDIRECT(_xlfn.CONCAT(INDIRECT("tblSelectedOutputs[Table]"),"[","ID","]")),0))</f>
        <v>SUP</v>
      </c>
      <c r="N44" s="26">
        <v>1</v>
      </c>
      <c r="O44" s="26" t="str">
        <f>INDEX(tblUnitTypes[ProductId],MATCH(tblOutputs_Index[[#This Row],[ID]],tblUnitTypes[Index],0))</f>
        <v>734</v>
      </c>
      <c r="P44" s="26" t="s">
        <v>115</v>
      </c>
      <c r="Q44" s="26" t="str">
        <f>_xlfn.CONCAT("tbl",tblOutputs_Index[[#This Row],[Section]],"_",tblOutputs_Index[[#This Row],[ProductId]])</f>
        <v>tblOutputs_734</v>
      </c>
      <c r="S44" s="187">
        <v>6</v>
      </c>
      <c r="T44" s="184">
        <v>734</v>
      </c>
      <c r="U44" s="175" t="s">
        <v>241</v>
      </c>
      <c r="V44" s="175" t="s">
        <v>251</v>
      </c>
    </row>
    <row r="45" spans="2:29">
      <c r="B45" s="26"/>
      <c r="O45"/>
      <c r="P45" s="11"/>
      <c r="S45" s="187">
        <v>7</v>
      </c>
      <c r="T45" s="184">
        <v>734</v>
      </c>
      <c r="U45" s="175" t="s">
        <v>242</v>
      </c>
      <c r="V45" s="175" t="s">
        <v>252</v>
      </c>
      <c r="Z45" s="654" t="s">
        <v>269</v>
      </c>
      <c r="AA45" s="655"/>
      <c r="AB45" s="655"/>
      <c r="AC45" s="655"/>
    </row>
    <row r="46" spans="2:29">
      <c r="B46" s="26"/>
      <c r="O46"/>
      <c r="P46" s="11"/>
      <c r="S46" s="25"/>
      <c r="T46" s="26"/>
      <c r="V46" s="43"/>
      <c r="Z46" s="655"/>
      <c r="AA46" s="655"/>
      <c r="AB46" s="655"/>
      <c r="AC46" s="655"/>
    </row>
    <row r="47" spans="2:29">
      <c r="B47" s="26"/>
      <c r="O47"/>
      <c r="P47" s="11"/>
      <c r="S47" s="25"/>
      <c r="T47" s="26"/>
      <c r="V47" s="43"/>
      <c r="Z47" s="655"/>
      <c r="AA47" s="655"/>
      <c r="AB47" s="655"/>
      <c r="AC47" s="655"/>
    </row>
    <row r="48" spans="2:29">
      <c r="O48"/>
      <c r="P48" s="11"/>
      <c r="S48" s="25"/>
      <c r="T48" s="26"/>
    </row>
    <row r="49" spans="2:29">
      <c r="O49"/>
      <c r="P49" s="11"/>
    </row>
    <row r="50" spans="2:29">
      <c r="B50" s="23" t="s">
        <v>117</v>
      </c>
      <c r="N50" t="s">
        <v>121</v>
      </c>
      <c r="O50"/>
      <c r="P50" s="11"/>
      <c r="S50" t="s">
        <v>245</v>
      </c>
    </row>
    <row r="51" spans="2:29">
      <c r="B51" s="23" t="s">
        <v>38</v>
      </c>
      <c r="C51" s="23" t="s">
        <v>106</v>
      </c>
      <c r="D51" s="23" t="s">
        <v>118</v>
      </c>
      <c r="E51" s="23" t="s">
        <v>17</v>
      </c>
      <c r="F51" s="23" t="s">
        <v>119</v>
      </c>
      <c r="G51" s="23" t="s">
        <v>14</v>
      </c>
      <c r="H51" s="75" t="s">
        <v>11</v>
      </c>
      <c r="I51" s="23" t="s">
        <v>12</v>
      </c>
      <c r="J51" s="23" t="s">
        <v>13</v>
      </c>
      <c r="K51" s="23" t="s">
        <v>120</v>
      </c>
      <c r="L51" s="182" t="s">
        <v>136</v>
      </c>
      <c r="N51" s="69" t="s">
        <v>38</v>
      </c>
      <c r="O51" s="70" t="s">
        <v>106</v>
      </c>
      <c r="P51" s="70" t="s">
        <v>113</v>
      </c>
      <c r="Q51" s="71" t="s">
        <v>114</v>
      </c>
      <c r="S51" s="181" t="s">
        <v>38</v>
      </c>
      <c r="T51" s="181" t="s">
        <v>106</v>
      </c>
      <c r="U51" s="181" t="s">
        <v>118</v>
      </c>
      <c r="V51" s="181" t="s">
        <v>17</v>
      </c>
      <c r="W51" s="181" t="s">
        <v>119</v>
      </c>
      <c r="X51" s="181" t="s">
        <v>14</v>
      </c>
      <c r="Y51" s="181" t="s">
        <v>11</v>
      </c>
      <c r="Z51" s="181" t="s">
        <v>12</v>
      </c>
      <c r="AA51" s="181" t="s">
        <v>13</v>
      </c>
      <c r="AB51" s="181" t="s">
        <v>120</v>
      </c>
      <c r="AC51" s="181" t="s">
        <v>136</v>
      </c>
    </row>
    <row r="52" spans="2:29">
      <c r="B52" s="23">
        <v>1</v>
      </c>
      <c r="C52" s="23">
        <f ca="1">INDEX(INDIRECT(_xlfn.CONCAT(INDIRECT("tblScalesMeasures_Selected[Table]"),"[","ProductId","]")),MATCH(tblProductScalesMeasures[[#This Row],[ID]],INDIRECT(_xlfn.CONCAT(INDIRECT("tblScalesMeasures_Selected[Table]"),"[","ID","]")),0))</f>
        <v>734</v>
      </c>
      <c r="D52" s="23">
        <f ca="1">INDEX(INDIRECT(_xlfn.CONCAT(INDIRECT("tblScalesMeasures_Selected[Table]"),"[","OutputId","]")),MATCH(tblProductScalesMeasures[[#This Row],[ID]],INDIRECT(_xlfn.CONCAT(INDIRECT("tblScalesMeasures_Selected[Table]"),"[","ID","]")),0))</f>
        <v>2</v>
      </c>
      <c r="E52" t="str">
        <f ca="1">INDEX(INDIRECT(_xlfn.CONCAT(INDIRECT("tblScalesMeasures_Selected[Table]"),"[","Alias","]")),MATCH(tblProductScalesMeasures[[#This Row],[ID]],INDIRECT(_xlfn.CONCAT(INDIRECT("tblScalesMeasures_Selected[Table]"),"[","ID","]")),0))</f>
        <v>L1</v>
      </c>
      <c r="F52" s="43" t="s">
        <v>99</v>
      </c>
      <c r="G52" t="str">
        <f ca="1">INDEX(INDIRECT(_xlfn.CONCAT(INDIRECT("tblScalesMeasures_Selected[Table]"),"[","Unit","]")),MATCH(tblProductScalesMeasures[[#This Row],[ID]],INDIRECT(_xlfn.CONCAT(INDIRECT("tblScalesMeasures_Selected[Table]"),"[","ID","]")),0))</f>
        <v>V</v>
      </c>
      <c r="H52" s="74" t="str">
        <f ca="1">INDEX(INDIRECT(_xlfn.CONCAT(INDIRECT("tblScalesMeasures_Selected[Table]"),"[","Description","]")),MATCH(tblProductScalesMeasures[[#This Row],[ID]],INDIRECT(_xlfn.CONCAT(INDIRECT("tblScalesMeasures_Selected[Table]"),"[","ID","]")),0))</f>
        <v>L1 Vout (V)</v>
      </c>
      <c r="I52">
        <f ca="1">INDEX(INDIRECT(_xlfn.CONCAT(INDIRECT("tblScalesMeasures_Selected[Table]"),"[","Min","]")),MATCH(tblProductScalesMeasures[[#This Row],[ID]],INDIRECT(_xlfn.CONCAT(INDIRECT("tblScalesMeasures_Selected[Table]"),"[","ID","]")),0))</f>
        <v>-100</v>
      </c>
      <c r="J52">
        <f ca="1">INDEX(INDIRECT(_xlfn.CONCAT(INDIRECT("tblScalesMeasures_Selected[Table]"),"[","Max","]")),MATCH(tblProductScalesMeasures[[#This Row],[ID]],INDIRECT(_xlfn.CONCAT(INDIRECT("tblScalesMeasures_Selected[Table]"),"[","ID","]")),0))</f>
        <v>100</v>
      </c>
      <c r="K52" t="str">
        <f ca="1">INDEX(INDIRECT(_xlfn.CONCAT(INDIRECT("tblScalesMeasures_Selected[Table]"),"[","Nominal","]")),MATCH(tblProductScalesMeasures[[#This Row],[ID]],INDIRECT(_xlfn.CONCAT(INDIRECT("tblScalesMeasures_Selected[Table]"),"[","ID","]")),0))</f>
        <v>-</v>
      </c>
      <c r="L52" s="76" t="str">
        <f ca="1">INDEX(INDIRECT(_xlfn.CONCAT(INDIRECT("tblScalesMeasures_Selected[Table]"),"[","Value","]")),MATCH(tblProductScalesMeasures[[#This Row],[ID]],INDIRECT(_xlfn.CONCAT(INDIRECT("tblScalesMeasures_Selected[Table]"),"[","ID","]")),0))</f>
        <v>N</v>
      </c>
      <c r="N52" s="26">
        <f>INDEX(tblScalesMeasures_Index[ID],MATCH(tblSelectedUnit[Index],tblScalesMeasures_Index[ID],0))</f>
        <v>1</v>
      </c>
      <c r="O52" s="26" t="str">
        <f>INDEX(tblScalesMeasures_Index[ProductId],MATCH(tblSelectedUnit[Index],tblScalesMeasures_Index[ID],0))</f>
        <v>734</v>
      </c>
      <c r="P52" s="11" t="str">
        <f>INDEX(tblScalesMeasures_Index[Section],MATCH(tblSelectedUnit[Index],tblScalesMeasures_Index[ID],0))</f>
        <v>ScalesMeasures</v>
      </c>
      <c r="Q52" t="str">
        <f>INDEX(tblScalesMeasures_Index[Table],MATCH(tblSelectedUnit[Index],tblScalesMeasures_Index[ID],0))</f>
        <v>tblScalesMeasures_734</v>
      </c>
      <c r="S52" s="25">
        <v>1</v>
      </c>
      <c r="T52" s="26">
        <v>734</v>
      </c>
      <c r="U52" s="25">
        <v>2</v>
      </c>
      <c r="V52" s="43" t="str">
        <f ca="1">INDEX(INDIRECT(_xlfn.CONCAT("tblOutputs_",tblScalesMeasures_734[[#This Row],[ProductId]],"[Alias]")),MATCH(tblScalesMeasures_734[[#This Row],[OutputId]],INDIRECT(_xlfn.CONCAT("tblOutputs_",tblScalesMeasures_734[[#This Row],[ProductId]],"[ID]")),0))</f>
        <v>L1</v>
      </c>
      <c r="W52" t="s">
        <v>126</v>
      </c>
      <c r="X52" t="s">
        <v>71</v>
      </c>
      <c r="Y52" s="43" t="str">
        <f ca="1">_xlfn.CONCAT(tblScalesMeasures_734[[#This Row],[Alias]], " ", tblScalesMeasures_734[[#This Row],[Parameter]], " ","(",tblScalesMeasures_734[[#This Row],[Unit]],")")</f>
        <v>L1 Vout (V)</v>
      </c>
      <c r="Z52">
        <v>-100</v>
      </c>
      <c r="AA52">
        <v>100</v>
      </c>
      <c r="AB52" t="s">
        <v>63</v>
      </c>
      <c r="AC52" s="175" t="s">
        <v>184</v>
      </c>
    </row>
    <row r="53" spans="2:29">
      <c r="B53" s="23">
        <v>2</v>
      </c>
      <c r="C53" s="23">
        <f ca="1">INDEX(INDIRECT(_xlfn.CONCAT(INDIRECT("tblScalesMeasures_Selected[Table]"),"[","ProductId","]")),MATCH(tblProductScalesMeasures[[#This Row],[ID]],INDIRECT(_xlfn.CONCAT(INDIRECT("tblScalesMeasures_Selected[Table]"),"[","ID","]")),0))</f>
        <v>734</v>
      </c>
      <c r="D53" s="23">
        <f ca="1">INDEX(INDIRECT(_xlfn.CONCAT(INDIRECT("tblScalesMeasures_Selected[Table]"),"[","OutputId","]")),MATCH(tblProductScalesMeasures[[#This Row],[ID]],INDIRECT(_xlfn.CONCAT(INDIRECT("tblScalesMeasures_Selected[Table]"),"[","ID","]")),0))</f>
        <v>2</v>
      </c>
      <c r="E53" t="str">
        <f ca="1">INDEX(INDIRECT(_xlfn.CONCAT(INDIRECT("tblScalesMeasures_Selected[Table]"),"[","Alias","]")),MATCH(tblProductScalesMeasures[[#This Row],[ID]],INDIRECT(_xlfn.CONCAT(INDIRECT("tblScalesMeasures_Selected[Table]"),"[","ID","]")),0))</f>
        <v>L1</v>
      </c>
      <c r="F53" t="str">
        <f ca="1">INDEX(INDIRECT(_xlfn.CONCAT(INDIRECT("tblScalesMeasures_Selected[Table]"),"[","Parameter","]")),MATCH(tblProductScalesMeasures[[#This Row],[ID]],INDIRECT(_xlfn.CONCAT(INDIRECT("tblScalesMeasures_Selected[Table]"),"[","ID","]")),0))</f>
        <v>Ripple</v>
      </c>
      <c r="G53" t="str">
        <f ca="1">INDEX(INDIRECT(_xlfn.CONCAT(INDIRECT("tblScalesMeasures_Selected[Table]"),"[","Unit","]")),MATCH(tblProductScalesMeasures[[#This Row],[ID]],INDIRECT(_xlfn.CONCAT(INDIRECT("tblScalesMeasures_Selected[Table]"),"[","ID","]")),0))</f>
        <v>mV pk-pk</v>
      </c>
      <c r="H53" s="74" t="str">
        <f ca="1">INDEX(INDIRECT(_xlfn.CONCAT(INDIRECT("tblScalesMeasures_Selected[Table]"),"[","Description","]")),MATCH(tblProductScalesMeasures[[#This Row],[ID]],INDIRECT(_xlfn.CONCAT(INDIRECT("tblScalesMeasures_Selected[Table]"),"[","ID","]")),0))</f>
        <v>L1 Ripple (mV pk-pk)</v>
      </c>
      <c r="I53">
        <f ca="1">INDEX(INDIRECT(_xlfn.CONCAT(INDIRECT("tblScalesMeasures_Selected[Table]"),"[","Min","]")),MATCH(tblProductScalesMeasures[[#This Row],[ID]],INDIRECT(_xlfn.CONCAT(INDIRECT("tblScalesMeasures_Selected[Table]"),"[","ID","]")),0))</f>
        <v>3</v>
      </c>
      <c r="J53">
        <f ca="1">INDEX(INDIRECT(_xlfn.CONCAT(INDIRECT("tblScalesMeasures_Selected[Table]"),"[","Max","]")),MATCH(tblProductScalesMeasures[[#This Row],[ID]],INDIRECT(_xlfn.CONCAT(INDIRECT("tblScalesMeasures_Selected[Table]"),"[","ID","]")),0))</f>
        <v>150</v>
      </c>
      <c r="K53" t="str">
        <f ca="1">INDEX(INDIRECT(_xlfn.CONCAT(INDIRECT("tblScalesMeasures_Selected[Table]"),"[","Nominal","]")),MATCH(tblProductScalesMeasures[[#This Row],[ID]],INDIRECT(_xlfn.CONCAT(INDIRECT("tblScalesMeasures_Selected[Table]"),"[","ID","]")),0))</f>
        <v>-</v>
      </c>
      <c r="L53" s="76" t="str">
        <f ca="1">INDEX(INDIRECT(_xlfn.CONCAT(INDIRECT("tblScalesMeasures_Selected[Table]"),"[","Value","]")),MATCH(tblProductScalesMeasures[[#This Row],[ID]],INDIRECT(_xlfn.CONCAT(INDIRECT("tblScalesMeasures_Selected[Table]"),"[","ID","]")),0))</f>
        <v>N</v>
      </c>
      <c r="O53"/>
      <c r="P53" s="11"/>
      <c r="S53" s="25">
        <v>2</v>
      </c>
      <c r="T53" s="26">
        <v>734</v>
      </c>
      <c r="U53" s="25">
        <v>2</v>
      </c>
      <c r="V53" s="175" t="str">
        <f ca="1">INDEX(INDIRECT(_xlfn.CONCAT("tblOutputs_",tblScalesMeasures_734[[#This Row],[ProductId]],"[Alias]")),MATCH(tblScalesMeasures_734[[#This Row],[OutputId]],INDIRECT(_xlfn.CONCAT("tblOutputs_",tblScalesMeasures_734[[#This Row],[ProductId]],"[ID]")),0))</f>
        <v>L1</v>
      </c>
      <c r="W53" t="s">
        <v>125</v>
      </c>
      <c r="X53" t="s">
        <v>267</v>
      </c>
      <c r="Y53" s="43" t="str">
        <f ca="1">_xlfn.CONCAT(tblScalesMeasures_734[[#This Row],[Alias]], " ", tblScalesMeasures_734[[#This Row],[Parameter]], " ","(",tblScalesMeasures_734[[#This Row],[Unit]],")")</f>
        <v>L1 Ripple (mV pk-pk)</v>
      </c>
      <c r="Z53">
        <v>3</v>
      </c>
      <c r="AA53">
        <v>150</v>
      </c>
      <c r="AB53" t="s">
        <v>63</v>
      </c>
      <c r="AC53" s="175" t="s">
        <v>184</v>
      </c>
    </row>
    <row r="54" spans="2:29">
      <c r="B54" s="23">
        <v>3</v>
      </c>
      <c r="C54" s="23">
        <f ca="1">INDEX(INDIRECT(_xlfn.CONCAT(INDIRECT("tblScalesMeasures_Selected[Table]"),"[","ProductId","]")),MATCH(tblProductScalesMeasures[[#This Row],[ID]],INDIRECT(_xlfn.CONCAT(INDIRECT("tblScalesMeasures_Selected[Table]"),"[","ID","]")),0))</f>
        <v>734</v>
      </c>
      <c r="D54" s="30">
        <f ca="1">INDEX(INDIRECT(_xlfn.CONCAT(INDIRECT("tblScalesMeasures_Selected[Table]"),"[","OutputId","]")),MATCH(tblProductScalesMeasures[[#This Row],[ID]],INDIRECT(_xlfn.CONCAT(INDIRECT("tblScalesMeasures_Selected[Table]"),"[","ID","]")),0))</f>
        <v>2</v>
      </c>
      <c r="E54" s="76" t="str">
        <f ca="1">INDEX(INDIRECT(_xlfn.CONCAT(INDIRECT("tblScalesMeasures_Selected[Table]"),"[","Alias","]")),MATCH(tblProductScalesMeasures[[#This Row],[ID]],INDIRECT(_xlfn.CONCAT(INDIRECT("tblScalesMeasures_Selected[Table]"),"[","ID","]")),0))</f>
        <v>L1</v>
      </c>
      <c r="F54" s="76" t="str">
        <f ca="1">INDEX(INDIRECT(_xlfn.CONCAT(INDIRECT("tblScalesMeasures_Selected[Table]"),"[","Parameter","]")),MATCH(tblProductScalesMeasures[[#This Row],[ID]],INDIRECT(_xlfn.CONCAT(INDIRECT("tblScalesMeasures_Selected[Table]"),"[","ID","]")),0))</f>
        <v>Current Monitor Error</v>
      </c>
      <c r="G54" s="76" t="str">
        <f ca="1">INDEX(INDIRECT(_xlfn.CONCAT(INDIRECT("tblScalesMeasures_Selected[Table]"),"[","Unit","]")),MATCH(tblProductScalesMeasures[[#This Row],[ID]],INDIRECT(_xlfn.CONCAT(INDIRECT("tblScalesMeasures_Selected[Table]"),"[","ID","]")),0))</f>
        <v>%</v>
      </c>
      <c r="H54" s="77" t="str">
        <f ca="1">INDEX(INDIRECT(_xlfn.CONCAT(INDIRECT("tblScalesMeasures_Selected[Table]"),"[","Description","]")),MATCH(tblProductScalesMeasures[[#This Row],[ID]],INDIRECT(_xlfn.CONCAT(INDIRECT("tblScalesMeasures_Selected[Table]"),"[","ID","]")),0))</f>
        <v>L1 Current Monitor Error (%)</v>
      </c>
      <c r="I54" s="76">
        <f ca="1">INDEX(INDIRECT(_xlfn.CONCAT(INDIRECT("tblScalesMeasures_Selected[Table]"),"[","Min","]")),MATCH(tblProductScalesMeasures[[#This Row],[ID]],INDIRECT(_xlfn.CONCAT(INDIRECT("tblScalesMeasures_Selected[Table]"),"[","ID","]")),0))</f>
        <v>-5</v>
      </c>
      <c r="J54" s="76">
        <f ca="1">INDEX(INDIRECT(_xlfn.CONCAT(INDIRECT("tblScalesMeasures_Selected[Table]"),"[","Max","]")),MATCH(tblProductScalesMeasures[[#This Row],[ID]],INDIRECT(_xlfn.CONCAT(INDIRECT("tblScalesMeasures_Selected[Table]"),"[","ID","]")),0))</f>
        <v>5</v>
      </c>
      <c r="K54" s="76" t="str">
        <f ca="1">INDEX(INDIRECT(_xlfn.CONCAT(INDIRECT("tblScalesMeasures_Selected[Table]"),"[","Nominal","]")),MATCH(tblProductScalesMeasures[[#This Row],[ID]],INDIRECT(_xlfn.CONCAT(INDIRECT("tblScalesMeasures_Selected[Table]"),"[","ID","]")),0))</f>
        <v>-</v>
      </c>
      <c r="L54" s="76" t="str">
        <f ca="1">INDEX(INDIRECT(_xlfn.CONCAT(INDIRECT("tblScalesMeasures_Selected[Table]"),"[","Value","]")),MATCH(tblProductScalesMeasures[[#This Row],[ID]],INDIRECT(_xlfn.CONCAT(INDIRECT("tblScalesMeasures_Selected[Table]"),"[","ID","]")),0))</f>
        <v>P</v>
      </c>
      <c r="O54"/>
      <c r="P54" s="11"/>
      <c r="S54" s="25">
        <v>3</v>
      </c>
      <c r="T54" s="26">
        <v>734</v>
      </c>
      <c r="U54" s="25">
        <v>2</v>
      </c>
      <c r="V54" s="175" t="str">
        <f ca="1">INDEX(INDIRECT(_xlfn.CONCAT("tblOutputs_",tblScalesMeasures_734[[#This Row],[ProductId]],"[Alias]")),MATCH(tblScalesMeasures_734[[#This Row],[OutputId]],INDIRECT(_xlfn.CONCAT("tblOutputs_",tblScalesMeasures_734[[#This Row],[ProductId]],"[ID]")),0))</f>
        <v>L1</v>
      </c>
      <c r="W54" t="s">
        <v>293</v>
      </c>
      <c r="X54" t="s">
        <v>338</v>
      </c>
      <c r="Y54" s="43" t="str">
        <f ca="1">_xlfn.CONCAT(tblScalesMeasures_734[[#This Row],[Alias]], " ", tblScalesMeasures_734[[#This Row],[Parameter]], " ","(",tblScalesMeasures_734[[#This Row],[Unit]],")")</f>
        <v>L1 Current Monitor Error (%)</v>
      </c>
      <c r="Z54">
        <v>-5</v>
      </c>
      <c r="AA54">
        <v>5</v>
      </c>
      <c r="AB54" t="s">
        <v>63</v>
      </c>
      <c r="AC54" s="175" t="s">
        <v>268</v>
      </c>
    </row>
    <row r="55" spans="2:29">
      <c r="B55" s="23">
        <v>4</v>
      </c>
      <c r="C55" s="23">
        <f ca="1">INDEX(INDIRECT(_xlfn.CONCAT(INDIRECT("tblScalesMeasures_Selected[Table]"),"[","ProductId","]")),MATCH(tblProductScalesMeasures[[#This Row],[ID]],INDIRECT(_xlfn.CONCAT(INDIRECT("tblScalesMeasures_Selected[Table]"),"[","ID","]")),0))</f>
        <v>734</v>
      </c>
      <c r="D55" s="30">
        <f ca="1">INDEX(INDIRECT(_xlfn.CONCAT(INDIRECT("tblScalesMeasures_Selected[Table]"),"[","OutputId","]")),MATCH(tblProductScalesMeasures[[#This Row],[ID]],INDIRECT(_xlfn.CONCAT(INDIRECT("tblScalesMeasures_Selected[Table]"),"[","ID","]")),0))</f>
        <v>2</v>
      </c>
      <c r="E55" s="76" t="str">
        <f ca="1">INDEX(INDIRECT(_xlfn.CONCAT(INDIRECT("tblScalesMeasures_Selected[Table]"),"[","Alias","]")),MATCH(tblProductScalesMeasures[[#This Row],[ID]],INDIRECT(_xlfn.CONCAT(INDIRECT("tblScalesMeasures_Selected[Table]"),"[","ID","]")),0))</f>
        <v>L1</v>
      </c>
      <c r="F55" s="76" t="str">
        <f ca="1">INDEX(INDIRECT(_xlfn.CONCAT(INDIRECT("tblScalesMeasures_Selected[Table]"),"[","Parameter","]")),MATCH(tblProductScalesMeasures[[#This Row],[ID]],INDIRECT(_xlfn.CONCAT(INDIRECT("tblScalesMeasures_Selected[Table]"),"[","ID","]")),0))</f>
        <v>Voltage Monitor Error</v>
      </c>
      <c r="G55" s="76" t="str">
        <f ca="1">INDEX(INDIRECT(_xlfn.CONCAT(INDIRECT("tblScalesMeasures_Selected[Table]"),"[","Unit","]")),MATCH(tblProductScalesMeasures[[#This Row],[ID]],INDIRECT(_xlfn.CONCAT(INDIRECT("tblScalesMeasures_Selected[Table]"),"[","ID","]")),0))</f>
        <v>%</v>
      </c>
      <c r="H55" s="77" t="str">
        <f ca="1">INDEX(INDIRECT(_xlfn.CONCAT(INDIRECT("tblScalesMeasures_Selected[Table]"),"[","Description","]")),MATCH(tblProductScalesMeasures[[#This Row],[ID]],INDIRECT(_xlfn.CONCAT(INDIRECT("tblScalesMeasures_Selected[Table]"),"[","ID","]")),0))</f>
        <v>L1 Voltage Monitor Error (%)</v>
      </c>
      <c r="I55" s="76">
        <f ca="1">INDEX(INDIRECT(_xlfn.CONCAT(INDIRECT("tblScalesMeasures_Selected[Table]"),"[","Min","]")),MATCH(tblProductScalesMeasures[[#This Row],[ID]],INDIRECT(_xlfn.CONCAT(INDIRECT("tblScalesMeasures_Selected[Table]"),"[","ID","]")),0))</f>
        <v>-1</v>
      </c>
      <c r="J55" s="76">
        <f ca="1">INDEX(INDIRECT(_xlfn.CONCAT(INDIRECT("tblScalesMeasures_Selected[Table]"),"[","Max","]")),MATCH(tblProductScalesMeasures[[#This Row],[ID]],INDIRECT(_xlfn.CONCAT(INDIRECT("tblScalesMeasures_Selected[Table]"),"[","ID","]")),0))</f>
        <v>1</v>
      </c>
      <c r="K55" s="76" t="str">
        <f ca="1">INDEX(INDIRECT(_xlfn.CONCAT(INDIRECT("tblScalesMeasures_Selected[Table]"),"[","Nominal","]")),MATCH(tblProductScalesMeasures[[#This Row],[ID]],INDIRECT(_xlfn.CONCAT(INDIRECT("tblScalesMeasures_Selected[Table]"),"[","ID","]")),0))</f>
        <v>-</v>
      </c>
      <c r="L55" s="76" t="str">
        <f ca="1">INDEX(INDIRECT(_xlfn.CONCAT(INDIRECT("tblScalesMeasures_Selected[Table]"),"[","Value","]")),MATCH(tblProductScalesMeasures[[#This Row],[ID]],INDIRECT(_xlfn.CONCAT(INDIRECT("tblScalesMeasures_Selected[Table]"),"[","ID","]")),0))</f>
        <v>P</v>
      </c>
      <c r="O55"/>
      <c r="P55" s="11"/>
      <c r="S55" s="25">
        <v>4</v>
      </c>
      <c r="T55" s="26">
        <v>734</v>
      </c>
      <c r="U55" s="25">
        <v>2</v>
      </c>
      <c r="V55" s="175" t="str">
        <f ca="1">INDEX(INDIRECT(_xlfn.CONCAT("tblOutputs_",tblScalesMeasures_734[[#This Row],[ProductId]],"[Alias]")),MATCH(tblScalesMeasures_734[[#This Row],[OutputId]],INDIRECT(_xlfn.CONCAT("tblOutputs_",tblScalesMeasures_734[[#This Row],[ProductId]],"[ID]")),0))</f>
        <v>L1</v>
      </c>
      <c r="W55" t="s">
        <v>294</v>
      </c>
      <c r="X55" t="s">
        <v>338</v>
      </c>
      <c r="Y55" s="43" t="str">
        <f ca="1">_xlfn.CONCAT(tblScalesMeasures_734[[#This Row],[Alias]], " ", tblScalesMeasures_734[[#This Row],[Parameter]], " ","(",tblScalesMeasures_734[[#This Row],[Unit]],")")</f>
        <v>L1 Voltage Monitor Error (%)</v>
      </c>
      <c r="Z55">
        <v>-1</v>
      </c>
      <c r="AA55">
        <v>1</v>
      </c>
      <c r="AB55" t="s">
        <v>63</v>
      </c>
      <c r="AC55" s="175" t="s">
        <v>268</v>
      </c>
    </row>
    <row r="56" spans="2:29">
      <c r="B56" s="23">
        <v>5</v>
      </c>
      <c r="C56" s="23">
        <f ca="1">INDEX(INDIRECT(_xlfn.CONCAT(INDIRECT("tblScalesMeasures_Selected[Table]"),"[","ProductId","]")),MATCH(tblProductScalesMeasures[[#This Row],[ID]],INDIRECT(_xlfn.CONCAT(INDIRECT("tblScalesMeasures_Selected[Table]"),"[","ID","]")),0))</f>
        <v>734</v>
      </c>
      <c r="D56" s="30">
        <f ca="1">INDEX(INDIRECT(_xlfn.CONCAT(INDIRECT("tblScalesMeasures_Selected[Table]"),"[","OutputId","]")),MATCH(tblProductScalesMeasures[[#This Row],[ID]],INDIRECT(_xlfn.CONCAT(INDIRECT("tblScalesMeasures_Selected[Table]"),"[","ID","]")),0))</f>
        <v>2</v>
      </c>
      <c r="E56" s="76" t="str">
        <f ca="1">INDEX(INDIRECT(_xlfn.CONCAT(INDIRECT("tblScalesMeasures_Selected[Table]"),"[","Alias","]")),MATCH(tblProductScalesMeasures[[#This Row],[ID]],INDIRECT(_xlfn.CONCAT(INDIRECT("tblScalesMeasures_Selected[Table]"),"[","ID","]")),0))</f>
        <v>L1</v>
      </c>
      <c r="F56" s="76" t="str">
        <f ca="1">INDEX(INDIRECT(_xlfn.CONCAT(INDIRECT("tblScalesMeasures_Selected[Table]"),"[","Parameter","]")),MATCH(tblProductScalesMeasures[[#This Row],[ID]],INDIRECT(_xlfn.CONCAT(INDIRECT("tblScalesMeasures_Selected[Table]"),"[","ID","]")),0))</f>
        <v>Load Regulation</v>
      </c>
      <c r="G56" s="76" t="str">
        <f ca="1">INDEX(INDIRECT(_xlfn.CONCAT(INDIRECT("tblScalesMeasures_Selected[Table]"),"[","Unit","]")),MATCH(tblProductScalesMeasures[[#This Row],[ID]],INDIRECT(_xlfn.CONCAT(INDIRECT("tblScalesMeasures_Selected[Table]"),"[","ID","]")),0))</f>
        <v>V</v>
      </c>
      <c r="H56" s="77" t="str">
        <f ca="1">INDEX(INDIRECT(_xlfn.CONCAT(INDIRECT("tblScalesMeasures_Selected[Table]"),"[","Description","]")),MATCH(tblProductScalesMeasures[[#This Row],[ID]],INDIRECT(_xlfn.CONCAT(INDIRECT("tblScalesMeasures_Selected[Table]"),"[","ID","]")),0))</f>
        <v>L1 Load Regulation (V)</v>
      </c>
      <c r="I56" s="76">
        <f ca="1">INDEX(INDIRECT(_xlfn.CONCAT(INDIRECT("tblScalesMeasures_Selected[Table]"),"[","Min","]")),MATCH(tblProductScalesMeasures[[#This Row],[ID]],INDIRECT(_xlfn.CONCAT(INDIRECT("tblScalesMeasures_Selected[Table]"),"[","ID","]")),0))</f>
        <v>-1E-4</v>
      </c>
      <c r="J56" s="76">
        <f ca="1">INDEX(INDIRECT(_xlfn.CONCAT(INDIRECT("tblScalesMeasures_Selected[Table]"),"[","Max","]")),MATCH(tblProductScalesMeasures[[#This Row],[ID]],INDIRECT(_xlfn.CONCAT(INDIRECT("tblScalesMeasures_Selected[Table]"),"[","ID","]")),0))</f>
        <v>1E-4</v>
      </c>
      <c r="K56" s="76" t="str">
        <f ca="1">INDEX(INDIRECT(_xlfn.CONCAT(INDIRECT("tblScalesMeasures_Selected[Table]"),"[","Nominal","]")),MATCH(tblProductScalesMeasures[[#This Row],[ID]],INDIRECT(_xlfn.CONCAT(INDIRECT("tblScalesMeasures_Selected[Table]"),"[","ID","]")),0))</f>
        <v>-</v>
      </c>
      <c r="L56" s="76" t="str">
        <f ca="1">INDEX(INDIRECT(_xlfn.CONCAT(INDIRECT("tblScalesMeasures_Selected[Table]"),"[","Value","]")),MATCH(tblProductScalesMeasures[[#This Row],[ID]],INDIRECT(_xlfn.CONCAT(INDIRECT("tblScalesMeasures_Selected[Table]"),"[","ID","]")),0))</f>
        <v>N</v>
      </c>
      <c r="N56" s="43" t="s">
        <v>123</v>
      </c>
      <c r="O56"/>
      <c r="P56" s="11"/>
      <c r="S56" s="25">
        <v>5</v>
      </c>
      <c r="T56" s="26">
        <v>734</v>
      </c>
      <c r="U56" s="25">
        <v>2</v>
      </c>
      <c r="V56" s="175" t="str">
        <f ca="1">INDEX(INDIRECT(_xlfn.CONCAT("tblOutputs_",tblScalesMeasures_734[[#This Row],[ProductId]],"[Alias]")),MATCH(tblScalesMeasures_734[[#This Row],[OutputId]],INDIRECT(_xlfn.CONCAT("tblOutputs_",tblScalesMeasures_734[[#This Row],[ProductId]],"[ID]")),0))</f>
        <v>L1</v>
      </c>
      <c r="W56" t="s">
        <v>147</v>
      </c>
      <c r="X56" t="s">
        <v>71</v>
      </c>
      <c r="Y56" s="43" t="str">
        <f ca="1">_xlfn.CONCAT(tblScalesMeasures_734[[#This Row],[Alias]], " ", tblScalesMeasures_734[[#This Row],[Parameter]], " ","(",tblScalesMeasures_734[[#This Row],[Unit]],")")</f>
        <v>L1 Load Regulation (V)</v>
      </c>
      <c r="Z56">
        <v>-1E-4</v>
      </c>
      <c r="AA56">
        <v>1E-4</v>
      </c>
      <c r="AB56" t="s">
        <v>63</v>
      </c>
      <c r="AC56" s="175" t="s">
        <v>184</v>
      </c>
    </row>
    <row r="57" spans="2:29">
      <c r="B57" s="23">
        <v>6</v>
      </c>
      <c r="C57" s="23">
        <f ca="1">INDEX(INDIRECT(_xlfn.CONCAT(INDIRECT("tblScalesMeasures_Selected[Table]"),"[","ProductId","]")),MATCH(tblProductScalesMeasures[[#This Row],[ID]],INDIRECT(_xlfn.CONCAT(INDIRECT("tblScalesMeasures_Selected[Table]"),"[","ID","]")),0))</f>
        <v>734</v>
      </c>
      <c r="D57" s="30">
        <f ca="1">INDEX(INDIRECT(_xlfn.CONCAT(INDIRECT("tblScalesMeasures_Selected[Table]"),"[","OutputId","]")),MATCH(tblProductScalesMeasures[[#This Row],[ID]],INDIRECT(_xlfn.CONCAT(INDIRECT("tblScalesMeasures_Selected[Table]"),"[","ID","]")),0))</f>
        <v>2</v>
      </c>
      <c r="E57" s="76" t="str">
        <f ca="1">INDEX(INDIRECT(_xlfn.CONCAT(INDIRECT("tblScalesMeasures_Selected[Table]"),"[","Alias","]")),MATCH(tblProductScalesMeasures[[#This Row],[ID]],INDIRECT(_xlfn.CONCAT(INDIRECT("tblScalesMeasures_Selected[Table]"),"[","ID","]")),0))</f>
        <v>L1</v>
      </c>
      <c r="F57" s="76" t="str">
        <f ca="1">INDEX(INDIRECT(_xlfn.CONCAT(INDIRECT("tblScalesMeasures_Selected[Table]"),"[","Parameter","]")),MATCH(tblProductScalesMeasures[[#This Row],[ID]],INDIRECT(_xlfn.CONCAT(INDIRECT("tblScalesMeasures_Selected[Table]"),"[","ID","]")),0))</f>
        <v>Wobble Amplitude @ 3000V Ampli</v>
      </c>
      <c r="G57" s="76" t="str">
        <f ca="1">INDEX(INDIRECT(_xlfn.CONCAT(INDIRECT("tblScalesMeasures_Selected[Table]"),"[","Unit","]")),MATCH(tblProductScalesMeasures[[#This Row],[ID]],INDIRECT(_xlfn.CONCAT(INDIRECT("tblScalesMeasures_Selected[Table]"),"[","ID","]")),0))</f>
        <v>V</v>
      </c>
      <c r="H57" s="77" t="str">
        <f ca="1">INDEX(INDIRECT(_xlfn.CONCAT(INDIRECT("tblScalesMeasures_Selected[Table]"),"[","Description","]")),MATCH(tblProductScalesMeasures[[#This Row],[ID]],INDIRECT(_xlfn.CONCAT(INDIRECT("tblScalesMeasures_Selected[Table]"),"[","ID","]")),0))</f>
        <v>L1 Wobble Amplitude @ 3000V Ampli (V)</v>
      </c>
      <c r="I57" s="76">
        <f ca="1">INDEX(INDIRECT(_xlfn.CONCAT(INDIRECT("tblScalesMeasures_Selected[Table]"),"[","Min","]")),MATCH(tblProductScalesMeasures[[#This Row],[ID]],INDIRECT(_xlfn.CONCAT(INDIRECT("tblScalesMeasures_Selected[Table]"),"[","ID","]")),0))</f>
        <v>2300</v>
      </c>
      <c r="J57" s="76">
        <f ca="1">INDEX(INDIRECT(_xlfn.CONCAT(INDIRECT("tblScalesMeasures_Selected[Table]"),"[","Max","]")),MATCH(tblProductScalesMeasures[[#This Row],[ID]],INDIRECT(_xlfn.CONCAT(INDIRECT("tblScalesMeasures_Selected[Table]"),"[","ID","]")),0))</f>
        <v>2700</v>
      </c>
      <c r="K57" s="76" t="str">
        <f ca="1">INDEX(INDIRECT(_xlfn.CONCAT(INDIRECT("tblScalesMeasures_Selected[Table]"),"[","Nominal","]")),MATCH(tblProductScalesMeasures[[#This Row],[ID]],INDIRECT(_xlfn.CONCAT(INDIRECT("tblScalesMeasures_Selected[Table]"),"[","ID","]")),0))</f>
        <v>-</v>
      </c>
      <c r="L57" s="76" t="str">
        <f ca="1">INDEX(INDIRECT(_xlfn.CONCAT(INDIRECT("tblScalesMeasures_Selected[Table]"),"[","Value","]")),MATCH(tblProductScalesMeasures[[#This Row],[ID]],INDIRECT(_xlfn.CONCAT(INDIRECT("tblScalesMeasures_Selected[Table]"),"[","ID","]")),0))</f>
        <v>N</v>
      </c>
      <c r="N57" s="69" t="s">
        <v>38</v>
      </c>
      <c r="O57" s="70" t="s">
        <v>106</v>
      </c>
      <c r="P57" s="70" t="s">
        <v>113</v>
      </c>
      <c r="Q57" s="71" t="s">
        <v>114</v>
      </c>
      <c r="S57" s="187">
        <v>6</v>
      </c>
      <c r="T57" s="26">
        <v>734</v>
      </c>
      <c r="U57" s="25">
        <v>2</v>
      </c>
      <c r="V57" s="175" t="str">
        <f ca="1">INDEX(INDIRECT(_xlfn.CONCAT("tblOutputs_",tblScalesMeasures_734[[#This Row],[ProductId]],"[Alias]")),MATCH(tblScalesMeasures_734[[#This Row],[OutputId]],INDIRECT(_xlfn.CONCAT("tblOutputs_",tblScalesMeasures_734[[#This Row],[ProductId]],"[ID]")),0))</f>
        <v>L1</v>
      </c>
      <c r="W57" t="s">
        <v>322</v>
      </c>
      <c r="X57" t="s">
        <v>71</v>
      </c>
      <c r="Y57" s="43" t="str">
        <f ca="1">_xlfn.CONCAT(tblScalesMeasures_734[[#This Row],[Alias]], " ", tblScalesMeasures_734[[#This Row],[Parameter]], " ","(",tblScalesMeasures_734[[#This Row],[Unit]],")")</f>
        <v>L1 Wobble Amplitude @ 3000V Ampli (V)</v>
      </c>
      <c r="Z57">
        <v>2300</v>
      </c>
      <c r="AA57">
        <v>2700</v>
      </c>
      <c r="AB57" t="s">
        <v>63</v>
      </c>
      <c r="AC57" s="175" t="s">
        <v>184</v>
      </c>
    </row>
    <row r="58" spans="2:29">
      <c r="B58" s="23">
        <v>7</v>
      </c>
      <c r="C58" s="23">
        <f ca="1">INDEX(INDIRECT(_xlfn.CONCAT(INDIRECT("tblScalesMeasures_Selected[Table]"),"[","ProductId","]")),MATCH(tblProductScalesMeasures[[#This Row],[ID]],INDIRECT(_xlfn.CONCAT(INDIRECT("tblScalesMeasures_Selected[Table]"),"[","ID","]")),0))</f>
        <v>734</v>
      </c>
      <c r="D58" s="30">
        <f ca="1">INDEX(INDIRECT(_xlfn.CONCAT(INDIRECT("tblScalesMeasures_Selected[Table]"),"[","OutputId","]")),MATCH(tblProductScalesMeasures[[#This Row],[ID]],INDIRECT(_xlfn.CONCAT(INDIRECT("tblScalesMeasures_Selected[Table]"),"[","ID","]")),0))</f>
        <v>2</v>
      </c>
      <c r="E58" s="76" t="str">
        <f ca="1">INDEX(INDIRECT(_xlfn.CONCAT(INDIRECT("tblScalesMeasures_Selected[Table]"),"[","Alias","]")),MATCH(tblProductScalesMeasures[[#This Row],[ID]],INDIRECT(_xlfn.CONCAT(INDIRECT("tblScalesMeasures_Selected[Table]"),"[","ID","]")),0))</f>
        <v>L1</v>
      </c>
      <c r="F58" s="76" t="str">
        <f ca="1">INDEX(INDIRECT(_xlfn.CONCAT(INDIRECT("tblScalesMeasures_Selected[Table]"),"[","Parameter","]")),MATCH(tblProductScalesMeasures[[#This Row],[ID]],INDIRECT(_xlfn.CONCAT(INDIRECT("tblScalesMeasures_Selected[Table]"),"[","ID","]")),0))</f>
        <v>Wobble Frequency 0.25Hz</v>
      </c>
      <c r="G58" s="76" t="str">
        <f ca="1">INDEX(INDIRECT(_xlfn.CONCAT(INDIRECT("tblScalesMeasures_Selected[Table]"),"[","Unit","]")),MATCH(tblProductScalesMeasures[[#This Row],[ID]],INDIRECT(_xlfn.CONCAT(INDIRECT("tblScalesMeasures_Selected[Table]"),"[","ID","]")),0))</f>
        <v>Hz</v>
      </c>
      <c r="H58" s="77" t="str">
        <f ca="1">INDEX(INDIRECT(_xlfn.CONCAT(INDIRECT("tblScalesMeasures_Selected[Table]"),"[","Description","]")),MATCH(tblProductScalesMeasures[[#This Row],[ID]],INDIRECT(_xlfn.CONCAT(INDIRECT("tblScalesMeasures_Selected[Table]"),"[","ID","]")),0))</f>
        <v>L1 Wobble Frequency 0.25Hz (Hz)</v>
      </c>
      <c r="I58" s="76">
        <f ca="1">INDEX(INDIRECT(_xlfn.CONCAT(INDIRECT("tblScalesMeasures_Selected[Table]"),"[","Min","]")),MATCH(tblProductScalesMeasures[[#This Row],[ID]],INDIRECT(_xlfn.CONCAT(INDIRECT("tblScalesMeasures_Selected[Table]"),"[","ID","]")),0))</f>
        <v>0.2</v>
      </c>
      <c r="J58" s="76">
        <f ca="1">INDEX(INDIRECT(_xlfn.CONCAT(INDIRECT("tblScalesMeasures_Selected[Table]"),"[","Max","]")),MATCH(tblProductScalesMeasures[[#This Row],[ID]],INDIRECT(_xlfn.CONCAT(INDIRECT("tblScalesMeasures_Selected[Table]"),"[","ID","]")),0))</f>
        <v>0.3</v>
      </c>
      <c r="K58" s="76" t="str">
        <f ca="1">INDEX(INDIRECT(_xlfn.CONCAT(INDIRECT("tblScalesMeasures_Selected[Table]"),"[","Nominal","]")),MATCH(tblProductScalesMeasures[[#This Row],[ID]],INDIRECT(_xlfn.CONCAT(INDIRECT("tblScalesMeasures_Selected[Table]"),"[","ID","]")),0))</f>
        <v>-</v>
      </c>
      <c r="L58" s="76" t="str">
        <f ca="1">INDEX(INDIRECT(_xlfn.CONCAT(INDIRECT("tblScalesMeasures_Selected[Table]"),"[","Value","]")),MATCH(tblProductScalesMeasures[[#This Row],[ID]],INDIRECT(_xlfn.CONCAT(INDIRECT("tblScalesMeasures_Selected[Table]"),"[","ID","]")),0))</f>
        <v>N</v>
      </c>
      <c r="N58" s="26">
        <v>1</v>
      </c>
      <c r="O58" s="26" t="str">
        <f>INDEX(tblUnitTypes[ProductId],MATCH(tblScalesMeasures_Index[[#This Row],[ID]],tblUnitTypes[Index],0))</f>
        <v>734</v>
      </c>
      <c r="P58" s="11" t="s">
        <v>122</v>
      </c>
      <c r="Q58" t="str">
        <f>_xlfn.CONCAT("tbl",tblScalesMeasures_Index[[#This Row],[Section]],"_",tblScalesMeasures_Index[[#This Row],[ProductId]])</f>
        <v>tblScalesMeasures_734</v>
      </c>
      <c r="S58" s="187">
        <v>7</v>
      </c>
      <c r="T58" s="26">
        <v>734</v>
      </c>
      <c r="U58" s="25">
        <v>2</v>
      </c>
      <c r="V58" s="175" t="str">
        <f ca="1">INDEX(INDIRECT(_xlfn.CONCAT("tblOutputs_",tblScalesMeasures_734[[#This Row],[ProductId]],"[Alias]")),MATCH(tblScalesMeasures_734[[#This Row],[OutputId]],INDIRECT(_xlfn.CONCAT("tblOutputs_",tblScalesMeasures_734[[#This Row],[ProductId]],"[ID]")),0))</f>
        <v>L1</v>
      </c>
      <c r="W58" t="s">
        <v>297</v>
      </c>
      <c r="X58" t="s">
        <v>227</v>
      </c>
      <c r="Y58" s="43" t="str">
        <f ca="1">_xlfn.CONCAT(tblScalesMeasures_734[[#This Row],[Alias]], " ", tblScalesMeasures_734[[#This Row],[Parameter]], " ","(",tblScalesMeasures_734[[#This Row],[Unit]],")")</f>
        <v>L1 Wobble Frequency 0.25Hz (Hz)</v>
      </c>
      <c r="Z58">
        <v>0.2</v>
      </c>
      <c r="AA58">
        <v>0.3</v>
      </c>
      <c r="AB58" t="s">
        <v>63</v>
      </c>
      <c r="AC58" s="175" t="s">
        <v>184</v>
      </c>
    </row>
    <row r="59" spans="2:29">
      <c r="B59" s="23">
        <v>8</v>
      </c>
      <c r="C59" s="23">
        <f ca="1">INDEX(INDIRECT(_xlfn.CONCAT(INDIRECT("tblScalesMeasures_Selected[Table]"),"[","ProductId","]")),MATCH(tblProductScalesMeasures[[#This Row],[ID]],INDIRECT(_xlfn.CONCAT(INDIRECT("tblScalesMeasures_Selected[Table]"),"[","ID","]")),0))</f>
        <v>734</v>
      </c>
      <c r="D59" s="30">
        <f ca="1">INDEX(INDIRECT(_xlfn.CONCAT(INDIRECT("tblScalesMeasures_Selected[Table]"),"[","OutputId","]")),MATCH(tblProductScalesMeasures[[#This Row],[ID]],INDIRECT(_xlfn.CONCAT(INDIRECT("tblScalesMeasures_Selected[Table]"),"[","ID","]")),0))</f>
        <v>2</v>
      </c>
      <c r="E59" s="76" t="str">
        <f ca="1">INDEX(INDIRECT(_xlfn.CONCAT(INDIRECT("tblScalesMeasures_Selected[Table]"),"[","Alias","]")),MATCH(tblProductScalesMeasures[[#This Row],[ID]],INDIRECT(_xlfn.CONCAT(INDIRECT("tblScalesMeasures_Selected[Table]"),"[","ID","]")),0))</f>
        <v>L1</v>
      </c>
      <c r="F59" s="76" t="str">
        <f ca="1">INDEX(INDIRECT(_xlfn.CONCAT(INDIRECT("tblScalesMeasures_Selected[Table]"),"[","Parameter","]")),MATCH(tblProductScalesMeasures[[#This Row],[ID]],INDIRECT(_xlfn.CONCAT(INDIRECT("tblScalesMeasures_Selected[Table]"),"[","ID","]")),0))</f>
        <v>Wobble Amplitude @ 500V Ampli</v>
      </c>
      <c r="G59" s="76" t="str">
        <f ca="1">INDEX(INDIRECT(_xlfn.CONCAT(INDIRECT("tblScalesMeasures_Selected[Table]"),"[","Unit","]")),MATCH(tblProductScalesMeasures[[#This Row],[ID]],INDIRECT(_xlfn.CONCAT(INDIRECT("tblScalesMeasures_Selected[Table]"),"[","ID","]")),0))</f>
        <v>V</v>
      </c>
      <c r="H59" s="77" t="str">
        <f ca="1">INDEX(INDIRECT(_xlfn.CONCAT(INDIRECT("tblScalesMeasures_Selected[Table]"),"[","Description","]")),MATCH(tblProductScalesMeasures[[#This Row],[ID]],INDIRECT(_xlfn.CONCAT(INDIRECT("tblScalesMeasures_Selected[Table]"),"[","ID","]")),0))</f>
        <v>L1 Wobble Amplitude @ 500V Ampli (V)</v>
      </c>
      <c r="I59" s="76">
        <f ca="1">INDEX(INDIRECT(_xlfn.CONCAT(INDIRECT("tblScalesMeasures_Selected[Table]"),"[","Min","]")),MATCH(tblProductScalesMeasures[[#This Row],[ID]],INDIRECT(_xlfn.CONCAT(INDIRECT("tblScalesMeasures_Selected[Table]"),"[","ID","]")),0))</f>
        <v>450</v>
      </c>
      <c r="J59" s="76">
        <f ca="1">INDEX(INDIRECT(_xlfn.CONCAT(INDIRECT("tblScalesMeasures_Selected[Table]"),"[","Max","]")),MATCH(tblProductScalesMeasures[[#This Row],[ID]],INDIRECT(_xlfn.CONCAT(INDIRECT("tblScalesMeasures_Selected[Table]"),"[","ID","]")),0))</f>
        <v>550</v>
      </c>
      <c r="K59" s="76" t="str">
        <f ca="1">INDEX(INDIRECT(_xlfn.CONCAT(INDIRECT("tblScalesMeasures_Selected[Table]"),"[","Nominal","]")),MATCH(tblProductScalesMeasures[[#This Row],[ID]],INDIRECT(_xlfn.CONCAT(INDIRECT("tblScalesMeasures_Selected[Table]"),"[","ID","]")),0))</f>
        <v>-</v>
      </c>
      <c r="L59" s="76" t="str">
        <f ca="1">INDEX(INDIRECT(_xlfn.CONCAT(INDIRECT("tblScalesMeasures_Selected[Table]"),"[","Value","]")),MATCH(tblProductScalesMeasures[[#This Row],[ID]],INDIRECT(_xlfn.CONCAT(INDIRECT("tblScalesMeasures_Selected[Table]"),"[","ID","]")),0))</f>
        <v>N</v>
      </c>
      <c r="O59"/>
      <c r="P59" s="11"/>
      <c r="S59" s="187">
        <v>8</v>
      </c>
      <c r="T59" s="184">
        <v>734</v>
      </c>
      <c r="U59" s="181">
        <v>2</v>
      </c>
      <c r="V59" s="175" t="str">
        <f ca="1">INDEX(INDIRECT(_xlfn.CONCAT("tblOutputs_",tblScalesMeasures_734[[#This Row],[ProductId]],"[Alias]")),MATCH(tblScalesMeasures_734[[#This Row],[OutputId]],INDIRECT(_xlfn.CONCAT("tblOutputs_",tblScalesMeasures_734[[#This Row],[ProductId]],"[ID]")),0))</f>
        <v>L1</v>
      </c>
      <c r="W59" s="175" t="s">
        <v>323</v>
      </c>
      <c r="X59" s="175" t="s">
        <v>71</v>
      </c>
      <c r="Y59" s="175" t="str">
        <f ca="1">_xlfn.CONCAT(tblScalesMeasures_734[[#This Row],[Alias]], " ", tblScalesMeasures_734[[#This Row],[Parameter]], " ","(",tblScalesMeasures_734[[#This Row],[Unit]],")")</f>
        <v>L1 Wobble Amplitude @ 500V Ampli (V)</v>
      </c>
      <c r="Z59" s="175">
        <v>450</v>
      </c>
      <c r="AA59" s="175">
        <v>550</v>
      </c>
      <c r="AB59" s="175" t="s">
        <v>63</v>
      </c>
      <c r="AC59" s="175" t="s">
        <v>184</v>
      </c>
    </row>
    <row r="60" spans="2:29">
      <c r="B60" s="23">
        <v>9</v>
      </c>
      <c r="C60" s="23">
        <f ca="1">INDEX(INDIRECT(_xlfn.CONCAT(INDIRECT("tblScalesMeasures_Selected[Table]"),"[","ProductId","]")),MATCH(tblProductScalesMeasures[[#This Row],[ID]],INDIRECT(_xlfn.CONCAT(INDIRECT("tblScalesMeasures_Selected[Table]"),"[","ID","]")),0))</f>
        <v>734</v>
      </c>
      <c r="D60" s="30">
        <f ca="1">INDEX(INDIRECT(_xlfn.CONCAT(INDIRECT("tblScalesMeasures_Selected[Table]"),"[","OutputId","]")),MATCH(tblProductScalesMeasures[[#This Row],[ID]],INDIRECT(_xlfn.CONCAT(INDIRECT("tblScalesMeasures_Selected[Table]"),"[","ID","]")),0))</f>
        <v>2</v>
      </c>
      <c r="E60" s="76" t="str">
        <f ca="1">INDEX(INDIRECT(_xlfn.CONCAT(INDIRECT("tblScalesMeasures_Selected[Table]"),"[","Alias","]")),MATCH(tblProductScalesMeasures[[#This Row],[ID]],INDIRECT(_xlfn.CONCAT(INDIRECT("tblScalesMeasures_Selected[Table]"),"[","ID","]")),0))</f>
        <v>L1</v>
      </c>
      <c r="F60" s="76" t="str">
        <f ca="1">INDEX(INDIRECT(_xlfn.CONCAT(INDIRECT("tblScalesMeasures_Selected[Table]"),"[","Parameter","]")),MATCH(tblProductScalesMeasures[[#This Row],[ID]],INDIRECT(_xlfn.CONCAT(INDIRECT("tblScalesMeasures_Selected[Table]"),"[","ID","]")),0))</f>
        <v>Wobble Frequency 1Hz</v>
      </c>
      <c r="G60" s="76" t="str">
        <f ca="1">INDEX(INDIRECT(_xlfn.CONCAT(INDIRECT("tblScalesMeasures_Selected[Table]"),"[","Unit","]")),MATCH(tblProductScalesMeasures[[#This Row],[ID]],INDIRECT(_xlfn.CONCAT(INDIRECT("tblScalesMeasures_Selected[Table]"),"[","ID","]")),0))</f>
        <v>Hz</v>
      </c>
      <c r="H60" s="77" t="str">
        <f ca="1">INDEX(INDIRECT(_xlfn.CONCAT(INDIRECT("tblScalesMeasures_Selected[Table]"),"[","Description","]")),MATCH(tblProductScalesMeasures[[#This Row],[ID]],INDIRECT(_xlfn.CONCAT(INDIRECT("tblScalesMeasures_Selected[Table]"),"[","ID","]")),0))</f>
        <v>L1 Wobble Frequency 1Hz (Hz)</v>
      </c>
      <c r="I60" s="76">
        <f ca="1">INDEX(INDIRECT(_xlfn.CONCAT(INDIRECT("tblScalesMeasures_Selected[Table]"),"[","Min","]")),MATCH(tblProductScalesMeasures[[#This Row],[ID]],INDIRECT(_xlfn.CONCAT(INDIRECT("tblScalesMeasures_Selected[Table]"),"[","ID","]")),0))</f>
        <v>0.9</v>
      </c>
      <c r="J60" s="76">
        <f ca="1">INDEX(INDIRECT(_xlfn.CONCAT(INDIRECT("tblScalesMeasures_Selected[Table]"),"[","Max","]")),MATCH(tblProductScalesMeasures[[#This Row],[ID]],INDIRECT(_xlfn.CONCAT(INDIRECT("tblScalesMeasures_Selected[Table]"),"[","ID","]")),0))</f>
        <v>1.1000000000000001</v>
      </c>
      <c r="K60" s="76" t="str">
        <f ca="1">INDEX(INDIRECT(_xlfn.CONCAT(INDIRECT("tblScalesMeasures_Selected[Table]"),"[","Nominal","]")),MATCH(tblProductScalesMeasures[[#This Row],[ID]],INDIRECT(_xlfn.CONCAT(INDIRECT("tblScalesMeasures_Selected[Table]"),"[","ID","]")),0))</f>
        <v>-</v>
      </c>
      <c r="L60" s="76" t="str">
        <f ca="1">INDEX(INDIRECT(_xlfn.CONCAT(INDIRECT("tblScalesMeasures_Selected[Table]"),"[","Value","]")),MATCH(tblProductScalesMeasures[[#This Row],[ID]],INDIRECT(_xlfn.CONCAT(INDIRECT("tblScalesMeasures_Selected[Table]"),"[","ID","]")),0))</f>
        <v>N</v>
      </c>
      <c r="O60"/>
      <c r="P60" s="11"/>
      <c r="S60" s="187">
        <v>9</v>
      </c>
      <c r="T60" s="184">
        <v>734</v>
      </c>
      <c r="U60" s="181">
        <v>2</v>
      </c>
      <c r="V60" s="175" t="str">
        <f ca="1">INDEX(INDIRECT(_xlfn.CONCAT("tblOutputs_",tblScalesMeasures_734[[#This Row],[ProductId]],"[Alias]")),MATCH(tblScalesMeasures_734[[#This Row],[OutputId]],INDIRECT(_xlfn.CONCAT("tblOutputs_",tblScalesMeasures_734[[#This Row],[ProductId]],"[ID]")),0))</f>
        <v>L1</v>
      </c>
      <c r="W60" s="175" t="s">
        <v>298</v>
      </c>
      <c r="X60" s="175" t="s">
        <v>227</v>
      </c>
      <c r="Y60" s="175" t="str">
        <f ca="1">_xlfn.CONCAT(tblScalesMeasures_734[[#This Row],[Alias]], " ", tblScalesMeasures_734[[#This Row],[Parameter]], " ","(",tblScalesMeasures_734[[#This Row],[Unit]],")")</f>
        <v>L1 Wobble Frequency 1Hz (Hz)</v>
      </c>
      <c r="Z60" s="175">
        <v>0.9</v>
      </c>
      <c r="AA60" s="175">
        <v>1.1000000000000001</v>
      </c>
      <c r="AB60" s="175" t="s">
        <v>63</v>
      </c>
      <c r="AC60" s="175" t="s">
        <v>184</v>
      </c>
    </row>
    <row r="61" spans="2:29">
      <c r="B61" s="23">
        <v>10</v>
      </c>
      <c r="C61" s="23">
        <f ca="1">INDEX(INDIRECT(_xlfn.CONCAT(INDIRECT("tblScalesMeasures_Selected[Table]"),"[","ProductId","]")),MATCH(tblProductScalesMeasures[[#This Row],[ID]],INDIRECT(_xlfn.CONCAT(INDIRECT("tblScalesMeasures_Selected[Table]"),"[","ID","]")),0))</f>
        <v>734</v>
      </c>
      <c r="D61" s="30">
        <f ca="1">INDEX(INDIRECT(_xlfn.CONCAT(INDIRECT("tblScalesMeasures_Selected[Table]"),"[","OutputId","]")),MATCH(tblProductScalesMeasures[[#This Row],[ID]],INDIRECT(_xlfn.CONCAT(INDIRECT("tblScalesMeasures_Selected[Table]"),"[","ID","]")),0))</f>
        <v>2</v>
      </c>
      <c r="E61" s="76" t="str">
        <f ca="1">INDEX(INDIRECT(_xlfn.CONCAT(INDIRECT("tblScalesMeasures_Selected[Table]"),"[","Alias","]")),MATCH(tblProductScalesMeasures[[#This Row],[ID]],INDIRECT(_xlfn.CONCAT(INDIRECT("tblScalesMeasures_Selected[Table]"),"[","ID","]")),0))</f>
        <v>L1</v>
      </c>
      <c r="F61" s="76" t="str">
        <f ca="1">INDEX(INDIRECT(_xlfn.CONCAT(INDIRECT("tblScalesMeasures_Selected[Table]"),"[","Parameter","]")),MATCH(tblProductScalesMeasures[[#This Row],[ID]],INDIRECT(_xlfn.CONCAT(INDIRECT("tblScalesMeasures_Selected[Table]"),"[","ID","]")),0))</f>
        <v>Current Limit</v>
      </c>
      <c r="G61" s="76" t="str">
        <f ca="1">INDEX(INDIRECT(_xlfn.CONCAT(INDIRECT("tblScalesMeasures_Selected[Table]"),"[","Unit","]")),MATCH(tblProductScalesMeasures[[#This Row],[ID]],INDIRECT(_xlfn.CONCAT(INDIRECT("tblScalesMeasures_Selected[Table]"),"[","ID","]")),0))</f>
        <v>uA</v>
      </c>
      <c r="H61" s="77" t="str">
        <f ca="1">INDEX(INDIRECT(_xlfn.CONCAT(INDIRECT("tblScalesMeasures_Selected[Table]"),"[","Description","]")),MATCH(tblProductScalesMeasures[[#This Row],[ID]],INDIRECT(_xlfn.CONCAT(INDIRECT("tblScalesMeasures_Selected[Table]"),"[","ID","]")),0))</f>
        <v>L1 Current Limit (uA)</v>
      </c>
      <c r="I61" s="76">
        <f ca="1">INDEX(INDIRECT(_xlfn.CONCAT(INDIRECT("tblScalesMeasures_Selected[Table]"),"[","Min","]")),MATCH(tblProductScalesMeasures[[#This Row],[ID]],INDIRECT(_xlfn.CONCAT(INDIRECT("tblScalesMeasures_Selected[Table]"),"[","ID","]")),0))</f>
        <v>30</v>
      </c>
      <c r="J61" s="76">
        <f ca="1">INDEX(INDIRECT(_xlfn.CONCAT(INDIRECT("tblScalesMeasures_Selected[Table]"),"[","Max","]")),MATCH(tblProductScalesMeasures[[#This Row],[ID]],INDIRECT(_xlfn.CONCAT(INDIRECT("tblScalesMeasures_Selected[Table]"),"[","ID","]")),0))</f>
        <v>33</v>
      </c>
      <c r="K61" s="76" t="str">
        <f ca="1">INDEX(INDIRECT(_xlfn.CONCAT(INDIRECT("tblScalesMeasures_Selected[Table]"),"[","Nominal","]")),MATCH(tblProductScalesMeasures[[#This Row],[ID]],INDIRECT(_xlfn.CONCAT(INDIRECT("tblScalesMeasures_Selected[Table]"),"[","ID","]")),0))</f>
        <v>-</v>
      </c>
      <c r="L61" s="76" t="str">
        <f ca="1">INDEX(INDIRECT(_xlfn.CONCAT(INDIRECT("tblScalesMeasures_Selected[Table]"),"[","Value","]")),MATCH(tblProductScalesMeasures[[#This Row],[ID]],INDIRECT(_xlfn.CONCAT(INDIRECT("tblScalesMeasures_Selected[Table]"),"[","ID","]")),0))</f>
        <v>N</v>
      </c>
      <c r="O61"/>
      <c r="P61" s="11"/>
      <c r="S61" s="187">
        <v>10</v>
      </c>
      <c r="T61" s="26">
        <v>734</v>
      </c>
      <c r="U61" s="25">
        <v>2</v>
      </c>
      <c r="V61" s="175" t="str">
        <f ca="1">INDEX(INDIRECT(_xlfn.CONCAT("tblOutputs_",tblScalesMeasures_734[[#This Row],[ProductId]],"[Alias]")),MATCH(tblScalesMeasures_734[[#This Row],[OutputId]],INDIRECT(_xlfn.CONCAT("tblOutputs_",tblScalesMeasures_734[[#This Row],[ProductId]],"[ID]")),0))</f>
        <v>L1</v>
      </c>
      <c r="W61" t="s">
        <v>274</v>
      </c>
      <c r="X61" t="s">
        <v>124</v>
      </c>
      <c r="Y61" s="43" t="str">
        <f ca="1">_xlfn.CONCAT(tblScalesMeasures_734[[#This Row],[Alias]], " ", tblScalesMeasures_734[[#This Row],[Parameter]], " ","(",tblScalesMeasures_734[[#This Row],[Unit]],")")</f>
        <v>L1 Current Limit (uA)</v>
      </c>
      <c r="Z61">
        <v>30</v>
      </c>
      <c r="AA61">
        <v>33</v>
      </c>
      <c r="AB61" t="s">
        <v>63</v>
      </c>
      <c r="AC61" s="175" t="s">
        <v>184</v>
      </c>
    </row>
    <row r="62" spans="2:29">
      <c r="B62" s="23">
        <v>11</v>
      </c>
      <c r="C62" s="23">
        <f ca="1">INDEX(INDIRECT(_xlfn.CONCAT(INDIRECT("tblScalesMeasures_Selected[Table]"),"[","ProductId","]")),MATCH(tblProductScalesMeasures[[#This Row],[ID]],INDIRECT(_xlfn.CONCAT(INDIRECT("tblScalesMeasures_Selected[Table]"),"[","ID","]")),0))</f>
        <v>734</v>
      </c>
      <c r="D62" s="30">
        <f ca="1">INDEX(INDIRECT(_xlfn.CONCAT(INDIRECT("tblScalesMeasures_Selected[Table]"),"[","OutputId","]")),MATCH(tblProductScalesMeasures[[#This Row],[ID]],INDIRECT(_xlfn.CONCAT(INDIRECT("tblScalesMeasures_Selected[Table]"),"[","ID","]")),0))</f>
        <v>2</v>
      </c>
      <c r="E62" s="76" t="str">
        <f ca="1">INDEX(INDIRECT(_xlfn.CONCAT(INDIRECT("tblScalesMeasures_Selected[Table]"),"[","Alias","]")),MATCH(tblProductScalesMeasures[[#This Row],[ID]],INDIRECT(_xlfn.CONCAT(INDIRECT("tblScalesMeasures_Selected[Table]"),"[","ID","]")),0))</f>
        <v>L1</v>
      </c>
      <c r="F62" s="76" t="str">
        <f ca="1">INDEX(INDIRECT(_xlfn.CONCAT(INDIRECT("tblScalesMeasures_Selected[Table]"),"[","Parameter","]")),MATCH(tblProductScalesMeasures[[#This Row],[ID]],INDIRECT(_xlfn.CONCAT(INDIRECT("tblScalesMeasures_Selected[Table]"),"[","ID","]")),0))</f>
        <v>Output Current @ 28uA</v>
      </c>
      <c r="G62" s="76" t="str">
        <f ca="1">INDEX(INDIRECT(_xlfn.CONCAT(INDIRECT("tblScalesMeasures_Selected[Table]"),"[","Unit","]")),MATCH(tblProductScalesMeasures[[#This Row],[ID]],INDIRECT(_xlfn.CONCAT(INDIRECT("tblScalesMeasures_Selected[Table]"),"[","ID","]")),0))</f>
        <v>uA</v>
      </c>
      <c r="H62" s="77" t="str">
        <f ca="1">INDEX(INDIRECT(_xlfn.CONCAT(INDIRECT("tblScalesMeasures_Selected[Table]"),"[","Description","]")),MATCH(tblProductScalesMeasures[[#This Row],[ID]],INDIRECT(_xlfn.CONCAT(INDIRECT("tblScalesMeasures_Selected[Table]"),"[","ID","]")),0))</f>
        <v>L1 Output Current @ 28uA (uA)</v>
      </c>
      <c r="I62" s="76">
        <f ca="1">INDEX(INDIRECT(_xlfn.CONCAT(INDIRECT("tblScalesMeasures_Selected[Table]"),"[","Min","]")),MATCH(tblProductScalesMeasures[[#This Row],[ID]],INDIRECT(_xlfn.CONCAT(INDIRECT("tblScalesMeasures_Selected[Table]"),"[","ID","]")),0))</f>
        <v>25.5</v>
      </c>
      <c r="J62" s="76">
        <f ca="1">INDEX(INDIRECT(_xlfn.CONCAT(INDIRECT("tblScalesMeasures_Selected[Table]"),"[","Max","]")),MATCH(tblProductScalesMeasures[[#This Row],[ID]],INDIRECT(_xlfn.CONCAT(INDIRECT("tblScalesMeasures_Selected[Table]"),"[","ID","]")),0))</f>
        <v>29.5</v>
      </c>
      <c r="K62" s="76" t="str">
        <f ca="1">INDEX(INDIRECT(_xlfn.CONCAT(INDIRECT("tblScalesMeasures_Selected[Table]"),"[","Nominal","]")),MATCH(tblProductScalesMeasures[[#This Row],[ID]],INDIRECT(_xlfn.CONCAT(INDIRECT("tblScalesMeasures_Selected[Table]"),"[","ID","]")),0))</f>
        <v>-</v>
      </c>
      <c r="L62" s="76" t="str">
        <f ca="1">INDEX(INDIRECT(_xlfn.CONCAT(INDIRECT("tblScalesMeasures_Selected[Table]"),"[","Value","]")),MATCH(tblProductScalesMeasures[[#This Row],[ID]],INDIRECT(_xlfn.CONCAT(INDIRECT("tblScalesMeasures_Selected[Table]"),"[","ID","]")),0))</f>
        <v>N</v>
      </c>
      <c r="O62"/>
      <c r="P62" s="11"/>
      <c r="S62" s="187">
        <v>11</v>
      </c>
      <c r="T62" s="26">
        <v>734</v>
      </c>
      <c r="U62" s="25">
        <v>2</v>
      </c>
      <c r="V62" s="175" t="str">
        <f ca="1">INDEX(INDIRECT(_xlfn.CONCAT("tblOutputs_",tblScalesMeasures_734[[#This Row],[ProductId]],"[Alias]")),MATCH(tblScalesMeasures_734[[#This Row],[OutputId]],INDIRECT(_xlfn.CONCAT("tblOutputs_",tblScalesMeasures_734[[#This Row],[ProductId]],"[ID]")),0))</f>
        <v>L1</v>
      </c>
      <c r="W62" t="s">
        <v>275</v>
      </c>
      <c r="X62" t="s">
        <v>124</v>
      </c>
      <c r="Y62" s="43" t="str">
        <f ca="1">_xlfn.CONCAT(tblScalesMeasures_734[[#This Row],[Alias]], " ", tblScalesMeasures_734[[#This Row],[Parameter]], " ","(",tblScalesMeasures_734[[#This Row],[Unit]],")")</f>
        <v>L1 Output Current @ 28uA (uA)</v>
      </c>
      <c r="Z62">
        <v>25.5</v>
      </c>
      <c r="AA62">
        <v>29.5</v>
      </c>
      <c r="AB62" t="s">
        <v>63</v>
      </c>
      <c r="AC62" s="175" t="s">
        <v>184</v>
      </c>
    </row>
    <row r="63" spans="2:29">
      <c r="B63" s="23">
        <v>12</v>
      </c>
      <c r="C63" s="23">
        <f ca="1">INDEX(INDIRECT(_xlfn.CONCAT(INDIRECT("tblScalesMeasures_Selected[Table]"),"[","ProductId","]")),MATCH(tblProductScalesMeasures[[#This Row],[ID]],INDIRECT(_xlfn.CONCAT(INDIRECT("tblScalesMeasures_Selected[Table]"),"[","ID","]")),0))</f>
        <v>734</v>
      </c>
      <c r="D63" s="30">
        <f ca="1">INDEX(INDIRECT(_xlfn.CONCAT(INDIRECT("tblScalesMeasures_Selected[Table]"),"[","OutputId","]")),MATCH(tblProductScalesMeasures[[#This Row],[ID]],INDIRECT(_xlfn.CONCAT(INDIRECT("tblScalesMeasures_Selected[Table]"),"[","ID","]")),0))</f>
        <v>2</v>
      </c>
      <c r="E63" s="76" t="str">
        <f ca="1">INDEX(INDIRECT(_xlfn.CONCAT(INDIRECT("tblScalesMeasures_Selected[Table]"),"[","Alias","]")),MATCH(tblProductScalesMeasures[[#This Row],[ID]],INDIRECT(_xlfn.CONCAT(INDIRECT("tblScalesMeasures_Selected[Table]"),"[","ID","]")),0))</f>
        <v>L1</v>
      </c>
      <c r="F63" s="76" t="str">
        <f ca="1">INDEX(INDIRECT(_xlfn.CONCAT(INDIRECT("tblScalesMeasures_Selected[Table]"),"[","Parameter","]")),MATCH(tblProductScalesMeasures[[#This Row],[ID]],INDIRECT(_xlfn.CONCAT(INDIRECT("tblScalesMeasures_Selected[Table]"),"[","ID","]")),0))</f>
        <v>Current Monitor @ -40kV</v>
      </c>
      <c r="G63" s="76" t="str">
        <f ca="1">INDEX(INDIRECT(_xlfn.CONCAT(INDIRECT("tblScalesMeasures_Selected[Table]"),"[","Unit","]")),MATCH(tblProductScalesMeasures[[#This Row],[ID]],INDIRECT(_xlfn.CONCAT(INDIRECT("tblScalesMeasures_Selected[Table]"),"[","ID","]")),0))</f>
        <v>uA</v>
      </c>
      <c r="H63" s="77" t="str">
        <f ca="1">INDEX(INDIRECT(_xlfn.CONCAT(INDIRECT("tblScalesMeasures_Selected[Table]"),"[","Description","]")),MATCH(tblProductScalesMeasures[[#This Row],[ID]],INDIRECT(_xlfn.CONCAT(INDIRECT("tblScalesMeasures_Selected[Table]"),"[","ID","]")),0))</f>
        <v>L1 Current Monitor @ -40kV (uA)</v>
      </c>
      <c r="I63" s="76">
        <f ca="1">INDEX(INDIRECT(_xlfn.CONCAT(INDIRECT("tblScalesMeasures_Selected[Table]"),"[","Min","]")),MATCH(tblProductScalesMeasures[[#This Row],[ID]],INDIRECT(_xlfn.CONCAT(INDIRECT("tblScalesMeasures_Selected[Table]"),"[","ID","]")),0))</f>
        <v>-1.5</v>
      </c>
      <c r="J63" s="76">
        <f ca="1">INDEX(INDIRECT(_xlfn.CONCAT(INDIRECT("tblScalesMeasures_Selected[Table]"),"[","Max","]")),MATCH(tblProductScalesMeasures[[#This Row],[ID]],INDIRECT(_xlfn.CONCAT(INDIRECT("tblScalesMeasures_Selected[Table]"),"[","ID","]")),0))</f>
        <v>1.5</v>
      </c>
      <c r="K63" s="76" t="str">
        <f ca="1">INDEX(INDIRECT(_xlfn.CONCAT(INDIRECT("tblScalesMeasures_Selected[Table]"),"[","Nominal","]")),MATCH(tblProductScalesMeasures[[#This Row],[ID]],INDIRECT(_xlfn.CONCAT(INDIRECT("tblScalesMeasures_Selected[Table]"),"[","ID","]")),0))</f>
        <v>-</v>
      </c>
      <c r="L63" s="76" t="str">
        <f ca="1">INDEX(INDIRECT(_xlfn.CONCAT(INDIRECT("tblScalesMeasures_Selected[Table]"),"[","Value","]")),MATCH(tblProductScalesMeasures[[#This Row],[ID]],INDIRECT(_xlfn.CONCAT(INDIRECT("tblScalesMeasures_Selected[Table]"),"[","ID","]")),0))</f>
        <v>N</v>
      </c>
      <c r="N63" s="43" t="s">
        <v>152</v>
      </c>
      <c r="O63" s="43"/>
      <c r="P63" s="43"/>
      <c r="Q63" s="43"/>
      <c r="S63" s="187">
        <v>12</v>
      </c>
      <c r="T63" s="184">
        <v>734</v>
      </c>
      <c r="U63" s="181">
        <v>2</v>
      </c>
      <c r="V63" s="175" t="str">
        <f ca="1">INDEX(INDIRECT(_xlfn.CONCAT("tblOutputs_",tblScalesMeasures_734[[#This Row],[ProductId]],"[Alias]")),MATCH(tblScalesMeasures_734[[#This Row],[OutputId]],INDIRECT(_xlfn.CONCAT("tblOutputs_",tblScalesMeasures_734[[#This Row],[ProductId]],"[ID]")),0))</f>
        <v>L1</v>
      </c>
      <c r="W63" s="175" t="s">
        <v>290</v>
      </c>
      <c r="X63" s="175" t="s">
        <v>124</v>
      </c>
      <c r="Y63" s="175" t="str">
        <f ca="1">_xlfn.CONCAT(tblScalesMeasures_734[[#This Row],[Alias]], " ", tblScalesMeasures_734[[#This Row],[Parameter]], " ","(",tblScalesMeasures_734[[#This Row],[Unit]],")")</f>
        <v>L1 Current Monitor @ -40kV (uA)</v>
      </c>
      <c r="Z63" s="175">
        <v>-1.5</v>
      </c>
      <c r="AA63" s="175">
        <v>1.5</v>
      </c>
      <c r="AB63" s="175" t="s">
        <v>63</v>
      </c>
      <c r="AC63" s="175" t="s">
        <v>184</v>
      </c>
    </row>
    <row r="64" spans="2:29">
      <c r="B64" s="23">
        <v>13</v>
      </c>
      <c r="C64" s="23">
        <f ca="1">INDEX(INDIRECT(_xlfn.CONCAT(INDIRECT("tblScalesMeasures_Selected[Table]"),"[","ProductId","]")),MATCH(tblProductScalesMeasures[[#This Row],[ID]],INDIRECT(_xlfn.CONCAT(INDIRECT("tblScalesMeasures_Selected[Table]"),"[","ID","]")),0))</f>
        <v>734</v>
      </c>
      <c r="D64" s="30">
        <f ca="1">INDEX(INDIRECT(_xlfn.CONCAT(INDIRECT("tblScalesMeasures_Selected[Table]"),"[","OutputId","]")),MATCH(tblProductScalesMeasures[[#This Row],[ID]],INDIRECT(_xlfn.CONCAT(INDIRECT("tblScalesMeasures_Selected[Table]"),"[","ID","]")),0))</f>
        <v>3</v>
      </c>
      <c r="E64" s="76" t="str">
        <f ca="1">INDEX(INDIRECT(_xlfn.CONCAT(INDIRECT("tblScalesMeasures_Selected[Table]"),"[","Alias","]")),MATCH(tblProductScalesMeasures[[#This Row],[ID]],INDIRECT(_xlfn.CONCAT(INDIRECT("tblScalesMeasures_Selected[Table]"),"[","ID","]")),0))</f>
        <v>L2</v>
      </c>
      <c r="F64" s="76" t="str">
        <f ca="1">INDEX(INDIRECT(_xlfn.CONCAT(INDIRECT("tblScalesMeasures_Selected[Table]"),"[","Parameter","]")),MATCH(tblProductScalesMeasures[[#This Row],[ID]],INDIRECT(_xlfn.CONCAT(INDIRECT("tblScalesMeasures_Selected[Table]"),"[","ID","]")),0))</f>
        <v>Vout minimum V</v>
      </c>
      <c r="G64" s="76" t="str">
        <f ca="1">INDEX(INDIRECT(_xlfn.CONCAT(INDIRECT("tblScalesMeasures_Selected[Table]"),"[","Unit","]")),MATCH(tblProductScalesMeasures[[#This Row],[ID]],INDIRECT(_xlfn.CONCAT(INDIRECT("tblScalesMeasures_Selected[Table]"),"[","ID","]")),0))</f>
        <v>V</v>
      </c>
      <c r="H64" s="77" t="str">
        <f ca="1">INDEX(INDIRECT(_xlfn.CONCAT(INDIRECT("tblScalesMeasures_Selected[Table]"),"[","Description","]")),MATCH(tblProductScalesMeasures[[#This Row],[ID]],INDIRECT(_xlfn.CONCAT(INDIRECT("tblScalesMeasures_Selected[Table]"),"[","ID","]")),0))</f>
        <v>L2 Vout minimum V (V)</v>
      </c>
      <c r="I64" s="76">
        <f ca="1">INDEX(INDIRECT(_xlfn.CONCAT(INDIRECT("tblScalesMeasures_Selected[Table]"),"[","Min","]")),MATCH(tblProductScalesMeasures[[#This Row],[ID]],INDIRECT(_xlfn.CONCAT(INDIRECT("tblScalesMeasures_Selected[Table]"),"[","ID","]")),0))</f>
        <v>-50</v>
      </c>
      <c r="J64" s="76">
        <f ca="1">INDEX(INDIRECT(_xlfn.CONCAT(INDIRECT("tblScalesMeasures_Selected[Table]"),"[","Max","]")),MATCH(tblProductScalesMeasures[[#This Row],[ID]],INDIRECT(_xlfn.CONCAT(INDIRECT("tblScalesMeasures_Selected[Table]"),"[","ID","]")),0))</f>
        <v>50</v>
      </c>
      <c r="K64" s="76" t="str">
        <f ca="1">INDEX(INDIRECT(_xlfn.CONCAT(INDIRECT("tblScalesMeasures_Selected[Table]"),"[","Nominal","]")),MATCH(tblProductScalesMeasures[[#This Row],[ID]],INDIRECT(_xlfn.CONCAT(INDIRECT("tblScalesMeasures_Selected[Table]"),"[","ID","]")),0))</f>
        <v>-</v>
      </c>
      <c r="L64" s="76" t="str">
        <f ca="1">INDEX(INDIRECT(_xlfn.CONCAT(INDIRECT("tblScalesMeasures_Selected[Table]"),"[","Value","]")),MATCH(tblProductScalesMeasures[[#This Row],[ID]],INDIRECT(_xlfn.CONCAT(INDIRECT("tblScalesMeasures_Selected[Table]"),"[","ID","]")),0))</f>
        <v>N</v>
      </c>
      <c r="N64" s="69" t="s">
        <v>38</v>
      </c>
      <c r="O64" s="70" t="s">
        <v>106</v>
      </c>
      <c r="P64" s="70" t="s">
        <v>113</v>
      </c>
      <c r="Q64" s="71" t="s">
        <v>114</v>
      </c>
      <c r="S64" s="187">
        <v>13</v>
      </c>
      <c r="T64" s="26">
        <v>734</v>
      </c>
      <c r="U64" s="25">
        <v>3</v>
      </c>
      <c r="V64" s="175" t="str">
        <f ca="1">INDEX(INDIRECT(_xlfn.CONCAT("tblOutputs_",tblScalesMeasures_734[[#This Row],[ProductId]],"[Alias]")),MATCH(tblScalesMeasures_734[[#This Row],[OutputId]],INDIRECT(_xlfn.CONCAT("tblOutputs_",tblScalesMeasures_734[[#This Row],[ProductId]],"[ID]")),0))</f>
        <v>L2</v>
      </c>
      <c r="W64" t="s">
        <v>283</v>
      </c>
      <c r="X64" t="s">
        <v>71</v>
      </c>
      <c r="Y64" s="76" t="str">
        <f ca="1">_xlfn.CONCAT(tblScalesMeasures_734[[#This Row],[Alias]], " ", tblScalesMeasures_734[[#This Row],[Parameter]], " ","(",tblScalesMeasures_734[[#This Row],[Unit]],")")</f>
        <v>L2 Vout minimum V (V)</v>
      </c>
      <c r="Z64">
        <v>-50</v>
      </c>
      <c r="AA64">
        <v>50</v>
      </c>
      <c r="AB64" t="s">
        <v>63</v>
      </c>
      <c r="AC64" s="175" t="s">
        <v>184</v>
      </c>
    </row>
    <row r="65" spans="2:29">
      <c r="B65" s="23">
        <v>14</v>
      </c>
      <c r="C65" s="23">
        <f ca="1">INDEX(INDIRECT(_xlfn.CONCAT(INDIRECT("tblScalesMeasures_Selected[Table]"),"[","ProductId","]")),MATCH(tblProductScalesMeasures[[#This Row],[ID]],INDIRECT(_xlfn.CONCAT(INDIRECT("tblScalesMeasures_Selected[Table]"),"[","ID","]")),0))</f>
        <v>734</v>
      </c>
      <c r="D65" s="30">
        <f ca="1">INDEX(INDIRECT(_xlfn.CONCAT(INDIRECT("tblScalesMeasures_Selected[Table]"),"[","OutputId","]")),MATCH(tblProductScalesMeasures[[#This Row],[ID]],INDIRECT(_xlfn.CONCAT(INDIRECT("tblScalesMeasures_Selected[Table]"),"[","ID","]")),0))</f>
        <v>3</v>
      </c>
      <c r="E65" s="76" t="str">
        <f ca="1">INDEX(INDIRECT(_xlfn.CONCAT(INDIRECT("tblScalesMeasures_Selected[Table]"),"[","Alias","]")),MATCH(tblProductScalesMeasures[[#This Row],[ID]],INDIRECT(_xlfn.CONCAT(INDIRECT("tblScalesMeasures_Selected[Table]"),"[","ID","]")),0))</f>
        <v>L2</v>
      </c>
      <c r="F65" s="76" t="str">
        <f ca="1">INDEX(INDIRECT(_xlfn.CONCAT(INDIRECT("tblScalesMeasures_Selected[Table]"),"[","Parameter","]")),MATCH(tblProductScalesMeasures[[#This Row],[ID]],INDIRECT(_xlfn.CONCAT(INDIRECT("tblScalesMeasures_Selected[Table]"),"[","ID","]")),0))</f>
        <v>Vout</v>
      </c>
      <c r="G65" s="76" t="str">
        <f ca="1">INDEX(INDIRECT(_xlfn.CONCAT(INDIRECT("tblScalesMeasures_Selected[Table]"),"[","Unit","]")),MATCH(tblProductScalesMeasures[[#This Row],[ID]],INDIRECT(_xlfn.CONCAT(INDIRECT("tblScalesMeasures_Selected[Table]"),"[","ID","]")),0))</f>
        <v>V</v>
      </c>
      <c r="H65" s="77" t="str">
        <f ca="1">INDEX(INDIRECT(_xlfn.CONCAT(INDIRECT("tblScalesMeasures_Selected[Table]"),"[","Description","]")),MATCH(tblProductScalesMeasures[[#This Row],[ID]],INDIRECT(_xlfn.CONCAT(INDIRECT("tblScalesMeasures_Selected[Table]"),"[","ID","]")),0))</f>
        <v>L2 Vout (V)</v>
      </c>
      <c r="I65" s="76">
        <f ca="1">INDEX(INDIRECT(_xlfn.CONCAT(INDIRECT("tblScalesMeasures_Selected[Table]"),"[","Min","]")),MATCH(tblProductScalesMeasures[[#This Row],[ID]],INDIRECT(_xlfn.CONCAT(INDIRECT("tblScalesMeasures_Selected[Table]"),"[","ID","]")),0))</f>
        <v>-100</v>
      </c>
      <c r="J65" s="76">
        <f ca="1">INDEX(INDIRECT(_xlfn.CONCAT(INDIRECT("tblScalesMeasures_Selected[Table]"),"[","Max","]")),MATCH(tblProductScalesMeasures[[#This Row],[ID]],INDIRECT(_xlfn.CONCAT(INDIRECT("tblScalesMeasures_Selected[Table]"),"[","ID","]")),0))</f>
        <v>100</v>
      </c>
      <c r="K65" s="76" t="str">
        <f ca="1">INDEX(INDIRECT(_xlfn.CONCAT(INDIRECT("tblScalesMeasures_Selected[Table]"),"[","Nominal","]")),MATCH(tblProductScalesMeasures[[#This Row],[ID]],INDIRECT(_xlfn.CONCAT(INDIRECT("tblScalesMeasures_Selected[Table]"),"[","ID","]")),0))</f>
        <v>-</v>
      </c>
      <c r="L65" s="76" t="str">
        <f ca="1">INDEX(INDIRECT(_xlfn.CONCAT(INDIRECT("tblScalesMeasures_Selected[Table]"),"[","Value","]")),MATCH(tblProductScalesMeasures[[#This Row],[ID]],INDIRECT(_xlfn.CONCAT(INDIRECT("tblScalesMeasures_Selected[Table]"),"[","ID","]")),0))</f>
        <v>N</v>
      </c>
      <c r="N65" s="26">
        <f>INDEX(tblHardLimits_Index[ID],MATCH(tblSelectedUnit[Index],tblHardLimits_Index[ID],0))</f>
        <v>1</v>
      </c>
      <c r="O65" s="26" t="str">
        <f>INDEX(tblHardLimits_Index[ProductId],MATCH(tblSelectedUnit[Index],tblHardLimits_Index[ID],0))</f>
        <v>734</v>
      </c>
      <c r="P65" s="43" t="str">
        <f>INDEX(tblHardLimits_Index[Section],MATCH(tblSelectedUnit[Index],tblHardLimits_Index[ID],0))</f>
        <v>HardLimits</v>
      </c>
      <c r="Q65" s="43" t="str">
        <f>INDEX(tblHardLimits_Index[Table],MATCH(tblSelectedUnit[Index],tblHardLimits_Index[ID],0))</f>
        <v>tblHardLimits_734</v>
      </c>
      <c r="S65" s="187">
        <v>14</v>
      </c>
      <c r="T65" s="26">
        <v>734</v>
      </c>
      <c r="U65" s="25">
        <v>3</v>
      </c>
      <c r="V65" s="175" t="str">
        <f ca="1">INDEX(INDIRECT(_xlfn.CONCAT("tblOutputs_",tblScalesMeasures_734[[#This Row],[ProductId]],"[Alias]")),MATCH(tblScalesMeasures_734[[#This Row],[OutputId]],INDIRECT(_xlfn.CONCAT("tblOutputs_",tblScalesMeasures_734[[#This Row],[ProductId]],"[ID]")),0))</f>
        <v>L2</v>
      </c>
      <c r="W65" t="s">
        <v>126</v>
      </c>
      <c r="X65" t="s">
        <v>71</v>
      </c>
      <c r="Y65" s="76" t="str">
        <f ca="1">_xlfn.CONCAT(tblScalesMeasures_734[[#This Row],[Alias]], " ", tblScalesMeasures_734[[#This Row],[Parameter]], " ","(",tblScalesMeasures_734[[#This Row],[Unit]],")")</f>
        <v>L2 Vout (V)</v>
      </c>
      <c r="Z65">
        <v>-100</v>
      </c>
      <c r="AA65">
        <v>100</v>
      </c>
      <c r="AB65" t="s">
        <v>63</v>
      </c>
      <c r="AC65" s="175" t="s">
        <v>184</v>
      </c>
    </row>
    <row r="66" spans="2:29">
      <c r="B66" s="23">
        <v>15</v>
      </c>
      <c r="C66" s="23">
        <f ca="1">INDEX(INDIRECT(_xlfn.CONCAT(INDIRECT("tblScalesMeasures_Selected[Table]"),"[","ProductId","]")),MATCH(tblProductScalesMeasures[[#This Row],[ID]],INDIRECT(_xlfn.CONCAT(INDIRECT("tblScalesMeasures_Selected[Table]"),"[","ID","]")),0))</f>
        <v>734</v>
      </c>
      <c r="D66" s="30">
        <f ca="1">INDEX(INDIRECT(_xlfn.CONCAT(INDIRECT("tblScalesMeasures_Selected[Table]"),"[","OutputId","]")),MATCH(tblProductScalesMeasures[[#This Row],[ID]],INDIRECT(_xlfn.CONCAT(INDIRECT("tblScalesMeasures_Selected[Table]"),"[","ID","]")),0))</f>
        <v>3</v>
      </c>
      <c r="E66" s="76" t="str">
        <f ca="1">INDEX(INDIRECT(_xlfn.CONCAT(INDIRECT("tblScalesMeasures_Selected[Table]"),"[","Alias","]")),MATCH(tblProductScalesMeasures[[#This Row],[ID]],INDIRECT(_xlfn.CONCAT(INDIRECT("tblScalesMeasures_Selected[Table]"),"[","ID","]")),0))</f>
        <v>L2</v>
      </c>
      <c r="F66" s="76" t="str">
        <f ca="1">INDEX(INDIRECT(_xlfn.CONCAT(INDIRECT("tblScalesMeasures_Selected[Table]"),"[","Parameter","]")),MATCH(tblProductScalesMeasures[[#This Row],[ID]],INDIRECT(_xlfn.CONCAT(INDIRECT("tblScalesMeasures_Selected[Table]"),"[","ID","]")),0))</f>
        <v>Voltage Monitor Error</v>
      </c>
      <c r="G66" s="76" t="str">
        <f ca="1">INDEX(INDIRECT(_xlfn.CONCAT(INDIRECT("tblScalesMeasures_Selected[Table]"),"[","Unit","]")),MATCH(tblProductScalesMeasures[[#This Row],[ID]],INDIRECT(_xlfn.CONCAT(INDIRECT("tblScalesMeasures_Selected[Table]"),"[","ID","]")),0))</f>
        <v>%</v>
      </c>
      <c r="H66" s="77" t="str">
        <f ca="1">INDEX(INDIRECT(_xlfn.CONCAT(INDIRECT("tblScalesMeasures_Selected[Table]"),"[","Description","]")),MATCH(tblProductScalesMeasures[[#This Row],[ID]],INDIRECT(_xlfn.CONCAT(INDIRECT("tblScalesMeasures_Selected[Table]"),"[","ID","]")),0))</f>
        <v>L2 Voltage Monitor Error (%)</v>
      </c>
      <c r="I66" s="76">
        <f ca="1">INDEX(INDIRECT(_xlfn.CONCAT(INDIRECT("tblScalesMeasures_Selected[Table]"),"[","Min","]")),MATCH(tblProductScalesMeasures[[#This Row],[ID]],INDIRECT(_xlfn.CONCAT(INDIRECT("tblScalesMeasures_Selected[Table]"),"[","ID","]")),0))</f>
        <v>-1</v>
      </c>
      <c r="J66" s="76">
        <f ca="1">INDEX(INDIRECT(_xlfn.CONCAT(INDIRECT("tblScalesMeasures_Selected[Table]"),"[","Max","]")),MATCH(tblProductScalesMeasures[[#This Row],[ID]],INDIRECT(_xlfn.CONCAT(INDIRECT("tblScalesMeasures_Selected[Table]"),"[","ID","]")),0))</f>
        <v>1</v>
      </c>
      <c r="K66" s="76" t="str">
        <f ca="1">INDEX(INDIRECT(_xlfn.CONCAT(INDIRECT("tblScalesMeasures_Selected[Table]"),"[","Nominal","]")),MATCH(tblProductScalesMeasures[[#This Row],[ID]],INDIRECT(_xlfn.CONCAT(INDIRECT("tblScalesMeasures_Selected[Table]"),"[","ID","]")),0))</f>
        <v>-</v>
      </c>
      <c r="L66" s="76" t="str">
        <f ca="1">INDEX(INDIRECT(_xlfn.CONCAT(INDIRECT("tblScalesMeasures_Selected[Table]"),"[","Value","]")),MATCH(tblProductScalesMeasures[[#This Row],[ID]],INDIRECT(_xlfn.CONCAT(INDIRECT("tblScalesMeasures_Selected[Table]"),"[","ID","]")),0))</f>
        <v>P</v>
      </c>
      <c r="N66" s="43"/>
      <c r="O66" s="43"/>
      <c r="P66" s="43"/>
      <c r="Q66" s="43"/>
      <c r="S66" s="187">
        <v>15</v>
      </c>
      <c r="T66" s="26">
        <v>734</v>
      </c>
      <c r="U66" s="25">
        <v>3</v>
      </c>
      <c r="V66" s="175" t="str">
        <f ca="1">INDEX(INDIRECT(_xlfn.CONCAT("tblOutputs_",tblScalesMeasures_734[[#This Row],[ProductId]],"[Alias]")),MATCH(tblScalesMeasures_734[[#This Row],[OutputId]],INDIRECT(_xlfn.CONCAT("tblOutputs_",tblScalesMeasures_734[[#This Row],[ProductId]],"[ID]")),0))</f>
        <v>L2</v>
      </c>
      <c r="W66" t="s">
        <v>294</v>
      </c>
      <c r="X66" t="s">
        <v>338</v>
      </c>
      <c r="Y66" s="76" t="str">
        <f ca="1">_xlfn.CONCAT(tblScalesMeasures_734[[#This Row],[Alias]], " ", tblScalesMeasures_734[[#This Row],[Parameter]], " ","(",tblScalesMeasures_734[[#This Row],[Unit]],")")</f>
        <v>L2 Voltage Monitor Error (%)</v>
      </c>
      <c r="Z66">
        <v>-1</v>
      </c>
      <c r="AA66">
        <v>1</v>
      </c>
      <c r="AB66" t="s">
        <v>63</v>
      </c>
      <c r="AC66" s="175" t="s">
        <v>268</v>
      </c>
    </row>
    <row r="67" spans="2:29">
      <c r="B67" s="23">
        <v>16</v>
      </c>
      <c r="C67" s="23">
        <f ca="1">INDEX(INDIRECT(_xlfn.CONCAT(INDIRECT("tblScalesMeasures_Selected[Table]"),"[","ProductId","]")),MATCH(tblProductScalesMeasures[[#This Row],[ID]],INDIRECT(_xlfn.CONCAT(INDIRECT("tblScalesMeasures_Selected[Table]"),"[","ID","]")),0))</f>
        <v>734</v>
      </c>
      <c r="D67" s="30">
        <f ca="1">INDEX(INDIRECT(_xlfn.CONCAT(INDIRECT("tblScalesMeasures_Selected[Table]"),"[","OutputId","]")),MATCH(tblProductScalesMeasures[[#This Row],[ID]],INDIRECT(_xlfn.CONCAT(INDIRECT("tblScalesMeasures_Selected[Table]"),"[","ID","]")),0))</f>
        <v>3</v>
      </c>
      <c r="E67" s="76" t="str">
        <f ca="1">INDEX(INDIRECT(_xlfn.CONCAT(INDIRECT("tblScalesMeasures_Selected[Table]"),"[","Alias","]")),MATCH(tblProductScalesMeasures[[#This Row],[ID]],INDIRECT(_xlfn.CONCAT(INDIRECT("tblScalesMeasures_Selected[Table]"),"[","ID","]")),0))</f>
        <v>L2</v>
      </c>
      <c r="F67" s="76" t="str">
        <f ca="1">INDEX(INDIRECT(_xlfn.CONCAT(INDIRECT("tblScalesMeasures_Selected[Table]"),"[","Parameter","]")),MATCH(tblProductScalesMeasures[[#This Row],[ID]],INDIRECT(_xlfn.CONCAT(INDIRECT("tblScalesMeasures_Selected[Table]"),"[","ID","]")),0))</f>
        <v>Output Current @ 28uA</v>
      </c>
      <c r="G67" s="76" t="str">
        <f ca="1">INDEX(INDIRECT(_xlfn.CONCAT(INDIRECT("tblScalesMeasures_Selected[Table]"),"[","Unit","]")),MATCH(tblProductScalesMeasures[[#This Row],[ID]],INDIRECT(_xlfn.CONCAT(INDIRECT("tblScalesMeasures_Selected[Table]"),"[","ID","]")),0))</f>
        <v>uA</v>
      </c>
      <c r="H67" s="77" t="str">
        <f ca="1">INDEX(INDIRECT(_xlfn.CONCAT(INDIRECT("tblScalesMeasures_Selected[Table]"),"[","Description","]")),MATCH(tblProductScalesMeasures[[#This Row],[ID]],INDIRECT(_xlfn.CONCAT(INDIRECT("tblScalesMeasures_Selected[Table]"),"[","ID","]")),0))</f>
        <v>L2 Output Current @ 28uA (uA)</v>
      </c>
      <c r="I67" s="76">
        <f ca="1">INDEX(INDIRECT(_xlfn.CONCAT(INDIRECT("tblScalesMeasures_Selected[Table]"),"[","Min","]")),MATCH(tblProductScalesMeasures[[#This Row],[ID]],INDIRECT(_xlfn.CONCAT(INDIRECT("tblScalesMeasures_Selected[Table]"),"[","ID","]")),0))</f>
        <v>25.5</v>
      </c>
      <c r="J67" s="76">
        <f ca="1">INDEX(INDIRECT(_xlfn.CONCAT(INDIRECT("tblScalesMeasures_Selected[Table]"),"[","Max","]")),MATCH(tblProductScalesMeasures[[#This Row],[ID]],INDIRECT(_xlfn.CONCAT(INDIRECT("tblScalesMeasures_Selected[Table]"),"[","ID","]")),0))</f>
        <v>29.5</v>
      </c>
      <c r="K67" s="76" t="str">
        <f ca="1">INDEX(INDIRECT(_xlfn.CONCAT(INDIRECT("tblScalesMeasures_Selected[Table]"),"[","Nominal","]")),MATCH(tblProductScalesMeasures[[#This Row],[ID]],INDIRECT(_xlfn.CONCAT(INDIRECT("tblScalesMeasures_Selected[Table]"),"[","ID","]")),0))</f>
        <v>-</v>
      </c>
      <c r="L67" s="76" t="str">
        <f ca="1">INDEX(INDIRECT(_xlfn.CONCAT(INDIRECT("tblScalesMeasures_Selected[Table]"),"[","Value","]")),MATCH(tblProductScalesMeasures[[#This Row],[ID]],INDIRECT(_xlfn.CONCAT(INDIRECT("tblScalesMeasures_Selected[Table]"),"[","ID","]")),0))</f>
        <v>N</v>
      </c>
      <c r="N67" s="43"/>
      <c r="O67" s="43"/>
      <c r="P67" s="43"/>
      <c r="Q67" s="43"/>
      <c r="S67" s="187">
        <v>16</v>
      </c>
      <c r="T67" s="26">
        <v>734</v>
      </c>
      <c r="U67" s="25">
        <v>3</v>
      </c>
      <c r="V67" s="175" t="str">
        <f ca="1">INDEX(INDIRECT(_xlfn.CONCAT("tblOutputs_",tblScalesMeasures_734[[#This Row],[ProductId]],"[Alias]")),MATCH(tblScalesMeasures_734[[#This Row],[OutputId]],INDIRECT(_xlfn.CONCAT("tblOutputs_",tblScalesMeasures_734[[#This Row],[ProductId]],"[ID]")),0))</f>
        <v>L2</v>
      </c>
      <c r="W67" t="s">
        <v>275</v>
      </c>
      <c r="X67" t="s">
        <v>124</v>
      </c>
      <c r="Y67" s="76" t="str">
        <f ca="1">_xlfn.CONCAT(tblScalesMeasures_734[[#This Row],[Alias]], " ", tblScalesMeasures_734[[#This Row],[Parameter]], " ","(",tblScalesMeasures_734[[#This Row],[Unit]],")")</f>
        <v>L2 Output Current @ 28uA (uA)</v>
      </c>
      <c r="Z67">
        <v>25.5</v>
      </c>
      <c r="AA67">
        <v>29.5</v>
      </c>
      <c r="AB67" t="s">
        <v>63</v>
      </c>
      <c r="AC67" s="175" t="s">
        <v>184</v>
      </c>
    </row>
    <row r="68" spans="2:29">
      <c r="B68" s="23">
        <v>17</v>
      </c>
      <c r="C68" s="23">
        <f ca="1">INDEX(INDIRECT(_xlfn.CONCAT(INDIRECT("tblScalesMeasures_Selected[Table]"),"[","ProductId","]")),MATCH(tblProductScalesMeasures[[#This Row],[ID]],INDIRECT(_xlfn.CONCAT(INDIRECT("tblScalesMeasures_Selected[Table]"),"[","ID","]")),0))</f>
        <v>734</v>
      </c>
      <c r="D68" s="30">
        <f ca="1">INDEX(INDIRECT(_xlfn.CONCAT(INDIRECT("tblScalesMeasures_Selected[Table]"),"[","OutputId","]")),MATCH(tblProductScalesMeasures[[#This Row],[ID]],INDIRECT(_xlfn.CONCAT(INDIRECT("tblScalesMeasures_Selected[Table]"),"[","ID","]")),0))</f>
        <v>3</v>
      </c>
      <c r="E68" s="76" t="str">
        <f ca="1">INDEX(INDIRECT(_xlfn.CONCAT(INDIRECT("tblScalesMeasures_Selected[Table]"),"[","Alias","]")),MATCH(tblProductScalesMeasures[[#This Row],[ID]],INDIRECT(_xlfn.CONCAT(INDIRECT("tblScalesMeasures_Selected[Table]"),"[","ID","]")),0))</f>
        <v>L2</v>
      </c>
      <c r="F68" s="76" t="str">
        <f ca="1">INDEX(INDIRECT(_xlfn.CONCAT(INDIRECT("tblScalesMeasures_Selected[Table]"),"[","Parameter","]")),MATCH(tblProductScalesMeasures[[#This Row],[ID]],INDIRECT(_xlfn.CONCAT(INDIRECT("tblScalesMeasures_Selected[Table]"),"[","ID","]")),0))</f>
        <v>Current Monitor Error</v>
      </c>
      <c r="G68" s="76" t="str">
        <f ca="1">INDEX(INDIRECT(_xlfn.CONCAT(INDIRECT("tblScalesMeasures_Selected[Table]"),"[","Unit","]")),MATCH(tblProductScalesMeasures[[#This Row],[ID]],INDIRECT(_xlfn.CONCAT(INDIRECT("tblScalesMeasures_Selected[Table]"),"[","ID","]")),0))</f>
        <v>%</v>
      </c>
      <c r="H68" s="77" t="str">
        <f ca="1">INDEX(INDIRECT(_xlfn.CONCAT(INDIRECT("tblScalesMeasures_Selected[Table]"),"[","Description","]")),MATCH(tblProductScalesMeasures[[#This Row],[ID]],INDIRECT(_xlfn.CONCAT(INDIRECT("tblScalesMeasures_Selected[Table]"),"[","ID","]")),0))</f>
        <v>L2 Current Monitor Error (%)</v>
      </c>
      <c r="I68" s="76">
        <f ca="1">INDEX(INDIRECT(_xlfn.CONCAT(INDIRECT("tblScalesMeasures_Selected[Table]"),"[","Min","]")),MATCH(tblProductScalesMeasures[[#This Row],[ID]],INDIRECT(_xlfn.CONCAT(INDIRECT("tblScalesMeasures_Selected[Table]"),"[","ID","]")),0))</f>
        <v>-3</v>
      </c>
      <c r="J68" s="76">
        <f ca="1">INDEX(INDIRECT(_xlfn.CONCAT(INDIRECT("tblScalesMeasures_Selected[Table]"),"[","Max","]")),MATCH(tblProductScalesMeasures[[#This Row],[ID]],INDIRECT(_xlfn.CONCAT(INDIRECT("tblScalesMeasures_Selected[Table]"),"[","ID","]")),0))</f>
        <v>3</v>
      </c>
      <c r="K68" s="76" t="str">
        <f ca="1">INDEX(INDIRECT(_xlfn.CONCAT(INDIRECT("tblScalesMeasures_Selected[Table]"),"[","Nominal","]")),MATCH(tblProductScalesMeasures[[#This Row],[ID]],INDIRECT(_xlfn.CONCAT(INDIRECT("tblScalesMeasures_Selected[Table]"),"[","ID","]")),0))</f>
        <v>-</v>
      </c>
      <c r="L68" s="76" t="str">
        <f ca="1">INDEX(INDIRECT(_xlfn.CONCAT(INDIRECT("tblScalesMeasures_Selected[Table]"),"[","Value","]")),MATCH(tblProductScalesMeasures[[#This Row],[ID]],INDIRECT(_xlfn.CONCAT(INDIRECT("tblScalesMeasures_Selected[Table]"),"[","ID","]")),0))</f>
        <v>N</v>
      </c>
      <c r="N68" s="43"/>
      <c r="O68" s="43"/>
      <c r="P68" s="43"/>
      <c r="Q68" s="43"/>
      <c r="S68" s="187">
        <v>17</v>
      </c>
      <c r="T68" s="26">
        <v>734</v>
      </c>
      <c r="U68" s="25">
        <v>3</v>
      </c>
      <c r="V68" s="175" t="str">
        <f ca="1">INDEX(INDIRECT(_xlfn.CONCAT("tblOutputs_",tblScalesMeasures_734[[#This Row],[ProductId]],"[Alias]")),MATCH(tblScalesMeasures_734[[#This Row],[OutputId]],INDIRECT(_xlfn.CONCAT("tblOutputs_",tblScalesMeasures_734[[#This Row],[ProductId]],"[ID]")),0))</f>
        <v>L2</v>
      </c>
      <c r="W68" s="175" t="s">
        <v>293</v>
      </c>
      <c r="X68" s="175" t="s">
        <v>338</v>
      </c>
      <c r="Y68" s="76" t="str">
        <f ca="1">_xlfn.CONCAT(tblScalesMeasures_734[[#This Row],[Alias]], " ", tblScalesMeasures_734[[#This Row],[Parameter]], " ","(",tblScalesMeasures_734[[#This Row],[Unit]],")")</f>
        <v>L2 Current Monitor Error (%)</v>
      </c>
      <c r="Z68">
        <v>-3</v>
      </c>
      <c r="AA68">
        <v>3</v>
      </c>
      <c r="AB68" t="s">
        <v>63</v>
      </c>
      <c r="AC68" s="175" t="s">
        <v>184</v>
      </c>
    </row>
    <row r="69" spans="2:29">
      <c r="B69" s="23">
        <v>18</v>
      </c>
      <c r="C69" s="23">
        <f ca="1">INDEX(INDIRECT(_xlfn.CONCAT(INDIRECT("tblScalesMeasures_Selected[Table]"),"[","ProductId","]")),MATCH(tblProductScalesMeasures[[#This Row],[ID]],INDIRECT(_xlfn.CONCAT(INDIRECT("tblScalesMeasures_Selected[Table]"),"[","ID","]")),0))</f>
        <v>734</v>
      </c>
      <c r="D69" s="30">
        <f ca="1">INDEX(INDIRECT(_xlfn.CONCAT(INDIRECT("tblScalesMeasures_Selected[Table]"),"[","OutputId","]")),MATCH(tblProductScalesMeasures[[#This Row],[ID]],INDIRECT(_xlfn.CONCAT(INDIRECT("tblScalesMeasures_Selected[Table]"),"[","ID","]")),0))</f>
        <v>3</v>
      </c>
      <c r="E69" s="76" t="str">
        <f ca="1">INDEX(INDIRECT(_xlfn.CONCAT(INDIRECT("tblScalesMeasures_Selected[Table]"),"[","Alias","]")),MATCH(tblProductScalesMeasures[[#This Row],[ID]],INDIRECT(_xlfn.CONCAT(INDIRECT("tblScalesMeasures_Selected[Table]"),"[","ID","]")),0))</f>
        <v>L2</v>
      </c>
      <c r="F69" s="76" t="str">
        <f ca="1">INDEX(INDIRECT(_xlfn.CONCAT(INDIRECT("tblScalesMeasures_Selected[Table]"),"[","Parameter","]")),MATCH(tblProductScalesMeasures[[#This Row],[ID]],INDIRECT(_xlfn.CONCAT(INDIRECT("tblScalesMeasures_Selected[Table]"),"[","ID","]")),0))</f>
        <v>Current Limit</v>
      </c>
      <c r="G69" s="76" t="str">
        <f ca="1">INDEX(INDIRECT(_xlfn.CONCAT(INDIRECT("tblScalesMeasures_Selected[Table]"),"[","Unit","]")),MATCH(tblProductScalesMeasures[[#This Row],[ID]],INDIRECT(_xlfn.CONCAT(INDIRECT("tblScalesMeasures_Selected[Table]"),"[","ID","]")),0))</f>
        <v>uA</v>
      </c>
      <c r="H69" s="77" t="str">
        <f ca="1">INDEX(INDIRECT(_xlfn.CONCAT(INDIRECT("tblScalesMeasures_Selected[Table]"),"[","Description","]")),MATCH(tblProductScalesMeasures[[#This Row],[ID]],INDIRECT(_xlfn.CONCAT(INDIRECT("tblScalesMeasures_Selected[Table]"),"[","ID","]")),0))</f>
        <v>L2 Current Limit (uA)</v>
      </c>
      <c r="I69" s="76">
        <f ca="1">INDEX(INDIRECT(_xlfn.CONCAT(INDIRECT("tblScalesMeasures_Selected[Table]"),"[","Min","]")),MATCH(tblProductScalesMeasures[[#This Row],[ID]],INDIRECT(_xlfn.CONCAT(INDIRECT("tblScalesMeasures_Selected[Table]"),"[","ID","]")),0))</f>
        <v>0</v>
      </c>
      <c r="J69" s="76">
        <f ca="1">INDEX(INDIRECT(_xlfn.CONCAT(INDIRECT("tblScalesMeasures_Selected[Table]"),"[","Max","]")),MATCH(tblProductScalesMeasures[[#This Row],[ID]],INDIRECT(_xlfn.CONCAT(INDIRECT("tblScalesMeasures_Selected[Table]"),"[","ID","]")),0))</f>
        <v>3</v>
      </c>
      <c r="K69" s="76" t="str">
        <f ca="1">INDEX(INDIRECT(_xlfn.CONCAT(INDIRECT("tblScalesMeasures_Selected[Table]"),"[","Nominal","]")),MATCH(tblProductScalesMeasures[[#This Row],[ID]],INDIRECT(_xlfn.CONCAT(INDIRECT("tblScalesMeasures_Selected[Table]"),"[","ID","]")),0))</f>
        <v>-</v>
      </c>
      <c r="L69" s="76" t="str">
        <f ca="1">INDEX(INDIRECT(_xlfn.CONCAT(INDIRECT("tblScalesMeasures_Selected[Table]"),"[","Value","]")),MATCH(tblProductScalesMeasures[[#This Row],[ID]],INDIRECT(_xlfn.CONCAT(INDIRECT("tblScalesMeasures_Selected[Table]"),"[","ID","]")),0))</f>
        <v>N</v>
      </c>
      <c r="N69" s="43" t="s">
        <v>153</v>
      </c>
      <c r="O69" s="43"/>
      <c r="P69" s="43"/>
      <c r="Q69" s="43"/>
      <c r="S69" s="187">
        <v>18</v>
      </c>
      <c r="T69" s="26">
        <v>734</v>
      </c>
      <c r="U69" s="25">
        <v>3</v>
      </c>
      <c r="V69" s="175" t="str">
        <f ca="1">INDEX(INDIRECT(_xlfn.CONCAT("tblOutputs_",tblScalesMeasures_734[[#This Row],[ProductId]],"[Alias]")),MATCH(tblScalesMeasures_734[[#This Row],[OutputId]],INDIRECT(_xlfn.CONCAT("tblOutputs_",tblScalesMeasures_734[[#This Row],[ProductId]],"[ID]")),0))</f>
        <v>L2</v>
      </c>
      <c r="W69" t="s">
        <v>274</v>
      </c>
      <c r="X69" t="s">
        <v>124</v>
      </c>
      <c r="Y69" s="76" t="str">
        <f ca="1">_xlfn.CONCAT(tblScalesMeasures_734[[#This Row],[Alias]], " ", tblScalesMeasures_734[[#This Row],[Parameter]], " ","(",tblScalesMeasures_734[[#This Row],[Unit]],")")</f>
        <v>L2 Current Limit (uA)</v>
      </c>
      <c r="Z69">
        <v>0</v>
      </c>
      <c r="AA69">
        <v>3</v>
      </c>
      <c r="AB69" t="s">
        <v>63</v>
      </c>
      <c r="AC69" s="175" t="s">
        <v>184</v>
      </c>
    </row>
    <row r="70" spans="2:29">
      <c r="B70" s="23">
        <v>19</v>
      </c>
      <c r="C70" s="23">
        <f ca="1">INDEX(INDIRECT(_xlfn.CONCAT(INDIRECT("tblScalesMeasures_Selected[Table]"),"[","ProductId","]")),MATCH(tblProductScalesMeasures[[#This Row],[ID]],INDIRECT(_xlfn.CONCAT(INDIRECT("tblScalesMeasures_Selected[Table]"),"[","ID","]")),0))</f>
        <v>734</v>
      </c>
      <c r="D70" s="30">
        <f ca="1">INDEX(INDIRECT(_xlfn.CONCAT(INDIRECT("tblScalesMeasures_Selected[Table]"),"[","OutputId","]")),MATCH(tblProductScalesMeasures[[#This Row],[ID]],INDIRECT(_xlfn.CONCAT(INDIRECT("tblScalesMeasures_Selected[Table]"),"[","ID","]")),0))</f>
        <v>3</v>
      </c>
      <c r="E70" s="76" t="str">
        <f ca="1">INDEX(INDIRECT(_xlfn.CONCAT(INDIRECT("tblScalesMeasures_Selected[Table]"),"[","Alias","]")),MATCH(tblProductScalesMeasures[[#This Row],[ID]],INDIRECT(_xlfn.CONCAT(INDIRECT("tblScalesMeasures_Selected[Table]"),"[","ID","]")),0))</f>
        <v>L2</v>
      </c>
      <c r="F70" s="76" t="str">
        <f ca="1">INDEX(INDIRECT(_xlfn.CONCAT(INDIRECT("tblScalesMeasures_Selected[Table]"),"[","Parameter","]")),MATCH(tblProductScalesMeasures[[#This Row],[ID]],INDIRECT(_xlfn.CONCAT(INDIRECT("tblScalesMeasures_Selected[Table]"),"[","ID","]")),0))</f>
        <v>Ripple</v>
      </c>
      <c r="G70" s="76" t="str">
        <f ca="1">INDEX(INDIRECT(_xlfn.CONCAT(INDIRECT("tblScalesMeasures_Selected[Table]"),"[","Unit","]")),MATCH(tblProductScalesMeasures[[#This Row],[ID]],INDIRECT(_xlfn.CONCAT(INDIRECT("tblScalesMeasures_Selected[Table]"),"[","ID","]")),0))</f>
        <v>mV pk-pk</v>
      </c>
      <c r="H70" s="77" t="str">
        <f ca="1">INDEX(INDIRECT(_xlfn.CONCAT(INDIRECT("tblScalesMeasures_Selected[Table]"),"[","Description","]")),MATCH(tblProductScalesMeasures[[#This Row],[ID]],INDIRECT(_xlfn.CONCAT(INDIRECT("tblScalesMeasures_Selected[Table]"),"[","ID","]")),0))</f>
        <v>L2 Ripple (mV pk-pk)</v>
      </c>
      <c r="I70" s="76">
        <f ca="1">INDEX(INDIRECT(_xlfn.CONCAT(INDIRECT("tblScalesMeasures_Selected[Table]"),"[","Min","]")),MATCH(tblProductScalesMeasures[[#This Row],[ID]],INDIRECT(_xlfn.CONCAT(INDIRECT("tblScalesMeasures_Selected[Table]"),"[","ID","]")),0))</f>
        <v>3</v>
      </c>
      <c r="J70" s="76">
        <f ca="1">INDEX(INDIRECT(_xlfn.CONCAT(INDIRECT("tblScalesMeasures_Selected[Table]"),"[","Max","]")),MATCH(tblProductScalesMeasures[[#This Row],[ID]],INDIRECT(_xlfn.CONCAT(INDIRECT("tblScalesMeasures_Selected[Table]"),"[","ID","]")),0))</f>
        <v>150</v>
      </c>
      <c r="K70" s="76" t="str">
        <f ca="1">INDEX(INDIRECT(_xlfn.CONCAT(INDIRECT("tblScalesMeasures_Selected[Table]"),"[","Nominal","]")),MATCH(tblProductScalesMeasures[[#This Row],[ID]],INDIRECT(_xlfn.CONCAT(INDIRECT("tblScalesMeasures_Selected[Table]"),"[","ID","]")),0))</f>
        <v>-</v>
      </c>
      <c r="L70" s="76" t="str">
        <f ca="1">INDEX(INDIRECT(_xlfn.CONCAT(INDIRECT("tblScalesMeasures_Selected[Table]"),"[","Value","]")),MATCH(tblProductScalesMeasures[[#This Row],[ID]],INDIRECT(_xlfn.CONCAT(INDIRECT("tblScalesMeasures_Selected[Table]"),"[","ID","]")),0))</f>
        <v>N</v>
      </c>
      <c r="N70" s="69" t="s">
        <v>38</v>
      </c>
      <c r="O70" s="70" t="s">
        <v>106</v>
      </c>
      <c r="P70" s="70" t="s">
        <v>113</v>
      </c>
      <c r="Q70" s="71" t="s">
        <v>114</v>
      </c>
      <c r="S70" s="187">
        <v>19</v>
      </c>
      <c r="T70" s="26">
        <v>734</v>
      </c>
      <c r="U70" s="25">
        <v>3</v>
      </c>
      <c r="V70" s="175" t="str">
        <f ca="1">INDEX(INDIRECT(_xlfn.CONCAT("tblOutputs_",tblScalesMeasures_734[[#This Row],[ProductId]],"[Alias]")),MATCH(tblScalesMeasures_734[[#This Row],[OutputId]],INDIRECT(_xlfn.CONCAT("tblOutputs_",tblScalesMeasures_734[[#This Row],[ProductId]],"[ID]")),0))</f>
        <v>L2</v>
      </c>
      <c r="W70" t="s">
        <v>125</v>
      </c>
      <c r="X70" t="s">
        <v>267</v>
      </c>
      <c r="Y70" s="76" t="str">
        <f ca="1">_xlfn.CONCAT(tblScalesMeasures_734[[#This Row],[Alias]], " ", tblScalesMeasures_734[[#This Row],[Parameter]], " ","(",tblScalesMeasures_734[[#This Row],[Unit]],")")</f>
        <v>L2 Ripple (mV pk-pk)</v>
      </c>
      <c r="Z70">
        <v>3</v>
      </c>
      <c r="AA70">
        <v>150</v>
      </c>
      <c r="AB70" t="s">
        <v>63</v>
      </c>
      <c r="AC70" s="175" t="s">
        <v>184</v>
      </c>
    </row>
    <row r="71" spans="2:29">
      <c r="B71" s="23">
        <v>20</v>
      </c>
      <c r="C71" s="23">
        <f ca="1">INDEX(INDIRECT(_xlfn.CONCAT(INDIRECT("tblScalesMeasures_Selected[Table]"),"[","ProductId","]")),MATCH(tblProductScalesMeasures[[#This Row],[ID]],INDIRECT(_xlfn.CONCAT(INDIRECT("tblScalesMeasures_Selected[Table]"),"[","ID","]")),0))</f>
        <v>734</v>
      </c>
      <c r="D71" s="30">
        <f ca="1">INDEX(INDIRECT(_xlfn.CONCAT(INDIRECT("tblScalesMeasures_Selected[Table]"),"[","OutputId","]")),MATCH(tblProductScalesMeasures[[#This Row],[ID]],INDIRECT(_xlfn.CONCAT(INDIRECT("tblScalesMeasures_Selected[Table]"),"[","ID","]")),0))</f>
        <v>3</v>
      </c>
      <c r="E71" s="76" t="str">
        <f ca="1">INDEX(INDIRECT(_xlfn.CONCAT(INDIRECT("tblScalesMeasures_Selected[Table]"),"[","Alias","]")),MATCH(tblProductScalesMeasures[[#This Row],[ID]],INDIRECT(_xlfn.CONCAT(INDIRECT("tblScalesMeasures_Selected[Table]"),"[","ID","]")),0))</f>
        <v>L2</v>
      </c>
      <c r="F71" s="76" t="str">
        <f ca="1">INDEX(INDIRECT(_xlfn.CONCAT(INDIRECT("tblScalesMeasures_Selected[Table]"),"[","Parameter","]")),MATCH(tblProductScalesMeasures[[#This Row],[ID]],INDIRECT(_xlfn.CONCAT(INDIRECT("tblScalesMeasures_Selected[Table]"),"[","ID","]")),0))</f>
        <v>Wobble Amplitude 1</v>
      </c>
      <c r="G71" s="76" t="str">
        <f ca="1">INDEX(INDIRECT(_xlfn.CONCAT(INDIRECT("tblScalesMeasures_Selected[Table]"),"[","Unit","]")),MATCH(tblProductScalesMeasures[[#This Row],[ID]],INDIRECT(_xlfn.CONCAT(INDIRECT("tblScalesMeasures_Selected[Table]"),"[","ID","]")),0))</f>
        <v>V</v>
      </c>
      <c r="H71" s="77" t="str">
        <f ca="1">INDEX(INDIRECT(_xlfn.CONCAT(INDIRECT("tblScalesMeasures_Selected[Table]"),"[","Description","]")),MATCH(tblProductScalesMeasures[[#This Row],[ID]],INDIRECT(_xlfn.CONCAT(INDIRECT("tblScalesMeasures_Selected[Table]"),"[","ID","]")),0))</f>
        <v>L2 Wobble Amplitude 1 (V)</v>
      </c>
      <c r="I71" s="76">
        <f ca="1">INDEX(INDIRECT(_xlfn.CONCAT(INDIRECT("tblScalesMeasures_Selected[Table]"),"[","Min","]")),MATCH(tblProductScalesMeasures[[#This Row],[ID]],INDIRECT(_xlfn.CONCAT(INDIRECT("tblScalesMeasures_Selected[Table]"),"[","ID","]")),0))</f>
        <v>2.2999999999999998</v>
      </c>
      <c r="J71" s="76">
        <f ca="1">INDEX(INDIRECT(_xlfn.CONCAT(INDIRECT("tblScalesMeasures_Selected[Table]"),"[","Max","]")),MATCH(tblProductScalesMeasures[[#This Row],[ID]],INDIRECT(_xlfn.CONCAT(INDIRECT("tblScalesMeasures_Selected[Table]"),"[","ID","]")),0))</f>
        <v>2.7</v>
      </c>
      <c r="K71" s="76" t="str">
        <f ca="1">INDEX(INDIRECT(_xlfn.CONCAT(INDIRECT("tblScalesMeasures_Selected[Table]"),"[","Nominal","]")),MATCH(tblProductScalesMeasures[[#This Row],[ID]],INDIRECT(_xlfn.CONCAT(INDIRECT("tblScalesMeasures_Selected[Table]"),"[","ID","]")),0))</f>
        <v>-</v>
      </c>
      <c r="L71" s="76" t="str">
        <f ca="1">INDEX(INDIRECT(_xlfn.CONCAT(INDIRECT("tblScalesMeasures_Selected[Table]"),"[","Value","]")),MATCH(tblProductScalesMeasures[[#This Row],[ID]],INDIRECT(_xlfn.CONCAT(INDIRECT("tblScalesMeasures_Selected[Table]"),"[","ID","]")),0))</f>
        <v>N</v>
      </c>
      <c r="N71" s="26">
        <v>1</v>
      </c>
      <c r="O71" s="26" t="str">
        <f>INDEX(tblUnitTypes[ProductId],MATCH(tblHardLimits_Index[[#This Row],[ID]],tblUnitTypes[Index],0))</f>
        <v>734</v>
      </c>
      <c r="P71" s="43" t="s">
        <v>154</v>
      </c>
      <c r="Q71" s="43" t="str">
        <f>_xlfn.CONCAT("tbl",tblHardLimits_Index[[#This Row],[Section]],"_",tblHardLimits_Index[[#This Row],[ProductId]])</f>
        <v>tblHardLimits_734</v>
      </c>
      <c r="S71" s="187">
        <v>20</v>
      </c>
      <c r="T71" s="26">
        <v>734</v>
      </c>
      <c r="U71" s="25">
        <v>3</v>
      </c>
      <c r="V71" s="175" t="str">
        <f ca="1">INDEX(INDIRECT(_xlfn.CONCAT("tblOutputs_",tblScalesMeasures_734[[#This Row],[ProductId]],"[Alias]")),MATCH(tblScalesMeasures_734[[#This Row],[OutputId]],INDIRECT(_xlfn.CONCAT("tblOutputs_",tblScalesMeasures_734[[#This Row],[ProductId]],"[ID]")),0))</f>
        <v>L2</v>
      </c>
      <c r="W71" s="175" t="s">
        <v>270</v>
      </c>
      <c r="X71" t="s">
        <v>71</v>
      </c>
      <c r="Y71" s="76" t="str">
        <f ca="1">_xlfn.CONCAT(tblScalesMeasures_734[[#This Row],[Alias]], " ", tblScalesMeasures_734[[#This Row],[Parameter]], " ","(",tblScalesMeasures_734[[#This Row],[Unit]],")")</f>
        <v>L2 Wobble Amplitude 1 (V)</v>
      </c>
      <c r="Z71">
        <v>2.2999999999999998</v>
      </c>
      <c r="AA71">
        <v>2.7</v>
      </c>
      <c r="AB71" t="s">
        <v>63</v>
      </c>
      <c r="AC71" s="175" t="s">
        <v>184</v>
      </c>
    </row>
    <row r="72" spans="2:29">
      <c r="B72" s="23">
        <v>21</v>
      </c>
      <c r="C72" s="23">
        <f ca="1">INDEX(INDIRECT(_xlfn.CONCAT(INDIRECT("tblScalesMeasures_Selected[Table]"),"[","ProductId","]")),MATCH(tblProductScalesMeasures[[#This Row],[ID]],INDIRECT(_xlfn.CONCAT(INDIRECT("tblScalesMeasures_Selected[Table]"),"[","ID","]")),0))</f>
        <v>734</v>
      </c>
      <c r="D72" s="30">
        <f ca="1">INDEX(INDIRECT(_xlfn.CONCAT(INDIRECT("tblScalesMeasures_Selected[Table]"),"[","OutputId","]")),MATCH(tblProductScalesMeasures[[#This Row],[ID]],INDIRECT(_xlfn.CONCAT(INDIRECT("tblScalesMeasures_Selected[Table]"),"[","ID","]")),0))</f>
        <v>3</v>
      </c>
      <c r="E72" s="76" t="str">
        <f ca="1">INDEX(INDIRECT(_xlfn.CONCAT(INDIRECT("tblScalesMeasures_Selected[Table]"),"[","Alias","]")),MATCH(tblProductScalesMeasures[[#This Row],[ID]],INDIRECT(_xlfn.CONCAT(INDIRECT("tblScalesMeasures_Selected[Table]"),"[","ID","]")),0))</f>
        <v>L2</v>
      </c>
      <c r="F72" s="76" t="str">
        <f ca="1">INDEX(INDIRECT(_xlfn.CONCAT(INDIRECT("tblScalesMeasures_Selected[Table]"),"[","Parameter","]")),MATCH(tblProductScalesMeasures[[#This Row],[ID]],INDIRECT(_xlfn.CONCAT(INDIRECT("tblScalesMeasures_Selected[Table]"),"[","ID","]")),0))</f>
        <v>Wobble Amplitude 2</v>
      </c>
      <c r="G72" s="76" t="str">
        <f ca="1">INDEX(INDIRECT(_xlfn.CONCAT(INDIRECT("tblScalesMeasures_Selected[Table]"),"[","Unit","]")),MATCH(tblProductScalesMeasures[[#This Row],[ID]],INDIRECT(_xlfn.CONCAT(INDIRECT("tblScalesMeasures_Selected[Table]"),"[","ID","]")),0))</f>
        <v>V</v>
      </c>
      <c r="H72" s="77" t="str">
        <f ca="1">INDEX(INDIRECT(_xlfn.CONCAT(INDIRECT("tblScalesMeasures_Selected[Table]"),"[","Description","]")),MATCH(tblProductScalesMeasures[[#This Row],[ID]],INDIRECT(_xlfn.CONCAT(INDIRECT("tblScalesMeasures_Selected[Table]"),"[","ID","]")),0))</f>
        <v>L2 Wobble Amplitude 2 (V)</v>
      </c>
      <c r="I72" s="76">
        <f ca="1">INDEX(INDIRECT(_xlfn.CONCAT(INDIRECT("tblScalesMeasures_Selected[Table]"),"[","Min","]")),MATCH(tblProductScalesMeasures[[#This Row],[ID]],INDIRECT(_xlfn.CONCAT(INDIRECT("tblScalesMeasures_Selected[Table]"),"[","ID","]")),0))</f>
        <v>1.35</v>
      </c>
      <c r="J72" s="76">
        <f ca="1">INDEX(INDIRECT(_xlfn.CONCAT(INDIRECT("tblScalesMeasures_Selected[Table]"),"[","Max","]")),MATCH(tblProductScalesMeasures[[#This Row],[ID]],INDIRECT(_xlfn.CONCAT(INDIRECT("tblScalesMeasures_Selected[Table]"),"[","ID","]")),0))</f>
        <v>1.65</v>
      </c>
      <c r="K72" s="76" t="str">
        <f ca="1">INDEX(INDIRECT(_xlfn.CONCAT(INDIRECT("tblScalesMeasures_Selected[Table]"),"[","Nominal","]")),MATCH(tblProductScalesMeasures[[#This Row],[ID]],INDIRECT(_xlfn.CONCAT(INDIRECT("tblScalesMeasures_Selected[Table]"),"[","ID","]")),0))</f>
        <v>-</v>
      </c>
      <c r="L72" s="76" t="str">
        <f ca="1">INDEX(INDIRECT(_xlfn.CONCAT(INDIRECT("tblScalesMeasures_Selected[Table]"),"[","Value","]")),MATCH(tblProductScalesMeasures[[#This Row],[ID]],INDIRECT(_xlfn.CONCAT(INDIRECT("tblScalesMeasures_Selected[Table]"),"[","ID","]")),0))</f>
        <v>N</v>
      </c>
      <c r="S72" s="187">
        <v>21</v>
      </c>
      <c r="T72" s="184">
        <v>734</v>
      </c>
      <c r="U72" s="187">
        <v>3</v>
      </c>
      <c r="V72" s="175" t="str">
        <f ca="1">INDEX(INDIRECT(_xlfn.CONCAT("tblOutputs_",tblScalesMeasures_734[[#This Row],[ProductId]],"[Alias]")),MATCH(tblScalesMeasures_734[[#This Row],[OutputId]],INDIRECT(_xlfn.CONCAT("tblOutputs_",tblScalesMeasures_734[[#This Row],[ProductId]],"[ID]")),0))</f>
        <v>L2</v>
      </c>
      <c r="W72" s="175" t="s">
        <v>272</v>
      </c>
      <c r="X72" s="175" t="s">
        <v>71</v>
      </c>
      <c r="Y72" s="76" t="str">
        <f ca="1">_xlfn.CONCAT(tblScalesMeasures_734[[#This Row],[Alias]], " ", tblScalesMeasures_734[[#This Row],[Parameter]], " ","(",tblScalesMeasures_734[[#This Row],[Unit]],")")</f>
        <v>L2 Wobble Amplitude 2 (V)</v>
      </c>
      <c r="Z72" s="175">
        <v>1.35</v>
      </c>
      <c r="AA72" s="175">
        <v>1.65</v>
      </c>
      <c r="AB72" s="175" t="s">
        <v>63</v>
      </c>
      <c r="AC72" s="175" t="s">
        <v>184</v>
      </c>
    </row>
    <row r="73" spans="2:29">
      <c r="B73" s="23">
        <v>22</v>
      </c>
      <c r="C73" s="23">
        <f ca="1">INDEX(INDIRECT(_xlfn.CONCAT(INDIRECT("tblScalesMeasures_Selected[Table]"),"[","ProductId","]")),MATCH(tblProductScalesMeasures[[#This Row],[ID]],INDIRECT(_xlfn.CONCAT(INDIRECT("tblScalesMeasures_Selected[Table]"),"[","ID","]")),0))</f>
        <v>734</v>
      </c>
      <c r="D73" s="30">
        <f ca="1">INDEX(INDIRECT(_xlfn.CONCAT(INDIRECT("tblScalesMeasures_Selected[Table]"),"[","OutputId","]")),MATCH(tblProductScalesMeasures[[#This Row],[ID]],INDIRECT(_xlfn.CONCAT(INDIRECT("tblScalesMeasures_Selected[Table]"),"[","ID","]")),0))</f>
        <v>3</v>
      </c>
      <c r="E73" s="76" t="str">
        <f ca="1">INDEX(INDIRECT(_xlfn.CONCAT(INDIRECT("tblScalesMeasures_Selected[Table]"),"[","Alias","]")),MATCH(tblProductScalesMeasures[[#This Row],[ID]],INDIRECT(_xlfn.CONCAT(INDIRECT("tblScalesMeasures_Selected[Table]"),"[","ID","]")),0))</f>
        <v>L2</v>
      </c>
      <c r="F73" s="76" t="str">
        <f ca="1">INDEX(INDIRECT(_xlfn.CONCAT(INDIRECT("tblScalesMeasures_Selected[Table]"),"[","Parameter","]")),MATCH(tblProductScalesMeasures[[#This Row],[ID]],INDIRECT(_xlfn.CONCAT(INDIRECT("tblScalesMeasures_Selected[Table]"),"[","ID","]")),0))</f>
        <v>Wobble Amplitude 3</v>
      </c>
      <c r="G73" s="76" t="str">
        <f ca="1">INDEX(INDIRECT(_xlfn.CONCAT(INDIRECT("tblScalesMeasures_Selected[Table]"),"[","Unit","]")),MATCH(tblProductScalesMeasures[[#This Row],[ID]],INDIRECT(_xlfn.CONCAT(INDIRECT("tblScalesMeasures_Selected[Table]"),"[","ID","]")),0))</f>
        <v>V</v>
      </c>
      <c r="H73" s="77" t="str">
        <f ca="1">INDEX(INDIRECT(_xlfn.CONCAT(INDIRECT("tblScalesMeasures_Selected[Table]"),"[","Description","]")),MATCH(tblProductScalesMeasures[[#This Row],[ID]],INDIRECT(_xlfn.CONCAT(INDIRECT("tblScalesMeasures_Selected[Table]"),"[","ID","]")),0))</f>
        <v>L2 Wobble Amplitude 3 (V)</v>
      </c>
      <c r="I73" s="76">
        <f ca="1">INDEX(INDIRECT(_xlfn.CONCAT(INDIRECT("tblScalesMeasures_Selected[Table]"),"[","Min","]")),MATCH(tblProductScalesMeasures[[#This Row],[ID]],INDIRECT(_xlfn.CONCAT(INDIRECT("tblScalesMeasures_Selected[Table]"),"[","ID","]")),0))</f>
        <v>0.45</v>
      </c>
      <c r="J73" s="76">
        <f ca="1">INDEX(INDIRECT(_xlfn.CONCAT(INDIRECT("tblScalesMeasures_Selected[Table]"),"[","Max","]")),MATCH(tblProductScalesMeasures[[#This Row],[ID]],INDIRECT(_xlfn.CONCAT(INDIRECT("tblScalesMeasures_Selected[Table]"),"[","ID","]")),0))</f>
        <v>0.55000000000000004</v>
      </c>
      <c r="K73" s="76" t="str">
        <f ca="1">INDEX(INDIRECT(_xlfn.CONCAT(INDIRECT("tblScalesMeasures_Selected[Table]"),"[","Nominal","]")),MATCH(tblProductScalesMeasures[[#This Row],[ID]],INDIRECT(_xlfn.CONCAT(INDIRECT("tblScalesMeasures_Selected[Table]"),"[","ID","]")),0))</f>
        <v>-</v>
      </c>
      <c r="L73" s="76" t="str">
        <f ca="1">INDEX(INDIRECT(_xlfn.CONCAT(INDIRECT("tblScalesMeasures_Selected[Table]"),"[","Value","]")),MATCH(tblProductScalesMeasures[[#This Row],[ID]],INDIRECT(_xlfn.CONCAT(INDIRECT("tblScalesMeasures_Selected[Table]"),"[","ID","]")),0))</f>
        <v>N</v>
      </c>
      <c r="S73" s="187">
        <v>22</v>
      </c>
      <c r="T73" s="184">
        <v>734</v>
      </c>
      <c r="U73" s="187">
        <v>3</v>
      </c>
      <c r="V73" s="175" t="str">
        <f ca="1">INDEX(INDIRECT(_xlfn.CONCAT("tblOutputs_",tblScalesMeasures_734[[#This Row],[ProductId]],"[Alias]")),MATCH(tblScalesMeasures_734[[#This Row],[OutputId]],INDIRECT(_xlfn.CONCAT("tblOutputs_",tblScalesMeasures_734[[#This Row],[ProductId]],"[ID]")),0))</f>
        <v>L2</v>
      </c>
      <c r="W73" s="175" t="s">
        <v>284</v>
      </c>
      <c r="X73" s="175" t="s">
        <v>71</v>
      </c>
      <c r="Y73" s="76" t="str">
        <f ca="1">_xlfn.CONCAT(tblScalesMeasures_734[[#This Row],[Alias]], " ", tblScalesMeasures_734[[#This Row],[Parameter]], " ","(",tblScalesMeasures_734[[#This Row],[Unit]],")")</f>
        <v>L2 Wobble Amplitude 3 (V)</v>
      </c>
      <c r="Z73" s="175">
        <v>0.45</v>
      </c>
      <c r="AA73" s="175">
        <v>0.55000000000000004</v>
      </c>
      <c r="AB73" s="175" t="s">
        <v>63</v>
      </c>
      <c r="AC73" s="175" t="s">
        <v>184</v>
      </c>
    </row>
    <row r="74" spans="2:29">
      <c r="B74" s="23">
        <v>23</v>
      </c>
      <c r="C74" s="23">
        <f ca="1">INDEX(INDIRECT(_xlfn.CONCAT(INDIRECT("tblScalesMeasures_Selected[Table]"),"[","ProductId","]")),MATCH(tblProductScalesMeasures[[#This Row],[ID]],INDIRECT(_xlfn.CONCAT(INDIRECT("tblScalesMeasures_Selected[Table]"),"[","ID","]")),0))</f>
        <v>734</v>
      </c>
      <c r="D74" s="30">
        <f ca="1">INDEX(INDIRECT(_xlfn.CONCAT(INDIRECT("tblScalesMeasures_Selected[Table]"),"[","OutputId","]")),MATCH(tblProductScalesMeasures[[#This Row],[ID]],INDIRECT(_xlfn.CONCAT(INDIRECT("tblScalesMeasures_Selected[Table]"),"[","ID","]")),0))</f>
        <v>3</v>
      </c>
      <c r="E74" s="76" t="str">
        <f ca="1">INDEX(INDIRECT(_xlfn.CONCAT(INDIRECT("tblScalesMeasures_Selected[Table]"),"[","Alias","]")),MATCH(tblProductScalesMeasures[[#This Row],[ID]],INDIRECT(_xlfn.CONCAT(INDIRECT("tblScalesMeasures_Selected[Table]"),"[","ID","]")),0))</f>
        <v>L2</v>
      </c>
      <c r="F74" s="76" t="str">
        <f ca="1">INDEX(INDIRECT(_xlfn.CONCAT(INDIRECT("tblScalesMeasures_Selected[Table]"),"[","Parameter","]")),MATCH(tblProductScalesMeasures[[#This Row],[ID]],INDIRECT(_xlfn.CONCAT(INDIRECT("tblScalesMeasures_Selected[Table]"),"[","ID","]")),0))</f>
        <v>Wobble Frequency 1</v>
      </c>
      <c r="G74" s="76" t="str">
        <f ca="1">INDEX(INDIRECT(_xlfn.CONCAT(INDIRECT("tblScalesMeasures_Selected[Table]"),"[","Unit","]")),MATCH(tblProductScalesMeasures[[#This Row],[ID]],INDIRECT(_xlfn.CONCAT(INDIRECT("tblScalesMeasures_Selected[Table]"),"[","ID","]")),0))</f>
        <v>Hz</v>
      </c>
      <c r="H74" s="77" t="str">
        <f ca="1">INDEX(INDIRECT(_xlfn.CONCAT(INDIRECT("tblScalesMeasures_Selected[Table]"),"[","Description","]")),MATCH(tblProductScalesMeasures[[#This Row],[ID]],INDIRECT(_xlfn.CONCAT(INDIRECT("tblScalesMeasures_Selected[Table]"),"[","ID","]")),0))</f>
        <v>L2 Wobble Frequency 1 (Hz)</v>
      </c>
      <c r="I74" s="76">
        <f ca="1">INDEX(INDIRECT(_xlfn.CONCAT(INDIRECT("tblScalesMeasures_Selected[Table]"),"[","Min","]")),MATCH(tblProductScalesMeasures[[#This Row],[ID]],INDIRECT(_xlfn.CONCAT(INDIRECT("tblScalesMeasures_Selected[Table]"),"[","ID","]")),0))</f>
        <v>0.2</v>
      </c>
      <c r="J74" s="76">
        <f ca="1">INDEX(INDIRECT(_xlfn.CONCAT(INDIRECT("tblScalesMeasures_Selected[Table]"),"[","Max","]")),MATCH(tblProductScalesMeasures[[#This Row],[ID]],INDIRECT(_xlfn.CONCAT(INDIRECT("tblScalesMeasures_Selected[Table]"),"[","ID","]")),0))</f>
        <v>0.3</v>
      </c>
      <c r="K74" s="76" t="str">
        <f ca="1">INDEX(INDIRECT(_xlfn.CONCAT(INDIRECT("tblScalesMeasures_Selected[Table]"),"[","Nominal","]")),MATCH(tblProductScalesMeasures[[#This Row],[ID]],INDIRECT(_xlfn.CONCAT(INDIRECT("tblScalesMeasures_Selected[Table]"),"[","ID","]")),0))</f>
        <v>-</v>
      </c>
      <c r="L74" s="76" t="str">
        <f ca="1">INDEX(INDIRECT(_xlfn.CONCAT(INDIRECT("tblScalesMeasures_Selected[Table]"),"[","Value","]")),MATCH(tblProductScalesMeasures[[#This Row],[ID]],INDIRECT(_xlfn.CONCAT(INDIRECT("tblScalesMeasures_Selected[Table]"),"[","ID","]")),0))</f>
        <v>N</v>
      </c>
      <c r="S74" s="187">
        <v>23</v>
      </c>
      <c r="T74" s="26">
        <v>734</v>
      </c>
      <c r="U74" s="25">
        <v>3</v>
      </c>
      <c r="V74" s="175" t="str">
        <f ca="1">INDEX(INDIRECT(_xlfn.CONCAT("tblOutputs_",tblScalesMeasures_734[[#This Row],[ProductId]],"[Alias]")),MATCH(tblScalesMeasures_734[[#This Row],[OutputId]],INDIRECT(_xlfn.CONCAT("tblOutputs_",tblScalesMeasures_734[[#This Row],[ProductId]],"[ID]")),0))</f>
        <v>L2</v>
      </c>
      <c r="W74" s="175" t="s">
        <v>271</v>
      </c>
      <c r="X74" t="s">
        <v>227</v>
      </c>
      <c r="Y74" s="76" t="str">
        <f ca="1">_xlfn.CONCAT(tblScalesMeasures_734[[#This Row],[Alias]], " ", tblScalesMeasures_734[[#This Row],[Parameter]], " ","(",tblScalesMeasures_734[[#This Row],[Unit]],")")</f>
        <v>L2 Wobble Frequency 1 (Hz)</v>
      </c>
      <c r="Z74">
        <v>0.2</v>
      </c>
      <c r="AA74">
        <v>0.3</v>
      </c>
      <c r="AB74" t="s">
        <v>63</v>
      </c>
      <c r="AC74" s="175" t="s">
        <v>184</v>
      </c>
    </row>
    <row r="75" spans="2:29">
      <c r="B75" s="23">
        <v>24</v>
      </c>
      <c r="C75" s="23">
        <f ca="1">INDEX(INDIRECT(_xlfn.CONCAT(INDIRECT("tblScalesMeasures_Selected[Table]"),"[","ProductId","]")),MATCH(tblProductScalesMeasures[[#This Row],[ID]],INDIRECT(_xlfn.CONCAT(INDIRECT("tblScalesMeasures_Selected[Table]"),"[","ID","]")),0))</f>
        <v>734</v>
      </c>
      <c r="D75" s="30">
        <f ca="1">INDEX(INDIRECT(_xlfn.CONCAT(INDIRECT("tblScalesMeasures_Selected[Table]"),"[","OutputId","]")),MATCH(tblProductScalesMeasures[[#This Row],[ID]],INDIRECT(_xlfn.CONCAT(INDIRECT("tblScalesMeasures_Selected[Table]"),"[","ID","]")),0))</f>
        <v>3</v>
      </c>
      <c r="E75" s="76" t="str">
        <f ca="1">INDEX(INDIRECT(_xlfn.CONCAT(INDIRECT("tblScalesMeasures_Selected[Table]"),"[","Alias","]")),MATCH(tblProductScalesMeasures[[#This Row],[ID]],INDIRECT(_xlfn.CONCAT(INDIRECT("tblScalesMeasures_Selected[Table]"),"[","ID","]")),0))</f>
        <v>L2</v>
      </c>
      <c r="F75" s="76" t="str">
        <f ca="1">INDEX(INDIRECT(_xlfn.CONCAT(INDIRECT("tblScalesMeasures_Selected[Table]"),"[","Parameter","]")),MATCH(tblProductScalesMeasures[[#This Row],[ID]],INDIRECT(_xlfn.CONCAT(INDIRECT("tblScalesMeasures_Selected[Table]"),"[","ID","]")),0))</f>
        <v>Wobble Frequency 2</v>
      </c>
      <c r="G75" s="76" t="str">
        <f ca="1">INDEX(INDIRECT(_xlfn.CONCAT(INDIRECT("tblScalesMeasures_Selected[Table]"),"[","Unit","]")),MATCH(tblProductScalesMeasures[[#This Row],[ID]],INDIRECT(_xlfn.CONCAT(INDIRECT("tblScalesMeasures_Selected[Table]"),"[","ID","]")),0))</f>
        <v>Hz</v>
      </c>
      <c r="H75" s="77" t="str">
        <f ca="1">INDEX(INDIRECT(_xlfn.CONCAT(INDIRECT("tblScalesMeasures_Selected[Table]"),"[","Description","]")),MATCH(tblProductScalesMeasures[[#This Row],[ID]],INDIRECT(_xlfn.CONCAT(INDIRECT("tblScalesMeasures_Selected[Table]"),"[","ID","]")),0))</f>
        <v>L2 Wobble Frequency 2 (Hz)</v>
      </c>
      <c r="I75" s="76">
        <f ca="1">INDEX(INDIRECT(_xlfn.CONCAT(INDIRECT("tblScalesMeasures_Selected[Table]"),"[","Min","]")),MATCH(tblProductScalesMeasures[[#This Row],[ID]],INDIRECT(_xlfn.CONCAT(INDIRECT("tblScalesMeasures_Selected[Table]"),"[","ID","]")),0))</f>
        <v>0.9</v>
      </c>
      <c r="J75" s="76">
        <f ca="1">INDEX(INDIRECT(_xlfn.CONCAT(INDIRECT("tblScalesMeasures_Selected[Table]"),"[","Max","]")),MATCH(tblProductScalesMeasures[[#This Row],[ID]],INDIRECT(_xlfn.CONCAT(INDIRECT("tblScalesMeasures_Selected[Table]"),"[","ID","]")),0))</f>
        <v>1.1000000000000001</v>
      </c>
      <c r="K75" s="76" t="str">
        <f ca="1">INDEX(INDIRECT(_xlfn.CONCAT(INDIRECT("tblScalesMeasures_Selected[Table]"),"[","Nominal","]")),MATCH(tblProductScalesMeasures[[#This Row],[ID]],INDIRECT(_xlfn.CONCAT(INDIRECT("tblScalesMeasures_Selected[Table]"),"[","ID","]")),0))</f>
        <v>-</v>
      </c>
      <c r="L75" s="76" t="str">
        <f ca="1">INDEX(INDIRECT(_xlfn.CONCAT(INDIRECT("tblScalesMeasures_Selected[Table]"),"[","Value","]")),MATCH(tblProductScalesMeasures[[#This Row],[ID]],INDIRECT(_xlfn.CONCAT(INDIRECT("tblScalesMeasures_Selected[Table]"),"[","ID","]")),0))</f>
        <v>N</v>
      </c>
      <c r="S75" s="187">
        <v>24</v>
      </c>
      <c r="T75" s="26">
        <v>734</v>
      </c>
      <c r="U75" s="25">
        <v>3</v>
      </c>
      <c r="V75" s="175" t="str">
        <f ca="1">INDEX(INDIRECT(_xlfn.CONCAT("tblOutputs_",tblScalesMeasures_734[[#This Row],[ProductId]],"[Alias]")),MATCH(tblScalesMeasures_734[[#This Row],[OutputId]],INDIRECT(_xlfn.CONCAT("tblOutputs_",tblScalesMeasures_734[[#This Row],[ProductId]],"[ID]")),0))</f>
        <v>L2</v>
      </c>
      <c r="W75" s="175" t="s">
        <v>273</v>
      </c>
      <c r="X75" t="s">
        <v>227</v>
      </c>
      <c r="Y75" s="76" t="str">
        <f ca="1">_xlfn.CONCAT(tblScalesMeasures_734[[#This Row],[Alias]], " ", tblScalesMeasures_734[[#This Row],[Parameter]], " ","(",tblScalesMeasures_734[[#This Row],[Unit]],")")</f>
        <v>L2 Wobble Frequency 2 (Hz)</v>
      </c>
      <c r="Z75">
        <v>0.9</v>
      </c>
      <c r="AA75">
        <v>1.1000000000000001</v>
      </c>
      <c r="AB75" t="s">
        <v>63</v>
      </c>
      <c r="AC75" s="175" t="s">
        <v>184</v>
      </c>
    </row>
    <row r="76" spans="2:29">
      <c r="B76" s="23">
        <v>25</v>
      </c>
      <c r="C76" s="23">
        <f ca="1">INDEX(INDIRECT(_xlfn.CONCAT(INDIRECT("tblScalesMeasures_Selected[Table]"),"[","ProductId","]")),MATCH(tblProductScalesMeasures[[#This Row],[ID]],INDIRECT(_xlfn.CONCAT(INDIRECT("tblScalesMeasures_Selected[Table]"),"[","ID","]")),0))</f>
        <v>734</v>
      </c>
      <c r="D76" s="30">
        <f ca="1">INDEX(INDIRECT(_xlfn.CONCAT(INDIRECT("tblScalesMeasures_Selected[Table]"),"[","OutputId","]")),MATCH(tblProductScalesMeasures[[#This Row],[ID]],INDIRECT(_xlfn.CONCAT(INDIRECT("tblScalesMeasures_Selected[Table]"),"[","ID","]")),0))</f>
        <v>3</v>
      </c>
      <c r="E76" s="76" t="str">
        <f ca="1">INDEX(INDIRECT(_xlfn.CONCAT(INDIRECT("tblScalesMeasures_Selected[Table]"),"[","Alias","]")),MATCH(tblProductScalesMeasures[[#This Row],[ID]],INDIRECT(_xlfn.CONCAT(INDIRECT("tblScalesMeasures_Selected[Table]"),"[","ID","]")),0))</f>
        <v>L2</v>
      </c>
      <c r="F76" s="76" t="str">
        <f ca="1">INDEX(INDIRECT(_xlfn.CONCAT(INDIRECT("tblScalesMeasures_Selected[Table]"),"[","Parameter","]")),MATCH(tblProductScalesMeasures[[#This Row],[ID]],INDIRECT(_xlfn.CONCAT(INDIRECT("tblScalesMeasures_Selected[Table]"),"[","ID","]")),0))</f>
        <v>Output Current Off Load</v>
      </c>
      <c r="G76" s="76" t="str">
        <f ca="1">INDEX(INDIRECT(_xlfn.CONCAT(INDIRECT("tblScalesMeasures_Selected[Table]"),"[","Unit","]")),MATCH(tblProductScalesMeasures[[#This Row],[ID]],INDIRECT(_xlfn.CONCAT(INDIRECT("tblScalesMeasures_Selected[Table]"),"[","ID","]")),0))</f>
        <v>uA</v>
      </c>
      <c r="H76" s="77" t="str">
        <f ca="1">INDEX(INDIRECT(_xlfn.CONCAT(INDIRECT("tblScalesMeasures_Selected[Table]"),"[","Description","]")),MATCH(tblProductScalesMeasures[[#This Row],[ID]],INDIRECT(_xlfn.CONCAT(INDIRECT("tblScalesMeasures_Selected[Table]"),"[","ID","]")),0))</f>
        <v>L2 Output Current Off Load (uA)</v>
      </c>
      <c r="I76" s="76">
        <f ca="1">INDEX(INDIRECT(_xlfn.CONCAT(INDIRECT("tblScalesMeasures_Selected[Table]"),"[","Min","]")),MATCH(tblProductScalesMeasures[[#This Row],[ID]],INDIRECT(_xlfn.CONCAT(INDIRECT("tblScalesMeasures_Selected[Table]"),"[","ID","]")),0))</f>
        <v>-1</v>
      </c>
      <c r="J76" s="76">
        <f ca="1">INDEX(INDIRECT(_xlfn.CONCAT(INDIRECT("tblScalesMeasures_Selected[Table]"),"[","Max","]")),MATCH(tblProductScalesMeasures[[#This Row],[ID]],INDIRECT(_xlfn.CONCAT(INDIRECT("tblScalesMeasures_Selected[Table]"),"[","ID","]")),0))</f>
        <v>1</v>
      </c>
      <c r="K76" s="76" t="str">
        <f ca="1">INDEX(INDIRECT(_xlfn.CONCAT(INDIRECT("tblScalesMeasures_Selected[Table]"),"[","Nominal","]")),MATCH(tblProductScalesMeasures[[#This Row],[ID]],INDIRECT(_xlfn.CONCAT(INDIRECT("tblScalesMeasures_Selected[Table]"),"[","ID","]")),0))</f>
        <v>-</v>
      </c>
      <c r="L76" s="76" t="str">
        <f ca="1">INDEX(INDIRECT(_xlfn.CONCAT(INDIRECT("tblScalesMeasures_Selected[Table]"),"[","Value","]")),MATCH(tblProductScalesMeasures[[#This Row],[ID]],INDIRECT(_xlfn.CONCAT(INDIRECT("tblScalesMeasures_Selected[Table]"),"[","ID","]")),0))</f>
        <v>N</v>
      </c>
      <c r="S76" s="25">
        <v>25</v>
      </c>
      <c r="T76" s="26">
        <v>734</v>
      </c>
      <c r="U76" s="25">
        <v>3</v>
      </c>
      <c r="V76" s="175" t="str">
        <f ca="1">INDEX(INDIRECT(_xlfn.CONCAT("tblOutputs_",tblScalesMeasures_734[[#This Row],[ProductId]],"[Alias]")),MATCH(tblScalesMeasures_734[[#This Row],[OutputId]],INDIRECT(_xlfn.CONCAT("tblOutputs_",tblScalesMeasures_734[[#This Row],[ProductId]],"[ID]")),0))</f>
        <v>L2</v>
      </c>
      <c r="W76" s="175" t="s">
        <v>430</v>
      </c>
      <c r="X76" s="43" t="s">
        <v>124</v>
      </c>
      <c r="Y76" s="76" t="str">
        <f ca="1">_xlfn.CONCAT(tblScalesMeasures_734[[#This Row],[Alias]], " ", tblScalesMeasures_734[[#This Row],[Parameter]], " ","(",tblScalesMeasures_734[[#This Row],[Unit]],")")</f>
        <v>L2 Output Current Off Load (uA)</v>
      </c>
      <c r="Z76" s="43">
        <v>-1</v>
      </c>
      <c r="AA76" s="43">
        <v>1</v>
      </c>
      <c r="AB76" s="43" t="s">
        <v>63</v>
      </c>
      <c r="AC76" s="175" t="s">
        <v>184</v>
      </c>
    </row>
    <row r="77" spans="2:29">
      <c r="B77" s="23">
        <v>26</v>
      </c>
      <c r="C77" s="23">
        <f ca="1">INDEX(INDIRECT(_xlfn.CONCAT(INDIRECT("tblScalesMeasures_Selected[Table]"),"[","ProductId","]")),MATCH(tblProductScalesMeasures[[#This Row],[ID]],INDIRECT(_xlfn.CONCAT(INDIRECT("tblScalesMeasures_Selected[Table]"),"[","ID","]")),0))</f>
        <v>734</v>
      </c>
      <c r="D77" s="30">
        <f ca="1">INDEX(INDIRECT(_xlfn.CONCAT(INDIRECT("tblScalesMeasures_Selected[Table]"),"[","OutputId","]")),MATCH(tblProductScalesMeasures[[#This Row],[ID]],INDIRECT(_xlfn.CONCAT(INDIRECT("tblScalesMeasures_Selected[Table]"),"[","ID","]")),0))</f>
        <v>3</v>
      </c>
      <c r="E77" s="76" t="str">
        <f ca="1">INDEX(INDIRECT(_xlfn.CONCAT(INDIRECT("tblScalesMeasures_Selected[Table]"),"[","Alias","]")),MATCH(tblProductScalesMeasures[[#This Row],[ID]],INDIRECT(_xlfn.CONCAT(INDIRECT("tblScalesMeasures_Selected[Table]"),"[","ID","]")),0))</f>
        <v>L2</v>
      </c>
      <c r="F77" s="76" t="str">
        <f ca="1">INDEX(INDIRECT(_xlfn.CONCAT(INDIRECT("tblScalesMeasures_Selected[Table]"),"[","Parameter","]")),MATCH(tblProductScalesMeasures[[#This Row],[ID]],INDIRECT(_xlfn.CONCAT(INDIRECT("tblScalesMeasures_Selected[Table]"),"[","ID","]")),0))</f>
        <v>Load Regulation Positive</v>
      </c>
      <c r="G77" s="76" t="str">
        <f ca="1">INDEX(INDIRECT(_xlfn.CONCAT(INDIRECT("tblScalesMeasures_Selected[Table]"),"[","Unit","]")),MATCH(tblProductScalesMeasures[[#This Row],[ID]],INDIRECT(_xlfn.CONCAT(INDIRECT("tblScalesMeasures_Selected[Table]"),"[","ID","]")),0))</f>
        <v>V</v>
      </c>
      <c r="H77" s="77" t="str">
        <f ca="1">INDEX(INDIRECT(_xlfn.CONCAT(INDIRECT("tblScalesMeasures_Selected[Table]"),"[","Description","]")),MATCH(tblProductScalesMeasures[[#This Row],[ID]],INDIRECT(_xlfn.CONCAT(INDIRECT("tblScalesMeasures_Selected[Table]"),"[","ID","]")),0))</f>
        <v>L2 Load Regulation Positive (V)</v>
      </c>
      <c r="I77" s="76">
        <f ca="1">INDEX(INDIRECT(_xlfn.CONCAT(INDIRECT("tblScalesMeasures_Selected[Table]"),"[","Min","]")),MATCH(tblProductScalesMeasures[[#This Row],[ID]],INDIRECT(_xlfn.CONCAT(INDIRECT("tblScalesMeasures_Selected[Table]"),"[","ID","]")),0))</f>
        <v>-1.25</v>
      </c>
      <c r="J77" s="76">
        <f ca="1">INDEX(INDIRECT(_xlfn.CONCAT(INDIRECT("tblScalesMeasures_Selected[Table]"),"[","Max","]")),MATCH(tblProductScalesMeasures[[#This Row],[ID]],INDIRECT(_xlfn.CONCAT(INDIRECT("tblScalesMeasures_Selected[Table]"),"[","ID","]")),0))</f>
        <v>1.25</v>
      </c>
      <c r="K77" s="76" t="str">
        <f ca="1">INDEX(INDIRECT(_xlfn.CONCAT(INDIRECT("tblScalesMeasures_Selected[Table]"),"[","Nominal","]")),MATCH(tblProductScalesMeasures[[#This Row],[ID]],INDIRECT(_xlfn.CONCAT(INDIRECT("tblScalesMeasures_Selected[Table]"),"[","ID","]")),0))</f>
        <v>-</v>
      </c>
      <c r="L77" s="76" t="str">
        <f ca="1">INDEX(INDIRECT(_xlfn.CONCAT(INDIRECT("tblScalesMeasures_Selected[Table]"),"[","Value","]")),MATCH(tblProductScalesMeasures[[#This Row],[ID]],INDIRECT(_xlfn.CONCAT(INDIRECT("tblScalesMeasures_Selected[Table]"),"[","ID","]")),0))</f>
        <v>N</v>
      </c>
      <c r="S77" s="25">
        <v>26</v>
      </c>
      <c r="T77" s="184">
        <v>734</v>
      </c>
      <c r="U77" s="265">
        <v>3</v>
      </c>
      <c r="V77" s="175" t="str">
        <f ca="1">INDEX(INDIRECT(_xlfn.CONCAT("tblOutputs_",tblScalesMeasures_734[[#This Row],[ProductId]],"[Alias]")),MATCH(tblScalesMeasures_734[[#This Row],[OutputId]],INDIRECT(_xlfn.CONCAT("tblOutputs_",tblScalesMeasures_734[[#This Row],[ProductId]],"[ID]")),0))</f>
        <v>L2</v>
      </c>
      <c r="W77" s="175" t="s">
        <v>450</v>
      </c>
      <c r="X77" s="175" t="s">
        <v>71</v>
      </c>
      <c r="Y77" s="76" t="str">
        <f ca="1">_xlfn.CONCAT(tblScalesMeasures_734[[#This Row],[Alias]], " ", tblScalesMeasures_734[[#This Row],[Parameter]], " ","(",tblScalesMeasures_734[[#This Row],[Unit]],")")</f>
        <v>L2 Load Regulation Positive (V)</v>
      </c>
      <c r="Z77" s="175">
        <v>-1.25</v>
      </c>
      <c r="AA77" s="175">
        <v>1.25</v>
      </c>
      <c r="AB77" s="175" t="s">
        <v>63</v>
      </c>
      <c r="AC77" s="175" t="s">
        <v>184</v>
      </c>
    </row>
    <row r="78" spans="2:29">
      <c r="B78" s="23">
        <v>27</v>
      </c>
      <c r="C78" s="23">
        <f ca="1">INDEX(INDIRECT(_xlfn.CONCAT(INDIRECT("tblScalesMeasures_Selected[Table]"),"[","ProductId","]")),MATCH(tblProductScalesMeasures[[#This Row],[ID]],INDIRECT(_xlfn.CONCAT(INDIRECT("tblScalesMeasures_Selected[Table]"),"[","ID","]")),0))</f>
        <v>734</v>
      </c>
      <c r="D78" s="30">
        <f ca="1">INDEX(INDIRECT(_xlfn.CONCAT(INDIRECT("tblScalesMeasures_Selected[Table]"),"[","OutputId","]")),MATCH(tblProductScalesMeasures[[#This Row],[ID]],INDIRECT(_xlfn.CONCAT(INDIRECT("tblScalesMeasures_Selected[Table]"),"[","ID","]")),0))</f>
        <v>3</v>
      </c>
      <c r="E78" s="76" t="str">
        <f ca="1">INDEX(INDIRECT(_xlfn.CONCAT(INDIRECT("tblScalesMeasures_Selected[Table]"),"[","Alias","]")),MATCH(tblProductScalesMeasures[[#This Row],[ID]],INDIRECT(_xlfn.CONCAT(INDIRECT("tblScalesMeasures_Selected[Table]"),"[","ID","]")),0))</f>
        <v>L2</v>
      </c>
      <c r="F78" s="76" t="str">
        <f ca="1">INDEX(INDIRECT(_xlfn.CONCAT(INDIRECT("tblScalesMeasures_Selected[Table]"),"[","Parameter","]")),MATCH(tblProductScalesMeasures[[#This Row],[ID]],INDIRECT(_xlfn.CONCAT(INDIRECT("tblScalesMeasures_Selected[Table]"),"[","ID","]")),0))</f>
        <v>Load Regulation Negative</v>
      </c>
      <c r="G78" s="76" t="str">
        <f ca="1">INDEX(INDIRECT(_xlfn.CONCAT(INDIRECT("tblScalesMeasures_Selected[Table]"),"[","Unit","]")),MATCH(tblProductScalesMeasures[[#This Row],[ID]],INDIRECT(_xlfn.CONCAT(INDIRECT("tblScalesMeasures_Selected[Table]"),"[","ID","]")),0))</f>
        <v>V</v>
      </c>
      <c r="H78" s="77" t="str">
        <f ca="1">INDEX(INDIRECT(_xlfn.CONCAT(INDIRECT("tblScalesMeasures_Selected[Table]"),"[","Description","]")),MATCH(tblProductScalesMeasures[[#This Row],[ID]],INDIRECT(_xlfn.CONCAT(INDIRECT("tblScalesMeasures_Selected[Table]"),"[","ID","]")),0))</f>
        <v>L2 Load Regulation Negative (V)</v>
      </c>
      <c r="I78" s="76">
        <f ca="1">INDEX(INDIRECT(_xlfn.CONCAT(INDIRECT("tblScalesMeasures_Selected[Table]"),"[","Min","]")),MATCH(tblProductScalesMeasures[[#This Row],[ID]],INDIRECT(_xlfn.CONCAT(INDIRECT("tblScalesMeasures_Selected[Table]"),"[","ID","]")),0))</f>
        <v>-0.75</v>
      </c>
      <c r="J78" s="76">
        <f ca="1">INDEX(INDIRECT(_xlfn.CONCAT(INDIRECT("tblScalesMeasures_Selected[Table]"),"[","Max","]")),MATCH(tblProductScalesMeasures[[#This Row],[ID]],INDIRECT(_xlfn.CONCAT(INDIRECT("tblScalesMeasures_Selected[Table]"),"[","ID","]")),0))</f>
        <v>0.75</v>
      </c>
      <c r="K78" s="76" t="str">
        <f ca="1">INDEX(INDIRECT(_xlfn.CONCAT(INDIRECT("tblScalesMeasures_Selected[Table]"),"[","Nominal","]")),MATCH(tblProductScalesMeasures[[#This Row],[ID]],INDIRECT(_xlfn.CONCAT(INDIRECT("tblScalesMeasures_Selected[Table]"),"[","ID","]")),0))</f>
        <v>-</v>
      </c>
      <c r="L78" s="76" t="str">
        <f ca="1">INDEX(INDIRECT(_xlfn.CONCAT(INDIRECT("tblScalesMeasures_Selected[Table]"),"[","Value","]")),MATCH(tblProductScalesMeasures[[#This Row],[ID]],INDIRECT(_xlfn.CONCAT(INDIRECT("tblScalesMeasures_Selected[Table]"),"[","ID","]")),0))</f>
        <v>N</v>
      </c>
      <c r="P78" s="43"/>
      <c r="S78" s="25">
        <v>27</v>
      </c>
      <c r="T78" s="184">
        <v>734</v>
      </c>
      <c r="U78" s="265">
        <v>3</v>
      </c>
      <c r="V78" s="175" t="str">
        <f ca="1">INDEX(INDIRECT(_xlfn.CONCAT("tblOutputs_",tblScalesMeasures_734[[#This Row],[ProductId]],"[Alias]")),MATCH(tblScalesMeasures_734[[#This Row],[OutputId]],INDIRECT(_xlfn.CONCAT("tblOutputs_",tblScalesMeasures_734[[#This Row],[ProductId]],"[ID]")),0))</f>
        <v>L2</v>
      </c>
      <c r="W78" s="175" t="s">
        <v>451</v>
      </c>
      <c r="X78" s="175" t="s">
        <v>71</v>
      </c>
      <c r="Y78" s="76" t="str">
        <f ca="1">_xlfn.CONCAT(tblScalesMeasures_734[[#This Row],[Alias]], " ", tblScalesMeasures_734[[#This Row],[Parameter]], " ","(",tblScalesMeasures_734[[#This Row],[Unit]],")")</f>
        <v>L2 Load Regulation Negative (V)</v>
      </c>
      <c r="Z78" s="175">
        <v>-0.75</v>
      </c>
      <c r="AA78" s="175">
        <v>0.75</v>
      </c>
      <c r="AB78" s="175" t="s">
        <v>63</v>
      </c>
      <c r="AC78" s="175" t="s">
        <v>184</v>
      </c>
    </row>
    <row r="79" spans="2:29">
      <c r="B79" s="23">
        <v>28</v>
      </c>
      <c r="C79" s="23">
        <f ca="1">INDEX(INDIRECT(_xlfn.CONCAT(INDIRECT("tblScalesMeasures_Selected[Table]"),"[","ProductId","]")),MATCH(tblProductScalesMeasures[[#This Row],[ID]],INDIRECT(_xlfn.CONCAT(INDIRECT("tblScalesMeasures_Selected[Table]"),"[","ID","]")),0))</f>
        <v>734</v>
      </c>
      <c r="D79" s="30">
        <f ca="1">INDEX(INDIRECT(_xlfn.CONCAT(INDIRECT("tblScalesMeasures_Selected[Table]"),"[","OutputId","]")),MATCH(tblProductScalesMeasures[[#This Row],[ID]],INDIRECT(_xlfn.CONCAT(INDIRECT("tblScalesMeasures_Selected[Table]"),"[","ID","]")),0))</f>
        <v>4</v>
      </c>
      <c r="E79" s="76" t="str">
        <f ca="1">INDEX(INDIRECT(_xlfn.CONCAT(INDIRECT("tblScalesMeasures_Selected[Table]"),"[","Alias","]")),MATCH(tblProductScalesMeasures[[#This Row],[ID]],INDIRECT(_xlfn.CONCAT(INDIRECT("tblScalesMeasures_Selected[Table]"),"[","ID","]")),0))</f>
        <v>ACC</v>
      </c>
      <c r="F79" s="76" t="str">
        <f ca="1">INDEX(INDIRECT(_xlfn.CONCAT(INDIRECT("tblScalesMeasures_Selected[Table]"),"[","Parameter","]")),MATCH(tblProductScalesMeasures[[#This Row],[ID]],INDIRECT(_xlfn.CONCAT(INDIRECT("tblScalesMeasures_Selected[Table]"),"[","ID","]")),0))</f>
        <v>Current Limit</v>
      </c>
      <c r="G79" s="76" t="str">
        <f ca="1">INDEX(INDIRECT(_xlfn.CONCAT(INDIRECT("tblScalesMeasures_Selected[Table]"),"[","Unit","]")),MATCH(tblProductScalesMeasures[[#This Row],[ID]],INDIRECT(_xlfn.CONCAT(INDIRECT("tblScalesMeasures_Selected[Table]"),"[","ID","]")),0))</f>
        <v>uA</v>
      </c>
      <c r="H79" s="77" t="str">
        <f ca="1">INDEX(INDIRECT(_xlfn.CONCAT(INDIRECT("tblScalesMeasures_Selected[Table]"),"[","Description","]")),MATCH(tblProductScalesMeasures[[#This Row],[ID]],INDIRECT(_xlfn.CONCAT(INDIRECT("tblScalesMeasures_Selected[Table]"),"[","ID","]")),0))</f>
        <v>ACC Current Limit (uA)</v>
      </c>
      <c r="I79" s="76">
        <f ca="1">INDEX(INDIRECT(_xlfn.CONCAT(INDIRECT("tblScalesMeasures_Selected[Table]"),"[","Min","]")),MATCH(tblProductScalesMeasures[[#This Row],[ID]],INDIRECT(_xlfn.CONCAT(INDIRECT("tblScalesMeasures_Selected[Table]"),"[","ID","]")),0))</f>
        <v>0</v>
      </c>
      <c r="J79" s="76">
        <f ca="1">INDEX(INDIRECT(_xlfn.CONCAT(INDIRECT("tblScalesMeasures_Selected[Table]"),"[","Max","]")),MATCH(tblProductScalesMeasures[[#This Row],[ID]],INDIRECT(_xlfn.CONCAT(INDIRECT("tblScalesMeasures_Selected[Table]"),"[","ID","]")),0))</f>
        <v>3</v>
      </c>
      <c r="K79" s="76" t="str">
        <f ca="1">INDEX(INDIRECT(_xlfn.CONCAT(INDIRECT("tblScalesMeasures_Selected[Table]"),"[","Nominal","]")),MATCH(tblProductScalesMeasures[[#This Row],[ID]],INDIRECT(_xlfn.CONCAT(INDIRECT("tblScalesMeasures_Selected[Table]"),"[","ID","]")),0))</f>
        <v>-</v>
      </c>
      <c r="L79" s="76" t="str">
        <f ca="1">INDEX(INDIRECT(_xlfn.CONCAT(INDIRECT("tblScalesMeasures_Selected[Table]"),"[","Value","]")),MATCH(tblProductScalesMeasures[[#This Row],[ID]],INDIRECT(_xlfn.CONCAT(INDIRECT("tblScalesMeasures_Selected[Table]"),"[","ID","]")),0))</f>
        <v>N</v>
      </c>
      <c r="S79" s="25">
        <v>28</v>
      </c>
      <c r="T79" s="26">
        <v>734</v>
      </c>
      <c r="U79" s="25">
        <v>4</v>
      </c>
      <c r="V79" s="175" t="str">
        <f ca="1">INDEX(INDIRECT(_xlfn.CONCAT("tblOutputs_",tblScalesMeasures_734[[#This Row],[ProductId]],"[Alias]")),MATCH(tblScalesMeasures_734[[#This Row],[OutputId]],INDIRECT(_xlfn.CONCAT("tblOutputs_",tblScalesMeasures_734[[#This Row],[ProductId]],"[ID]")),0))</f>
        <v>ACC</v>
      </c>
      <c r="W79" s="175" t="s">
        <v>274</v>
      </c>
      <c r="X79" s="175" t="s">
        <v>124</v>
      </c>
      <c r="Y79" s="76" t="str">
        <f ca="1">_xlfn.CONCAT(tblScalesMeasures_734[[#This Row],[Alias]], " ", tblScalesMeasures_734[[#This Row],[Parameter]], " ","(",tblScalesMeasures_734[[#This Row],[Unit]],")")</f>
        <v>ACC Current Limit (uA)</v>
      </c>
      <c r="Z79" s="175">
        <v>0</v>
      </c>
      <c r="AA79" s="175">
        <v>3</v>
      </c>
      <c r="AB79" s="175" t="s">
        <v>63</v>
      </c>
      <c r="AC79" s="175" t="s">
        <v>184</v>
      </c>
    </row>
    <row r="80" spans="2:29">
      <c r="B80" s="23">
        <v>29</v>
      </c>
      <c r="C80" s="23">
        <f ca="1">INDEX(INDIRECT(_xlfn.CONCAT(INDIRECT("tblScalesMeasures_Selected[Table]"),"[","ProductId","]")),MATCH(tblProductScalesMeasures[[#This Row],[ID]],INDIRECT(_xlfn.CONCAT(INDIRECT("tblScalesMeasures_Selected[Table]"),"[","ID","]")),0))</f>
        <v>734</v>
      </c>
      <c r="D80" s="30">
        <f ca="1">INDEX(INDIRECT(_xlfn.CONCAT(INDIRECT("tblScalesMeasures_Selected[Table]"),"[","OutputId","]")),MATCH(tblProductScalesMeasures[[#This Row],[ID]],INDIRECT(_xlfn.CONCAT(INDIRECT("tblScalesMeasures_Selected[Table]"),"[","ID","]")),0))</f>
        <v>4</v>
      </c>
      <c r="E80" s="76" t="str">
        <f ca="1">INDEX(INDIRECT(_xlfn.CONCAT(INDIRECT("tblScalesMeasures_Selected[Table]"),"[","Alias","]")),MATCH(tblProductScalesMeasures[[#This Row],[ID]],INDIRECT(_xlfn.CONCAT(INDIRECT("tblScalesMeasures_Selected[Table]"),"[","ID","]")),0))</f>
        <v>ACC</v>
      </c>
      <c r="F80" s="76" t="str">
        <f ca="1">INDEX(INDIRECT(_xlfn.CONCAT(INDIRECT("tblScalesMeasures_Selected[Table]"),"[","Parameter","]")),MATCH(tblProductScalesMeasures[[#This Row],[ID]],INDIRECT(_xlfn.CONCAT(INDIRECT("tblScalesMeasures_Selected[Table]"),"[","ID","]")),0))</f>
        <v>Vout</v>
      </c>
      <c r="G80" s="76" t="str">
        <f ca="1">INDEX(INDIRECT(_xlfn.CONCAT(INDIRECT("tblScalesMeasures_Selected[Table]"),"[","Unit","]")),MATCH(tblProductScalesMeasures[[#This Row],[ID]],INDIRECT(_xlfn.CONCAT(INDIRECT("tblScalesMeasures_Selected[Table]"),"[","ID","]")),0))</f>
        <v>V</v>
      </c>
      <c r="H80" s="77" t="str">
        <f ca="1">INDEX(INDIRECT(_xlfn.CONCAT(INDIRECT("tblScalesMeasures_Selected[Table]"),"[","Description","]")),MATCH(tblProductScalesMeasures[[#This Row],[ID]],INDIRECT(_xlfn.CONCAT(INDIRECT("tblScalesMeasures_Selected[Table]"),"[","ID","]")),0))</f>
        <v>ACC Vout (V)</v>
      </c>
      <c r="I80" s="76">
        <f ca="1">INDEX(INDIRECT(_xlfn.CONCAT(INDIRECT("tblScalesMeasures_Selected[Table]"),"[","Min","]")),MATCH(tblProductScalesMeasures[[#This Row],[ID]],INDIRECT(_xlfn.CONCAT(INDIRECT("tblScalesMeasures_Selected[Table]"),"[","ID","]")),0))</f>
        <v>-100</v>
      </c>
      <c r="J80" s="76">
        <f ca="1">INDEX(INDIRECT(_xlfn.CONCAT(INDIRECT("tblScalesMeasures_Selected[Table]"),"[","Max","]")),MATCH(tblProductScalesMeasures[[#This Row],[ID]],INDIRECT(_xlfn.CONCAT(INDIRECT("tblScalesMeasures_Selected[Table]"),"[","ID","]")),0))</f>
        <v>100</v>
      </c>
      <c r="K80" s="76" t="str">
        <f ca="1">INDEX(INDIRECT(_xlfn.CONCAT(INDIRECT("tblScalesMeasures_Selected[Table]"),"[","Nominal","]")),MATCH(tblProductScalesMeasures[[#This Row],[ID]],INDIRECT(_xlfn.CONCAT(INDIRECT("tblScalesMeasures_Selected[Table]"),"[","ID","]")),0))</f>
        <v>-</v>
      </c>
      <c r="L80" s="76" t="str">
        <f ca="1">INDEX(INDIRECT(_xlfn.CONCAT(INDIRECT("tblScalesMeasures_Selected[Table]"),"[","Value","]")),MATCH(tblProductScalesMeasures[[#This Row],[ID]],INDIRECT(_xlfn.CONCAT(INDIRECT("tblScalesMeasures_Selected[Table]"),"[","ID","]")),0))</f>
        <v>N</v>
      </c>
      <c r="S80" s="285">
        <v>29</v>
      </c>
      <c r="T80" s="184">
        <v>734</v>
      </c>
      <c r="U80" s="285">
        <v>4</v>
      </c>
      <c r="V80" s="175" t="str">
        <f ca="1">INDEX(INDIRECT(_xlfn.CONCAT("tblOutputs_",tblScalesMeasures_734[[#This Row],[ProductId]],"[Alias]")),MATCH(tblScalesMeasures_734[[#This Row],[OutputId]],INDIRECT(_xlfn.CONCAT("tblOutputs_",tblScalesMeasures_734[[#This Row],[ProductId]],"[ID]")),0))</f>
        <v>ACC</v>
      </c>
      <c r="W80" s="175" t="s">
        <v>126</v>
      </c>
      <c r="X80" s="175" t="s">
        <v>71</v>
      </c>
      <c r="Y80" s="76" t="str">
        <f ca="1">_xlfn.CONCAT(tblScalesMeasures_734[[#This Row],[Alias]], " ", tblScalesMeasures_734[[#This Row],[Parameter]], " ","(",tblScalesMeasures_734[[#This Row],[Unit]],")")</f>
        <v>ACC Vout (V)</v>
      </c>
      <c r="Z80" s="175">
        <v>-100</v>
      </c>
      <c r="AA80" s="175">
        <v>100</v>
      </c>
      <c r="AB80" s="175" t="s">
        <v>63</v>
      </c>
      <c r="AC80" s="175" t="s">
        <v>184</v>
      </c>
    </row>
    <row r="81" spans="2:29">
      <c r="B81" s="23">
        <v>30</v>
      </c>
      <c r="C81" s="23">
        <f ca="1">INDEX(INDIRECT(_xlfn.CONCAT(INDIRECT("tblScalesMeasures_Selected[Table]"),"[","ProductId","]")),MATCH(tblProductScalesMeasures[[#This Row],[ID]],INDIRECT(_xlfn.CONCAT(INDIRECT("tblScalesMeasures_Selected[Table]"),"[","ID","]")),0))</f>
        <v>734</v>
      </c>
      <c r="D81" s="30">
        <f ca="1">INDEX(INDIRECT(_xlfn.CONCAT(INDIRECT("tblScalesMeasures_Selected[Table]"),"[","OutputId","]")),MATCH(tblProductScalesMeasures[[#This Row],[ID]],INDIRECT(_xlfn.CONCAT(INDIRECT("tblScalesMeasures_Selected[Table]"),"[","ID","]")),0))</f>
        <v>4</v>
      </c>
      <c r="E81" s="76" t="str">
        <f ca="1">INDEX(INDIRECT(_xlfn.CONCAT(INDIRECT("tblScalesMeasures_Selected[Table]"),"[","Alias","]")),MATCH(tblProductScalesMeasures[[#This Row],[ID]],INDIRECT(_xlfn.CONCAT(INDIRECT("tblScalesMeasures_Selected[Table]"),"[","ID","]")),0))</f>
        <v>ACC</v>
      </c>
      <c r="F81" s="76" t="str">
        <f ca="1">INDEX(INDIRECT(_xlfn.CONCAT(INDIRECT("tblScalesMeasures_Selected[Table]"),"[","Parameter","]")),MATCH(tblProductScalesMeasures[[#This Row],[ID]],INDIRECT(_xlfn.CONCAT(INDIRECT("tblScalesMeasures_Selected[Table]"),"[","ID","]")),0))</f>
        <v>Vout minimum V</v>
      </c>
      <c r="G81" s="76" t="str">
        <f ca="1">INDEX(INDIRECT(_xlfn.CONCAT(INDIRECT("tblScalesMeasures_Selected[Table]"),"[","Unit","]")),MATCH(tblProductScalesMeasures[[#This Row],[ID]],INDIRECT(_xlfn.CONCAT(INDIRECT("tblScalesMeasures_Selected[Table]"),"[","ID","]")),0))</f>
        <v>V</v>
      </c>
      <c r="H81" s="77" t="str">
        <f ca="1">INDEX(INDIRECT(_xlfn.CONCAT(INDIRECT("tblScalesMeasures_Selected[Table]"),"[","Description","]")),MATCH(tblProductScalesMeasures[[#This Row],[ID]],INDIRECT(_xlfn.CONCAT(INDIRECT("tblScalesMeasures_Selected[Table]"),"[","ID","]")),0))</f>
        <v>ACC Vout minimum V (V)</v>
      </c>
      <c r="I81" s="76">
        <f ca="1">INDEX(INDIRECT(_xlfn.CONCAT(INDIRECT("tblScalesMeasures_Selected[Table]"),"[","Min","]")),MATCH(tblProductScalesMeasures[[#This Row],[ID]],INDIRECT(_xlfn.CONCAT(INDIRECT("tblScalesMeasures_Selected[Table]"),"[","ID","]")),0))</f>
        <v>-100</v>
      </c>
      <c r="J81" s="76">
        <f ca="1">INDEX(INDIRECT(_xlfn.CONCAT(INDIRECT("tblScalesMeasures_Selected[Table]"),"[","Max","]")),MATCH(tblProductScalesMeasures[[#This Row],[ID]],INDIRECT(_xlfn.CONCAT(INDIRECT("tblScalesMeasures_Selected[Table]"),"[","ID","]")),0))</f>
        <v>100</v>
      </c>
      <c r="K81" s="76" t="str">
        <f ca="1">INDEX(INDIRECT(_xlfn.CONCAT(INDIRECT("tblScalesMeasures_Selected[Table]"),"[","Nominal","]")),MATCH(tblProductScalesMeasures[[#This Row],[ID]],INDIRECT(_xlfn.CONCAT(INDIRECT("tblScalesMeasures_Selected[Table]"),"[","ID","]")),0))</f>
        <v>-</v>
      </c>
      <c r="L81" s="76" t="str">
        <f ca="1">INDEX(INDIRECT(_xlfn.CONCAT(INDIRECT("tblScalesMeasures_Selected[Table]"),"[","Value","]")),MATCH(tblProductScalesMeasures[[#This Row],[ID]],INDIRECT(_xlfn.CONCAT(INDIRECT("tblScalesMeasures_Selected[Table]"),"[","ID","]")),0))</f>
        <v>N</v>
      </c>
      <c r="S81" s="285">
        <v>30</v>
      </c>
      <c r="T81" s="184">
        <v>734</v>
      </c>
      <c r="U81" s="285">
        <v>4</v>
      </c>
      <c r="V81" s="175" t="str">
        <f ca="1">INDEX(INDIRECT(_xlfn.CONCAT("tblOutputs_",tblScalesMeasures_734[[#This Row],[ProductId]],"[Alias]")),MATCH(tblScalesMeasures_734[[#This Row],[OutputId]],INDIRECT(_xlfn.CONCAT("tblOutputs_",tblScalesMeasures_734[[#This Row],[ProductId]],"[ID]")),0))</f>
        <v>ACC</v>
      </c>
      <c r="W81" s="175" t="s">
        <v>283</v>
      </c>
      <c r="X81" s="175" t="s">
        <v>71</v>
      </c>
      <c r="Y81" s="76" t="str">
        <f ca="1">_xlfn.CONCAT(tblScalesMeasures_734[[#This Row],[Alias]], " ", tblScalesMeasures_734[[#This Row],[Parameter]], " ","(",tblScalesMeasures_734[[#This Row],[Unit]],")")</f>
        <v>ACC Vout minimum V (V)</v>
      </c>
      <c r="Z81" s="175">
        <v>-100</v>
      </c>
      <c r="AA81" s="175">
        <v>100</v>
      </c>
      <c r="AB81" s="175" t="s">
        <v>63</v>
      </c>
      <c r="AC81" s="175" t="s">
        <v>184</v>
      </c>
    </row>
    <row r="82" spans="2:29">
      <c r="B82" s="23">
        <v>31</v>
      </c>
      <c r="C82" s="23">
        <f ca="1">INDEX(INDIRECT(_xlfn.CONCAT(INDIRECT("tblScalesMeasures_Selected[Table]"),"[","ProductId","]")),MATCH(tblProductScalesMeasures[[#This Row],[ID]],INDIRECT(_xlfn.CONCAT(INDIRECT("tblScalesMeasures_Selected[Table]"),"[","ID","]")),0))</f>
        <v>734</v>
      </c>
      <c r="D82" s="30">
        <f ca="1">INDEX(INDIRECT(_xlfn.CONCAT(INDIRECT("tblScalesMeasures_Selected[Table]"),"[","OutputId","]")),MATCH(tblProductScalesMeasures[[#This Row],[ID]],INDIRECT(_xlfn.CONCAT(INDIRECT("tblScalesMeasures_Selected[Table]"),"[","ID","]")),0))</f>
        <v>4</v>
      </c>
      <c r="E82" s="76" t="str">
        <f ca="1">INDEX(INDIRECT(_xlfn.CONCAT(INDIRECT("tblScalesMeasures_Selected[Table]"),"[","Alias","]")),MATCH(tblProductScalesMeasures[[#This Row],[ID]],INDIRECT(_xlfn.CONCAT(INDIRECT("tblScalesMeasures_Selected[Table]"),"[","ID","]")),0))</f>
        <v>ACC</v>
      </c>
      <c r="F82" s="76" t="str">
        <f ca="1">INDEX(INDIRECT(_xlfn.CONCAT(INDIRECT("tblScalesMeasures_Selected[Table]"),"[","Parameter","]")),MATCH(tblProductScalesMeasures[[#This Row],[ID]],INDIRECT(_xlfn.CONCAT(INDIRECT("tblScalesMeasures_Selected[Table]"),"[","ID","]")),0))</f>
        <v>Output Current Off Load</v>
      </c>
      <c r="G82" s="76" t="str">
        <f ca="1">INDEX(INDIRECT(_xlfn.CONCAT(INDIRECT("tblScalesMeasures_Selected[Table]"),"[","Unit","]")),MATCH(tblProductScalesMeasures[[#This Row],[ID]],INDIRECT(_xlfn.CONCAT(INDIRECT("tblScalesMeasures_Selected[Table]"),"[","ID","]")),0))</f>
        <v>uA</v>
      </c>
      <c r="H82" s="77" t="str">
        <f ca="1">INDEX(INDIRECT(_xlfn.CONCAT(INDIRECT("tblScalesMeasures_Selected[Table]"),"[","Description","]")),MATCH(tblProductScalesMeasures[[#This Row],[ID]],INDIRECT(_xlfn.CONCAT(INDIRECT("tblScalesMeasures_Selected[Table]"),"[","ID","]")),0))</f>
        <v>ACC Output Current Off Load (uA)</v>
      </c>
      <c r="I82" s="76">
        <f ca="1">INDEX(INDIRECT(_xlfn.CONCAT(INDIRECT("tblScalesMeasures_Selected[Table]"),"[","Min","]")),MATCH(tblProductScalesMeasures[[#This Row],[ID]],INDIRECT(_xlfn.CONCAT(INDIRECT("tblScalesMeasures_Selected[Table]"),"[","ID","]")),0))</f>
        <v>-1.5</v>
      </c>
      <c r="J82" s="76">
        <f ca="1">INDEX(INDIRECT(_xlfn.CONCAT(INDIRECT("tblScalesMeasures_Selected[Table]"),"[","Max","]")),MATCH(tblProductScalesMeasures[[#This Row],[ID]],INDIRECT(_xlfn.CONCAT(INDIRECT("tblScalesMeasures_Selected[Table]"),"[","ID","]")),0))</f>
        <v>1.5</v>
      </c>
      <c r="K82" s="76" t="str">
        <f ca="1">INDEX(INDIRECT(_xlfn.CONCAT(INDIRECT("tblScalesMeasures_Selected[Table]"),"[","Nominal","]")),MATCH(tblProductScalesMeasures[[#This Row],[ID]],INDIRECT(_xlfn.CONCAT(INDIRECT("tblScalesMeasures_Selected[Table]"),"[","ID","]")),0))</f>
        <v>-</v>
      </c>
      <c r="L82" s="76" t="str">
        <f ca="1">INDEX(INDIRECT(_xlfn.CONCAT(INDIRECT("tblScalesMeasures_Selected[Table]"),"[","Value","]")),MATCH(tblProductScalesMeasures[[#This Row],[ID]],INDIRECT(_xlfn.CONCAT(INDIRECT("tblScalesMeasures_Selected[Table]"),"[","ID","]")),0))</f>
        <v>N</v>
      </c>
      <c r="S82" s="25">
        <v>31</v>
      </c>
      <c r="T82" s="184">
        <v>734</v>
      </c>
      <c r="U82" s="285">
        <v>4</v>
      </c>
      <c r="V82" s="175" t="str">
        <f ca="1">INDEX(INDIRECT(_xlfn.CONCAT("tblOutputs_",tblScalesMeasures_734[[#This Row],[ProductId]],"[Alias]")),MATCH(tblScalesMeasures_734[[#This Row],[OutputId]],INDIRECT(_xlfn.CONCAT("tblOutputs_",tblScalesMeasures_734[[#This Row],[ProductId]],"[ID]")),0))</f>
        <v>ACC</v>
      </c>
      <c r="W82" s="43" t="s">
        <v>430</v>
      </c>
      <c r="X82" s="43" t="s">
        <v>124</v>
      </c>
      <c r="Y82" s="76" t="str">
        <f ca="1">_xlfn.CONCAT(tblScalesMeasures_734[[#This Row],[Alias]], " ", tblScalesMeasures_734[[#This Row],[Parameter]], " ","(",tblScalesMeasures_734[[#This Row],[Unit]],")")</f>
        <v>ACC Output Current Off Load (uA)</v>
      </c>
      <c r="Z82" s="43">
        <v>-1.5</v>
      </c>
      <c r="AA82" s="43">
        <v>1.5</v>
      </c>
      <c r="AB82" s="43" t="s">
        <v>63</v>
      </c>
      <c r="AC82" s="175" t="s">
        <v>184</v>
      </c>
    </row>
    <row r="83" spans="2:29">
      <c r="B83" s="23">
        <v>32</v>
      </c>
      <c r="C83" s="23">
        <f ca="1">INDEX(INDIRECT(_xlfn.CONCAT(INDIRECT("tblScalesMeasures_Selected[Table]"),"[","ProductId","]")),MATCH(tblProductScalesMeasures[[#This Row],[ID]],INDIRECT(_xlfn.CONCAT(INDIRECT("tblScalesMeasures_Selected[Table]"),"[","ID","]")),0))</f>
        <v>734</v>
      </c>
      <c r="D83" s="30">
        <f ca="1">INDEX(INDIRECT(_xlfn.CONCAT(INDIRECT("tblScalesMeasures_Selected[Table]"),"[","OutputId","]")),MATCH(tblProductScalesMeasures[[#This Row],[ID]],INDIRECT(_xlfn.CONCAT(INDIRECT("tblScalesMeasures_Selected[Table]"),"[","ID","]")),0))</f>
        <v>4</v>
      </c>
      <c r="E83" s="76" t="str">
        <f ca="1">INDEX(INDIRECT(_xlfn.CONCAT(INDIRECT("tblScalesMeasures_Selected[Table]"),"[","Alias","]")),MATCH(tblProductScalesMeasures[[#This Row],[ID]],INDIRECT(_xlfn.CONCAT(INDIRECT("tblScalesMeasures_Selected[Table]"),"[","ID","]")),0))</f>
        <v>ACC</v>
      </c>
      <c r="F83" s="76" t="str">
        <f ca="1">INDEX(INDIRECT(_xlfn.CONCAT(INDIRECT("tblScalesMeasures_Selected[Table]"),"[","Parameter","]")),MATCH(tblProductScalesMeasures[[#This Row],[ID]],INDIRECT(_xlfn.CONCAT(INDIRECT("tblScalesMeasures_Selected[Table]"),"[","ID","]")),0))</f>
        <v>Output Current Off Load  @ 0V</v>
      </c>
      <c r="G83" s="76" t="str">
        <f ca="1">INDEX(INDIRECT(_xlfn.CONCAT(INDIRECT("tblScalesMeasures_Selected[Table]"),"[","Unit","]")),MATCH(tblProductScalesMeasures[[#This Row],[ID]],INDIRECT(_xlfn.CONCAT(INDIRECT("tblScalesMeasures_Selected[Table]"),"[","ID","]")),0))</f>
        <v>uA</v>
      </c>
      <c r="H83" s="77" t="str">
        <f ca="1">INDEX(INDIRECT(_xlfn.CONCAT(INDIRECT("tblScalesMeasures_Selected[Table]"),"[","Description","]")),MATCH(tblProductScalesMeasures[[#This Row],[ID]],INDIRECT(_xlfn.CONCAT(INDIRECT("tblScalesMeasures_Selected[Table]"),"[","ID","]")),0))</f>
        <v>ACC Output Current Off Load  @ 0V (uA)</v>
      </c>
      <c r="I83" s="76">
        <f ca="1">INDEX(INDIRECT(_xlfn.CONCAT(INDIRECT("tblScalesMeasures_Selected[Table]"),"[","Min","]")),MATCH(tblProductScalesMeasures[[#This Row],[ID]],INDIRECT(_xlfn.CONCAT(INDIRECT("tblScalesMeasures_Selected[Table]"),"[","ID","]")),0))</f>
        <v>-0.3</v>
      </c>
      <c r="J83" s="76">
        <f ca="1">INDEX(INDIRECT(_xlfn.CONCAT(INDIRECT("tblScalesMeasures_Selected[Table]"),"[","Max","]")),MATCH(tblProductScalesMeasures[[#This Row],[ID]],INDIRECT(_xlfn.CONCAT(INDIRECT("tblScalesMeasures_Selected[Table]"),"[","ID","]")),0))</f>
        <v>0.3</v>
      </c>
      <c r="K83" s="76" t="str">
        <f ca="1">INDEX(INDIRECT(_xlfn.CONCAT(INDIRECT("tblScalesMeasures_Selected[Table]"),"[","Nominal","]")),MATCH(tblProductScalesMeasures[[#This Row],[ID]],INDIRECT(_xlfn.CONCAT(INDIRECT("tblScalesMeasures_Selected[Table]"),"[","ID","]")),0))</f>
        <v>-</v>
      </c>
      <c r="L83" s="76" t="str">
        <f ca="1">INDEX(INDIRECT(_xlfn.CONCAT(INDIRECT("tblScalesMeasures_Selected[Table]"),"[","Value","]")),MATCH(tblProductScalesMeasures[[#This Row],[ID]],INDIRECT(_xlfn.CONCAT(INDIRECT("tblScalesMeasures_Selected[Table]"),"[","ID","]")),0))</f>
        <v>N</v>
      </c>
      <c r="S83" s="25">
        <v>32</v>
      </c>
      <c r="T83" s="184">
        <v>734</v>
      </c>
      <c r="U83" s="285">
        <v>4</v>
      </c>
      <c r="V83" s="175" t="str">
        <f ca="1">INDEX(INDIRECT(_xlfn.CONCAT("tblOutputs_",tblScalesMeasures_734[[#This Row],[ProductId]],"[Alias]")),MATCH(tblScalesMeasures_734[[#This Row],[OutputId]],INDIRECT(_xlfn.CONCAT("tblOutputs_",tblScalesMeasures_734[[#This Row],[ProductId]],"[ID]")),0))</f>
        <v>ACC</v>
      </c>
      <c r="W83" s="175" t="s">
        <v>462</v>
      </c>
      <c r="X83" s="175" t="s">
        <v>124</v>
      </c>
      <c r="Y83" s="76" t="str">
        <f ca="1">_xlfn.CONCAT(tblScalesMeasures_734[[#This Row],[Alias]], " ", tblScalesMeasures_734[[#This Row],[Parameter]], " ","(",tblScalesMeasures_734[[#This Row],[Unit]],")")</f>
        <v>ACC Output Current Off Load  @ 0V (uA)</v>
      </c>
      <c r="Z83" s="175">
        <v>-0.3</v>
      </c>
      <c r="AA83" s="175">
        <v>0.3</v>
      </c>
      <c r="AB83" s="175" t="s">
        <v>63</v>
      </c>
      <c r="AC83" s="175" t="s">
        <v>184</v>
      </c>
    </row>
    <row r="84" spans="2:29">
      <c r="B84" s="23">
        <v>33</v>
      </c>
      <c r="C84" s="23">
        <f ca="1">INDEX(INDIRECT(_xlfn.CONCAT(INDIRECT("tblScalesMeasures_Selected[Table]"),"[","ProductId","]")),MATCH(tblProductScalesMeasures[[#This Row],[ID]],INDIRECT(_xlfn.CONCAT(INDIRECT("tblScalesMeasures_Selected[Table]"),"[","ID","]")),0))</f>
        <v>734</v>
      </c>
      <c r="D84" s="30">
        <f ca="1">INDEX(INDIRECT(_xlfn.CONCAT(INDIRECT("tblScalesMeasures_Selected[Table]"),"[","OutputId","]")),MATCH(tblProductScalesMeasures[[#This Row],[ID]],INDIRECT(_xlfn.CONCAT(INDIRECT("tblScalesMeasures_Selected[Table]"),"[","ID","]")),0))</f>
        <v>4</v>
      </c>
      <c r="E84" s="76" t="str">
        <f ca="1">INDEX(INDIRECT(_xlfn.CONCAT(INDIRECT("tblScalesMeasures_Selected[Table]"),"[","Alias","]")),MATCH(tblProductScalesMeasures[[#This Row],[ID]],INDIRECT(_xlfn.CONCAT(INDIRECT("tblScalesMeasures_Selected[Table]"),"[","ID","]")),0))</f>
        <v>ACC</v>
      </c>
      <c r="F84" s="76" t="str">
        <f ca="1">INDEX(INDIRECT(_xlfn.CONCAT(INDIRECT("tblScalesMeasures_Selected[Table]"),"[","Parameter","]")),MATCH(tblProductScalesMeasures[[#This Row],[ID]],INDIRECT(_xlfn.CONCAT(INDIRECT("tblScalesMeasures_Selected[Table]"),"[","ID","]")),0))</f>
        <v>Voltage Monitor Error</v>
      </c>
      <c r="G84" s="76" t="str">
        <f ca="1">INDEX(INDIRECT(_xlfn.CONCAT(INDIRECT("tblScalesMeasures_Selected[Table]"),"[","Unit","]")),MATCH(tblProductScalesMeasures[[#This Row],[ID]],INDIRECT(_xlfn.CONCAT(INDIRECT("tblScalesMeasures_Selected[Table]"),"[","ID","]")),0))</f>
        <v>%</v>
      </c>
      <c r="H84" s="77" t="str">
        <f ca="1">INDEX(INDIRECT(_xlfn.CONCAT(INDIRECT("tblScalesMeasures_Selected[Table]"),"[","Description","]")),MATCH(tblProductScalesMeasures[[#This Row],[ID]],INDIRECT(_xlfn.CONCAT(INDIRECT("tblScalesMeasures_Selected[Table]"),"[","ID","]")),0))</f>
        <v>ACC Voltage Monitor Error (%)</v>
      </c>
      <c r="I84" s="76">
        <f ca="1">INDEX(INDIRECT(_xlfn.CONCAT(INDIRECT("tblScalesMeasures_Selected[Table]"),"[","Min","]")),MATCH(tblProductScalesMeasures[[#This Row],[ID]],INDIRECT(_xlfn.CONCAT(INDIRECT("tblScalesMeasures_Selected[Table]"),"[","ID","]")),0))</f>
        <v>-1</v>
      </c>
      <c r="J84" s="76">
        <f ca="1">INDEX(INDIRECT(_xlfn.CONCAT(INDIRECT("tblScalesMeasures_Selected[Table]"),"[","Max","]")),MATCH(tblProductScalesMeasures[[#This Row],[ID]],INDIRECT(_xlfn.CONCAT(INDIRECT("tblScalesMeasures_Selected[Table]"),"[","ID","]")),0))</f>
        <v>1</v>
      </c>
      <c r="K84" s="76" t="str">
        <f ca="1">INDEX(INDIRECT(_xlfn.CONCAT(INDIRECT("tblScalesMeasures_Selected[Table]"),"[","Nominal","]")),MATCH(tblProductScalesMeasures[[#This Row],[ID]],INDIRECT(_xlfn.CONCAT(INDIRECT("tblScalesMeasures_Selected[Table]"),"[","ID","]")),0))</f>
        <v>-</v>
      </c>
      <c r="L84" s="76" t="str">
        <f ca="1">INDEX(INDIRECT(_xlfn.CONCAT(INDIRECT("tblScalesMeasures_Selected[Table]"),"[","Value","]")),MATCH(tblProductScalesMeasures[[#This Row],[ID]],INDIRECT(_xlfn.CONCAT(INDIRECT("tblScalesMeasures_Selected[Table]"),"[","ID","]")),0))</f>
        <v>P</v>
      </c>
      <c r="S84" s="25">
        <v>33</v>
      </c>
      <c r="T84" s="26">
        <v>734</v>
      </c>
      <c r="U84" s="285">
        <v>4</v>
      </c>
      <c r="V84" s="175" t="str">
        <f ca="1">INDEX(INDIRECT(_xlfn.CONCAT("tblOutputs_",tblScalesMeasures_734[[#This Row],[ProductId]],"[Alias]")),MATCH(tblScalesMeasures_734[[#This Row],[OutputId]],INDIRECT(_xlfn.CONCAT("tblOutputs_",tblScalesMeasures_734[[#This Row],[ProductId]],"[ID]")),0))</f>
        <v>ACC</v>
      </c>
      <c r="W84" s="175" t="s">
        <v>294</v>
      </c>
      <c r="X84" s="175" t="s">
        <v>338</v>
      </c>
      <c r="Y84" s="76" t="str">
        <f ca="1">_xlfn.CONCAT(tblScalesMeasures_734[[#This Row],[Alias]], " ", tblScalesMeasures_734[[#This Row],[Parameter]], " ","(",tblScalesMeasures_734[[#This Row],[Unit]],")")</f>
        <v>ACC Voltage Monitor Error (%)</v>
      </c>
      <c r="Z84" s="175">
        <v>-1</v>
      </c>
      <c r="AA84" s="175">
        <v>1</v>
      </c>
      <c r="AB84" s="175" t="s">
        <v>63</v>
      </c>
      <c r="AC84" s="175" t="s">
        <v>268</v>
      </c>
    </row>
    <row r="85" spans="2:29">
      <c r="B85" s="23">
        <v>34</v>
      </c>
      <c r="C85" s="23">
        <f ca="1">INDEX(INDIRECT(_xlfn.CONCAT(INDIRECT("tblScalesMeasures_Selected[Table]"),"[","ProductId","]")),MATCH(tblProductScalesMeasures[[#This Row],[ID]],INDIRECT(_xlfn.CONCAT(INDIRECT("tblScalesMeasures_Selected[Table]"),"[","ID","]")),0))</f>
        <v>734</v>
      </c>
      <c r="D85" s="30">
        <f ca="1">INDEX(INDIRECT(_xlfn.CONCAT(INDIRECT("tblScalesMeasures_Selected[Table]"),"[","OutputId","]")),MATCH(tblProductScalesMeasures[[#This Row],[ID]],INDIRECT(_xlfn.CONCAT(INDIRECT("tblScalesMeasures_Selected[Table]"),"[","ID","]")),0))</f>
        <v>4</v>
      </c>
      <c r="E85" s="76" t="str">
        <f ca="1">INDEX(INDIRECT(_xlfn.CONCAT(INDIRECT("tblScalesMeasures_Selected[Table]"),"[","Alias","]")),MATCH(tblProductScalesMeasures[[#This Row],[ID]],INDIRECT(_xlfn.CONCAT(INDIRECT("tblScalesMeasures_Selected[Table]"),"[","ID","]")),0))</f>
        <v>ACC</v>
      </c>
      <c r="F85" s="76" t="str">
        <f ca="1">INDEX(INDIRECT(_xlfn.CONCAT(INDIRECT("tblScalesMeasures_Selected[Table]"),"[","Parameter","]")),MATCH(tblProductScalesMeasures[[#This Row],[ID]],INDIRECT(_xlfn.CONCAT(INDIRECT("tblScalesMeasures_Selected[Table]"),"[","ID","]")),0))</f>
        <v>Output Current @ 28uA</v>
      </c>
      <c r="G85" s="76" t="str">
        <f ca="1">INDEX(INDIRECT(_xlfn.CONCAT(INDIRECT("tblScalesMeasures_Selected[Table]"),"[","Unit","]")),MATCH(tblProductScalesMeasures[[#This Row],[ID]],INDIRECT(_xlfn.CONCAT(INDIRECT("tblScalesMeasures_Selected[Table]"),"[","ID","]")),0))</f>
        <v>uA</v>
      </c>
      <c r="H85" s="77" t="str">
        <f ca="1">INDEX(INDIRECT(_xlfn.CONCAT(INDIRECT("tblScalesMeasures_Selected[Table]"),"[","Description","]")),MATCH(tblProductScalesMeasures[[#This Row],[ID]],INDIRECT(_xlfn.CONCAT(INDIRECT("tblScalesMeasures_Selected[Table]"),"[","ID","]")),0))</f>
        <v>ACC Output Current @ 28uA (uA)</v>
      </c>
      <c r="I85" s="76">
        <f ca="1">INDEX(INDIRECT(_xlfn.CONCAT(INDIRECT("tblScalesMeasures_Selected[Table]"),"[","Min","]")),MATCH(tblProductScalesMeasures[[#This Row],[ID]],INDIRECT(_xlfn.CONCAT(INDIRECT("tblScalesMeasures_Selected[Table]"),"[","ID","]")),0))</f>
        <v>-1</v>
      </c>
      <c r="J85" s="76">
        <f ca="1">INDEX(INDIRECT(_xlfn.CONCAT(INDIRECT("tblScalesMeasures_Selected[Table]"),"[","Max","]")),MATCH(tblProductScalesMeasures[[#This Row],[ID]],INDIRECT(_xlfn.CONCAT(INDIRECT("tblScalesMeasures_Selected[Table]"),"[","ID","]")),0))</f>
        <v>1</v>
      </c>
      <c r="K85" s="76" t="str">
        <f ca="1">INDEX(INDIRECT(_xlfn.CONCAT(INDIRECT("tblScalesMeasures_Selected[Table]"),"[","Nominal","]")),MATCH(tblProductScalesMeasures[[#This Row],[ID]],INDIRECT(_xlfn.CONCAT(INDIRECT("tblScalesMeasures_Selected[Table]"),"[","ID","]")),0))</f>
        <v>-</v>
      </c>
      <c r="L85" s="76" t="str">
        <f ca="1">INDEX(INDIRECT(_xlfn.CONCAT(INDIRECT("tblScalesMeasures_Selected[Table]"),"[","Value","]")),MATCH(tblProductScalesMeasures[[#This Row],[ID]],INDIRECT(_xlfn.CONCAT(INDIRECT("tblScalesMeasures_Selected[Table]"),"[","ID","]")),0))</f>
        <v>N</v>
      </c>
      <c r="S85" s="285">
        <v>34</v>
      </c>
      <c r="T85" s="184">
        <v>734</v>
      </c>
      <c r="U85" s="285">
        <v>4</v>
      </c>
      <c r="V85" s="175" t="str">
        <f ca="1">INDEX(INDIRECT(_xlfn.CONCAT("tblOutputs_",tblScalesMeasures_734[[#This Row],[ProductId]],"[Alias]")),MATCH(tblScalesMeasures_734[[#This Row],[OutputId]],INDIRECT(_xlfn.CONCAT("tblOutputs_",tblScalesMeasures_734[[#This Row],[ProductId]],"[ID]")),0))</f>
        <v>ACC</v>
      </c>
      <c r="W85" s="175" t="s">
        <v>275</v>
      </c>
      <c r="X85" s="175" t="s">
        <v>124</v>
      </c>
      <c r="Y85" s="76" t="str">
        <f ca="1">_xlfn.CONCAT(tblScalesMeasures_734[[#This Row],[Alias]], " ", tblScalesMeasures_734[[#This Row],[Parameter]], " ","(",tblScalesMeasures_734[[#This Row],[Unit]],")")</f>
        <v>ACC Output Current @ 28uA (uA)</v>
      </c>
      <c r="Z85" s="175">
        <v>-1</v>
      </c>
      <c r="AA85" s="175">
        <v>1</v>
      </c>
      <c r="AB85" s="175" t="s">
        <v>63</v>
      </c>
      <c r="AC85" s="175" t="s">
        <v>184</v>
      </c>
    </row>
    <row r="86" spans="2:29">
      <c r="B86" s="23">
        <v>35</v>
      </c>
      <c r="C86" s="23">
        <f ca="1">INDEX(INDIRECT(_xlfn.CONCAT(INDIRECT("tblScalesMeasures_Selected[Table]"),"[","ProductId","]")),MATCH(tblProductScalesMeasures[[#This Row],[ID]],INDIRECT(_xlfn.CONCAT(INDIRECT("tblScalesMeasures_Selected[Table]"),"[","ID","]")),0))</f>
        <v>734</v>
      </c>
      <c r="D86" s="30">
        <f ca="1">INDEX(INDIRECT(_xlfn.CONCAT(INDIRECT("tblScalesMeasures_Selected[Table]"),"[","OutputId","]")),MATCH(tblProductScalesMeasures[[#This Row],[ID]],INDIRECT(_xlfn.CONCAT(INDIRECT("tblScalesMeasures_Selected[Table]"),"[","ID","]")),0))</f>
        <v>4</v>
      </c>
      <c r="E86" s="76" t="str">
        <f ca="1">INDEX(INDIRECT(_xlfn.CONCAT(INDIRECT("tblScalesMeasures_Selected[Table]"),"[","Alias","]")),MATCH(tblProductScalesMeasures[[#This Row],[ID]],INDIRECT(_xlfn.CONCAT(INDIRECT("tblScalesMeasures_Selected[Table]"),"[","ID","]")),0))</f>
        <v>ACC</v>
      </c>
      <c r="F86" s="76" t="str">
        <f ca="1">INDEX(INDIRECT(_xlfn.CONCAT(INDIRECT("tblScalesMeasures_Selected[Table]"),"[","Parameter","]")),MATCH(tblProductScalesMeasures[[#This Row],[ID]],INDIRECT(_xlfn.CONCAT(INDIRECT("tblScalesMeasures_Selected[Table]"),"[","ID","]")),0))</f>
        <v>Current Monitor Error</v>
      </c>
      <c r="G86" s="76" t="str">
        <f ca="1">INDEX(INDIRECT(_xlfn.CONCAT(INDIRECT("tblScalesMeasures_Selected[Table]"),"[","Unit","]")),MATCH(tblProductScalesMeasures[[#This Row],[ID]],INDIRECT(_xlfn.CONCAT(INDIRECT("tblScalesMeasures_Selected[Table]"),"[","ID","]")),0))</f>
        <v>%</v>
      </c>
      <c r="H86" s="77" t="str">
        <f ca="1">INDEX(INDIRECT(_xlfn.CONCAT(INDIRECT("tblScalesMeasures_Selected[Table]"),"[","Description","]")),MATCH(tblProductScalesMeasures[[#This Row],[ID]],INDIRECT(_xlfn.CONCAT(INDIRECT("tblScalesMeasures_Selected[Table]"),"[","ID","]")),0))</f>
        <v>ACC Current Monitor Error (%)</v>
      </c>
      <c r="I86" s="76">
        <f ca="1">INDEX(INDIRECT(_xlfn.CONCAT(INDIRECT("tblScalesMeasures_Selected[Table]"),"[","Min","]")),MATCH(tblProductScalesMeasures[[#This Row],[ID]],INDIRECT(_xlfn.CONCAT(INDIRECT("tblScalesMeasures_Selected[Table]"),"[","ID","]")),0))</f>
        <v>-1</v>
      </c>
      <c r="J86" s="76">
        <f ca="1">INDEX(INDIRECT(_xlfn.CONCAT(INDIRECT("tblScalesMeasures_Selected[Table]"),"[","Max","]")),MATCH(tblProductScalesMeasures[[#This Row],[ID]],INDIRECT(_xlfn.CONCAT(INDIRECT("tblScalesMeasures_Selected[Table]"),"[","ID","]")),0))</f>
        <v>1</v>
      </c>
      <c r="K86" s="76" t="str">
        <f ca="1">INDEX(INDIRECT(_xlfn.CONCAT(INDIRECT("tblScalesMeasures_Selected[Table]"),"[","Nominal","]")),MATCH(tblProductScalesMeasures[[#This Row],[ID]],INDIRECT(_xlfn.CONCAT(INDIRECT("tblScalesMeasures_Selected[Table]"),"[","ID","]")),0))</f>
        <v>-</v>
      </c>
      <c r="L86" s="76" t="str">
        <f ca="1">INDEX(INDIRECT(_xlfn.CONCAT(INDIRECT("tblScalesMeasures_Selected[Table]"),"[","Value","]")),MATCH(tblProductScalesMeasures[[#This Row],[ID]],INDIRECT(_xlfn.CONCAT(INDIRECT("tblScalesMeasures_Selected[Table]"),"[","ID","]")),0))</f>
        <v>P</v>
      </c>
      <c r="S86" s="25">
        <v>35</v>
      </c>
      <c r="T86" s="26">
        <v>734</v>
      </c>
      <c r="U86" s="25">
        <v>4</v>
      </c>
      <c r="V86" s="175" t="str">
        <f ca="1">INDEX(INDIRECT(_xlfn.CONCAT("tblOutputs_",tblScalesMeasures_734[[#This Row],[ProductId]],"[Alias]")),MATCH(tblScalesMeasures_734[[#This Row],[OutputId]],INDIRECT(_xlfn.CONCAT("tblOutputs_",tblScalesMeasures_734[[#This Row],[ProductId]],"[ID]")),0))</f>
        <v>ACC</v>
      </c>
      <c r="W86" s="175" t="s">
        <v>293</v>
      </c>
      <c r="X86" s="175" t="s">
        <v>338</v>
      </c>
      <c r="Y86" s="76" t="str">
        <f ca="1">_xlfn.CONCAT(tblScalesMeasures_734[[#This Row],[Alias]], " ", tblScalesMeasures_734[[#This Row],[Parameter]], " ","(",tblScalesMeasures_734[[#This Row],[Unit]],")")</f>
        <v>ACC Current Monitor Error (%)</v>
      </c>
      <c r="Z86" s="175">
        <v>-1</v>
      </c>
      <c r="AA86" s="175">
        <v>1</v>
      </c>
      <c r="AB86" s="175" t="s">
        <v>63</v>
      </c>
      <c r="AC86" s="175" t="s">
        <v>268</v>
      </c>
    </row>
    <row r="87" spans="2:29">
      <c r="B87" s="23">
        <v>36</v>
      </c>
      <c r="C87" s="23">
        <f ca="1">INDEX(INDIRECT(_xlfn.CONCAT(INDIRECT("tblScalesMeasures_Selected[Table]"),"[","ProductId","]")),MATCH(tblProductScalesMeasures[[#This Row],[ID]],INDIRECT(_xlfn.CONCAT(INDIRECT("tblScalesMeasures_Selected[Table]"),"[","ID","]")),0))</f>
        <v>734</v>
      </c>
      <c r="D87" s="30">
        <f ca="1">INDEX(INDIRECT(_xlfn.CONCAT(INDIRECT("tblScalesMeasures_Selected[Table]"),"[","OutputId","]")),MATCH(tblProductScalesMeasures[[#This Row],[ID]],INDIRECT(_xlfn.CONCAT(INDIRECT("tblScalesMeasures_Selected[Table]"),"[","ID","]")),0))</f>
        <v>4</v>
      </c>
      <c r="E87" s="76" t="str">
        <f ca="1">INDEX(INDIRECT(_xlfn.CONCAT(INDIRECT("tblScalesMeasures_Selected[Table]"),"[","Alias","]")),MATCH(tblProductScalesMeasures[[#This Row],[ID]],INDIRECT(_xlfn.CONCAT(INDIRECT("tblScalesMeasures_Selected[Table]"),"[","ID","]")),0))</f>
        <v>ACC</v>
      </c>
      <c r="F87" s="76" t="str">
        <f ca="1">INDEX(INDIRECT(_xlfn.CONCAT(INDIRECT("tblScalesMeasures_Selected[Table]"),"[","Parameter","]")),MATCH(tblProductScalesMeasures[[#This Row],[ID]],INDIRECT(_xlfn.CONCAT(INDIRECT("tblScalesMeasures_Selected[Table]"),"[","ID","]")),0))</f>
        <v>Load Regulation</v>
      </c>
      <c r="G87" s="76" t="str">
        <f ca="1">INDEX(INDIRECT(_xlfn.CONCAT(INDIRECT("tblScalesMeasures_Selected[Table]"),"[","Unit","]")),MATCH(tblProductScalesMeasures[[#This Row],[ID]],INDIRECT(_xlfn.CONCAT(INDIRECT("tblScalesMeasures_Selected[Table]"),"[","ID","]")),0))</f>
        <v>V</v>
      </c>
      <c r="H87" s="77" t="str">
        <f ca="1">INDEX(INDIRECT(_xlfn.CONCAT(INDIRECT("tblScalesMeasures_Selected[Table]"),"[","Description","]")),MATCH(tblProductScalesMeasures[[#This Row],[ID]],INDIRECT(_xlfn.CONCAT(INDIRECT("tblScalesMeasures_Selected[Table]"),"[","ID","]")),0))</f>
        <v>ACC Load Regulation (V)</v>
      </c>
      <c r="I87" s="76">
        <f ca="1">INDEX(INDIRECT(_xlfn.CONCAT(INDIRECT("tblScalesMeasures_Selected[Table]"),"[","Min","]")),MATCH(tblProductScalesMeasures[[#This Row],[ID]],INDIRECT(_xlfn.CONCAT(INDIRECT("tblScalesMeasures_Selected[Table]"),"[","ID","]")),0))</f>
        <v>-3.5</v>
      </c>
      <c r="J87" s="76">
        <f ca="1">INDEX(INDIRECT(_xlfn.CONCAT(INDIRECT("tblScalesMeasures_Selected[Table]"),"[","Max","]")),MATCH(tblProductScalesMeasures[[#This Row],[ID]],INDIRECT(_xlfn.CONCAT(INDIRECT("tblScalesMeasures_Selected[Table]"),"[","ID","]")),0))</f>
        <v>3.5</v>
      </c>
      <c r="K87" s="76" t="str">
        <f ca="1">INDEX(INDIRECT(_xlfn.CONCAT(INDIRECT("tblScalesMeasures_Selected[Table]"),"[","Nominal","]")),MATCH(tblProductScalesMeasures[[#This Row],[ID]],INDIRECT(_xlfn.CONCAT(INDIRECT("tblScalesMeasures_Selected[Table]"),"[","ID","]")),0))</f>
        <v>-</v>
      </c>
      <c r="L87" s="76" t="str">
        <f ca="1">INDEX(INDIRECT(_xlfn.CONCAT(INDIRECT("tblScalesMeasures_Selected[Table]"),"[","Value","]")),MATCH(tblProductScalesMeasures[[#This Row],[ID]],INDIRECT(_xlfn.CONCAT(INDIRECT("tblScalesMeasures_Selected[Table]"),"[","ID","]")),0))</f>
        <v>N</v>
      </c>
      <c r="S87" s="285">
        <v>36</v>
      </c>
      <c r="T87" s="184">
        <v>734</v>
      </c>
      <c r="U87" s="285">
        <v>4</v>
      </c>
      <c r="V87" s="175" t="str">
        <f ca="1">INDEX(INDIRECT(_xlfn.CONCAT("tblOutputs_",tblScalesMeasures_734[[#This Row],[ProductId]],"[Alias]")),MATCH(tblScalesMeasures_734[[#This Row],[OutputId]],INDIRECT(_xlfn.CONCAT("tblOutputs_",tblScalesMeasures_734[[#This Row],[ProductId]],"[ID]")),0))</f>
        <v>ACC</v>
      </c>
      <c r="W87" s="175" t="s">
        <v>147</v>
      </c>
      <c r="X87" s="175" t="s">
        <v>71</v>
      </c>
      <c r="Y87" s="76" t="str">
        <f ca="1">_xlfn.CONCAT(tblScalesMeasures_734[[#This Row],[Alias]], " ", tblScalesMeasures_734[[#This Row],[Parameter]], " ","(",tblScalesMeasures_734[[#This Row],[Unit]],")")</f>
        <v>ACC Load Regulation (V)</v>
      </c>
      <c r="Z87" s="175">
        <v>-3.5</v>
      </c>
      <c r="AA87" s="175">
        <v>3.5</v>
      </c>
      <c r="AB87" s="175" t="s">
        <v>63</v>
      </c>
      <c r="AC87" s="175" t="s">
        <v>184</v>
      </c>
    </row>
    <row r="88" spans="2:29">
      <c r="B88" s="23">
        <v>37</v>
      </c>
      <c r="C88" s="23">
        <f ca="1">INDEX(INDIRECT(_xlfn.CONCAT(INDIRECT("tblScalesMeasures_Selected[Table]"),"[","ProductId","]")),MATCH(tblProductScalesMeasures[[#This Row],[ID]],INDIRECT(_xlfn.CONCAT(INDIRECT("tblScalesMeasures_Selected[Table]"),"[","ID","]")),0))</f>
        <v>734</v>
      </c>
      <c r="D88" s="30">
        <f ca="1">INDEX(INDIRECT(_xlfn.CONCAT(INDIRECT("tblScalesMeasures_Selected[Table]"),"[","OutputId","]")),MATCH(tblProductScalesMeasures[[#This Row],[ID]],INDIRECT(_xlfn.CONCAT(INDIRECT("tblScalesMeasures_Selected[Table]"),"[","ID","]")),0))</f>
        <v>4</v>
      </c>
      <c r="E88" s="76" t="str">
        <f ca="1">INDEX(INDIRECT(_xlfn.CONCAT(INDIRECT("tblScalesMeasures_Selected[Table]"),"[","Alias","]")),MATCH(tblProductScalesMeasures[[#This Row],[ID]],INDIRECT(_xlfn.CONCAT(INDIRECT("tblScalesMeasures_Selected[Table]"),"[","ID","]")),0))</f>
        <v>ACC</v>
      </c>
      <c r="F88" s="76" t="str">
        <f ca="1">INDEX(INDIRECT(_xlfn.CONCAT(INDIRECT("tblScalesMeasures_Selected[Table]"),"[","Parameter","]")),MATCH(tblProductScalesMeasures[[#This Row],[ID]],INDIRECT(_xlfn.CONCAT(INDIRECT("tblScalesMeasures_Selected[Table]"),"[","ID","]")),0))</f>
        <v>Ripple</v>
      </c>
      <c r="G88" s="76" t="str">
        <f ca="1">INDEX(INDIRECT(_xlfn.CONCAT(INDIRECT("tblScalesMeasures_Selected[Table]"),"[","Unit","]")),MATCH(tblProductScalesMeasures[[#This Row],[ID]],INDIRECT(_xlfn.CONCAT(INDIRECT("tblScalesMeasures_Selected[Table]"),"[","ID","]")),0))</f>
        <v>mV pk-pk</v>
      </c>
      <c r="H88" s="77" t="str">
        <f ca="1">INDEX(INDIRECT(_xlfn.CONCAT(INDIRECT("tblScalesMeasures_Selected[Table]"),"[","Description","]")),MATCH(tblProductScalesMeasures[[#This Row],[ID]],INDIRECT(_xlfn.CONCAT(INDIRECT("tblScalesMeasures_Selected[Table]"),"[","ID","]")),0))</f>
        <v>ACC Ripple (mV pk-pk)</v>
      </c>
      <c r="I88" s="76">
        <f ca="1">INDEX(INDIRECT(_xlfn.CONCAT(INDIRECT("tblScalesMeasures_Selected[Table]"),"[","Min","]")),MATCH(tblProductScalesMeasures[[#This Row],[ID]],INDIRECT(_xlfn.CONCAT(INDIRECT("tblScalesMeasures_Selected[Table]"),"[","ID","]")),0))</f>
        <v>3</v>
      </c>
      <c r="J88" s="76">
        <f ca="1">INDEX(INDIRECT(_xlfn.CONCAT(INDIRECT("tblScalesMeasures_Selected[Table]"),"[","Max","]")),MATCH(tblProductScalesMeasures[[#This Row],[ID]],INDIRECT(_xlfn.CONCAT(INDIRECT("tblScalesMeasures_Selected[Table]"),"[","ID","]")),0))</f>
        <v>200</v>
      </c>
      <c r="K88" s="76" t="str">
        <f ca="1">INDEX(INDIRECT(_xlfn.CONCAT(INDIRECT("tblScalesMeasures_Selected[Table]"),"[","Nominal","]")),MATCH(tblProductScalesMeasures[[#This Row],[ID]],INDIRECT(_xlfn.CONCAT(INDIRECT("tblScalesMeasures_Selected[Table]"),"[","ID","]")),0))</f>
        <v>-</v>
      </c>
      <c r="L88" s="76" t="str">
        <f ca="1">INDEX(INDIRECT(_xlfn.CONCAT(INDIRECT("tblScalesMeasures_Selected[Table]"),"[","Value","]")),MATCH(tblProductScalesMeasures[[#This Row],[ID]],INDIRECT(_xlfn.CONCAT(INDIRECT("tblScalesMeasures_Selected[Table]"),"[","ID","]")),0))</f>
        <v>N</v>
      </c>
      <c r="S88" s="285">
        <v>37</v>
      </c>
      <c r="T88" s="184">
        <v>734</v>
      </c>
      <c r="U88" s="285">
        <v>4</v>
      </c>
      <c r="V88" s="175" t="str">
        <f ca="1">INDEX(INDIRECT(_xlfn.CONCAT("tblOutputs_",tblScalesMeasures_734[[#This Row],[ProductId]],"[Alias]")),MATCH(tblScalesMeasures_734[[#This Row],[OutputId]],INDIRECT(_xlfn.CONCAT("tblOutputs_",tblScalesMeasures_734[[#This Row],[ProductId]],"[ID]")),0))</f>
        <v>ACC</v>
      </c>
      <c r="W88" s="175" t="s">
        <v>125</v>
      </c>
      <c r="X88" s="175" t="s">
        <v>267</v>
      </c>
      <c r="Y88" s="76" t="str">
        <f ca="1">_xlfn.CONCAT(tblScalesMeasures_734[[#This Row],[Alias]], " ", tblScalesMeasures_734[[#This Row],[Parameter]], " ","(",tblScalesMeasures_734[[#This Row],[Unit]],")")</f>
        <v>ACC Ripple (mV pk-pk)</v>
      </c>
      <c r="Z88" s="175">
        <v>3</v>
      </c>
      <c r="AA88" s="175">
        <v>200</v>
      </c>
      <c r="AB88" s="175" t="s">
        <v>63</v>
      </c>
      <c r="AC88" s="175" t="s">
        <v>184</v>
      </c>
    </row>
    <row r="89" spans="2:29">
      <c r="B89" s="23">
        <v>38</v>
      </c>
      <c r="C89" s="23">
        <f ca="1">INDEX(INDIRECT(_xlfn.CONCAT(INDIRECT("tblScalesMeasures_Selected[Table]"),"[","ProductId","]")),MATCH(tblProductScalesMeasures[[#This Row],[ID]],INDIRECT(_xlfn.CONCAT(INDIRECT("tblScalesMeasures_Selected[Table]"),"[","ID","]")),0))</f>
        <v>734</v>
      </c>
      <c r="D89" s="30">
        <f ca="1">INDEX(INDIRECT(_xlfn.CONCAT(INDIRECT("tblScalesMeasures_Selected[Table]"),"[","OutputId","]")),MATCH(tblProductScalesMeasures[[#This Row],[ID]],INDIRECT(_xlfn.CONCAT(INDIRECT("tblScalesMeasures_Selected[Table]"),"[","ID","]")),0))</f>
        <v>5</v>
      </c>
      <c r="E89" s="76" t="str">
        <f ca="1">INDEX(INDIRECT(_xlfn.CONCAT(INDIRECT("tblScalesMeasures_Selected[Table]"),"[","Alias","]")),MATCH(tblProductScalesMeasures[[#This Row],[ID]],INDIRECT(_xlfn.CONCAT(INDIRECT("tblScalesMeasures_Selected[Table]"),"[","ID","]")),0))</f>
        <v>EXT</v>
      </c>
      <c r="F89" s="76" t="str">
        <f ca="1">INDEX(INDIRECT(_xlfn.CONCAT(INDIRECT("tblScalesMeasures_Selected[Table]"),"[","Parameter","]")),MATCH(tblProductScalesMeasures[[#This Row],[ID]],INDIRECT(_xlfn.CONCAT(INDIRECT("tblScalesMeasures_Selected[Table]"),"[","ID","]")),0))</f>
        <v>Output Current Off Load</v>
      </c>
      <c r="G89" s="76" t="str">
        <f ca="1">INDEX(INDIRECT(_xlfn.CONCAT(INDIRECT("tblScalesMeasures_Selected[Table]"),"[","Unit","]")),MATCH(tblProductScalesMeasures[[#This Row],[ID]],INDIRECT(_xlfn.CONCAT(INDIRECT("tblScalesMeasures_Selected[Table]"),"[","ID","]")),0))</f>
        <v>uA</v>
      </c>
      <c r="H89" s="77" t="str">
        <f ca="1">INDEX(INDIRECT(_xlfn.CONCAT(INDIRECT("tblScalesMeasures_Selected[Table]"),"[","Description","]")),MATCH(tblProductScalesMeasures[[#This Row],[ID]],INDIRECT(_xlfn.CONCAT(INDIRECT("tblScalesMeasures_Selected[Table]"),"[","ID","]")),0))</f>
        <v>EXT Output Current Off Load (uA)</v>
      </c>
      <c r="I89" s="76">
        <f ca="1">INDEX(INDIRECT(_xlfn.CONCAT(INDIRECT("tblScalesMeasures_Selected[Table]"),"[","Min","]")),MATCH(tblProductScalesMeasures[[#This Row],[ID]],INDIRECT(_xlfn.CONCAT(INDIRECT("tblScalesMeasures_Selected[Table]"),"[","ID","]")),0))</f>
        <v>-0.3</v>
      </c>
      <c r="J89" s="76">
        <f ca="1">INDEX(INDIRECT(_xlfn.CONCAT(INDIRECT("tblScalesMeasures_Selected[Table]"),"[","Max","]")),MATCH(tblProductScalesMeasures[[#This Row],[ID]],INDIRECT(_xlfn.CONCAT(INDIRECT("tblScalesMeasures_Selected[Table]"),"[","ID","]")),0))</f>
        <v>0.3</v>
      </c>
      <c r="K89" s="76" t="str">
        <f ca="1">INDEX(INDIRECT(_xlfn.CONCAT(INDIRECT("tblScalesMeasures_Selected[Table]"),"[","Nominal","]")),MATCH(tblProductScalesMeasures[[#This Row],[ID]],INDIRECT(_xlfn.CONCAT(INDIRECT("tblScalesMeasures_Selected[Table]"),"[","ID","]")),0))</f>
        <v>-</v>
      </c>
      <c r="L89" s="76" t="str">
        <f ca="1">INDEX(INDIRECT(_xlfn.CONCAT(INDIRECT("tblScalesMeasures_Selected[Table]"),"[","Value","]")),MATCH(tblProductScalesMeasures[[#This Row],[ID]],INDIRECT(_xlfn.CONCAT(INDIRECT("tblScalesMeasures_Selected[Table]"),"[","ID","]")),0))</f>
        <v>N</v>
      </c>
      <c r="S89" s="292">
        <v>38</v>
      </c>
      <c r="T89" s="184">
        <v>734</v>
      </c>
      <c r="U89" s="292">
        <v>5</v>
      </c>
      <c r="V89" s="175" t="str">
        <f ca="1">INDEX(INDIRECT(_xlfn.CONCAT("tblOutputs_",tblScalesMeasures_734[[#This Row],[ProductId]],"[Alias]")),MATCH(tblScalesMeasures_734[[#This Row],[OutputId]],INDIRECT(_xlfn.CONCAT("tblOutputs_",tblScalesMeasures_734[[#This Row],[ProductId]],"[ID]")),0))</f>
        <v>EXT</v>
      </c>
      <c r="W89" s="175" t="s">
        <v>430</v>
      </c>
      <c r="X89" s="175" t="s">
        <v>124</v>
      </c>
      <c r="Y89" s="76" t="str">
        <f ca="1">_xlfn.CONCAT(tblScalesMeasures_734[[#This Row],[Alias]], " ", tblScalesMeasures_734[[#This Row],[Parameter]], " ","(",tblScalesMeasures_734[[#This Row],[Unit]],")")</f>
        <v>EXT Output Current Off Load (uA)</v>
      </c>
      <c r="Z89" s="175">
        <v>-0.3</v>
      </c>
      <c r="AA89" s="175">
        <v>0.3</v>
      </c>
      <c r="AB89" s="175" t="s">
        <v>63</v>
      </c>
      <c r="AC89" s="175" t="s">
        <v>184</v>
      </c>
    </row>
    <row r="90" spans="2:29">
      <c r="B90" s="23">
        <v>39</v>
      </c>
      <c r="C90" s="23">
        <f ca="1">INDEX(INDIRECT(_xlfn.CONCAT(INDIRECT("tblScalesMeasures_Selected[Table]"),"[","ProductId","]")),MATCH(tblProductScalesMeasures[[#This Row],[ID]],INDIRECT(_xlfn.CONCAT(INDIRECT("tblScalesMeasures_Selected[Table]"),"[","ID","]")),0))</f>
        <v>734</v>
      </c>
      <c r="D90" s="30">
        <f ca="1">INDEX(INDIRECT(_xlfn.CONCAT(INDIRECT("tblScalesMeasures_Selected[Table]"),"[","OutputId","]")),MATCH(tblProductScalesMeasures[[#This Row],[ID]],INDIRECT(_xlfn.CONCAT(INDIRECT("tblScalesMeasures_Selected[Table]"),"[","ID","]")),0))</f>
        <v>5</v>
      </c>
      <c r="E90" s="76" t="str">
        <f ca="1">INDEX(INDIRECT(_xlfn.CONCAT(INDIRECT("tblScalesMeasures_Selected[Table]"),"[","Alias","]")),MATCH(tblProductScalesMeasures[[#This Row],[ID]],INDIRECT(_xlfn.CONCAT(INDIRECT("tblScalesMeasures_Selected[Table]"),"[","ID","]")),0))</f>
        <v>EXT</v>
      </c>
      <c r="F90" s="76" t="str">
        <f ca="1">INDEX(INDIRECT(_xlfn.CONCAT(INDIRECT("tblScalesMeasures_Selected[Table]"),"[","Parameter","]")),MATCH(tblProductScalesMeasures[[#This Row],[ID]],INDIRECT(_xlfn.CONCAT(INDIRECT("tblScalesMeasures_Selected[Table]"),"[","ID","]")),0))</f>
        <v>Vout Off Load</v>
      </c>
      <c r="G90" s="76" t="str">
        <f ca="1">INDEX(INDIRECT(_xlfn.CONCAT(INDIRECT("tblScalesMeasures_Selected[Table]"),"[","Unit","]")),MATCH(tblProductScalesMeasures[[#This Row],[ID]],INDIRECT(_xlfn.CONCAT(INDIRECT("tblScalesMeasures_Selected[Table]"),"[","ID","]")),0))</f>
        <v>V</v>
      </c>
      <c r="H90" s="77" t="str">
        <f ca="1">INDEX(INDIRECT(_xlfn.CONCAT(INDIRECT("tblScalesMeasures_Selected[Table]"),"[","Description","]")),MATCH(tblProductScalesMeasures[[#This Row],[ID]],INDIRECT(_xlfn.CONCAT(INDIRECT("tblScalesMeasures_Selected[Table]"),"[","ID","]")),0))</f>
        <v>EXT Vout Off Load (V)</v>
      </c>
      <c r="I90" s="76">
        <f ca="1">INDEX(INDIRECT(_xlfn.CONCAT(INDIRECT("tblScalesMeasures_Selected[Table]"),"[","Min","]")),MATCH(tblProductScalesMeasures[[#This Row],[ID]],INDIRECT(_xlfn.CONCAT(INDIRECT("tblScalesMeasures_Selected[Table]"),"[","ID","]")),0))</f>
        <v>-100</v>
      </c>
      <c r="J90" s="76">
        <f ca="1">INDEX(INDIRECT(_xlfn.CONCAT(INDIRECT("tblScalesMeasures_Selected[Table]"),"[","Max","]")),MATCH(tblProductScalesMeasures[[#This Row],[ID]],INDIRECT(_xlfn.CONCAT(INDIRECT("tblScalesMeasures_Selected[Table]"),"[","ID","]")),0))</f>
        <v>100</v>
      </c>
      <c r="K90" s="76" t="str">
        <f ca="1">INDEX(INDIRECT(_xlfn.CONCAT(INDIRECT("tblScalesMeasures_Selected[Table]"),"[","Nominal","]")),MATCH(tblProductScalesMeasures[[#This Row],[ID]],INDIRECT(_xlfn.CONCAT(INDIRECT("tblScalesMeasures_Selected[Table]"),"[","ID","]")),0))</f>
        <v>-</v>
      </c>
      <c r="L90" s="76" t="str">
        <f ca="1">INDEX(INDIRECT(_xlfn.CONCAT(INDIRECT("tblScalesMeasures_Selected[Table]"),"[","Value","]")),MATCH(tblProductScalesMeasures[[#This Row],[ID]],INDIRECT(_xlfn.CONCAT(INDIRECT("tblScalesMeasures_Selected[Table]"),"[","ID","]")),0))</f>
        <v>N</v>
      </c>
      <c r="S90" s="292">
        <v>39</v>
      </c>
      <c r="T90" s="184">
        <v>734</v>
      </c>
      <c r="U90" s="292">
        <v>5</v>
      </c>
      <c r="V90" s="175" t="str">
        <f ca="1">INDEX(INDIRECT(_xlfn.CONCAT("tblOutputs_",tblScalesMeasures_734[[#This Row],[ProductId]],"[Alias]")),MATCH(tblScalesMeasures_734[[#This Row],[OutputId]],INDIRECT(_xlfn.CONCAT("tblOutputs_",tblScalesMeasures_734[[#This Row],[ProductId]],"[ID]")),0))</f>
        <v>EXT</v>
      </c>
      <c r="W90" s="175" t="s">
        <v>505</v>
      </c>
      <c r="X90" s="175" t="s">
        <v>71</v>
      </c>
      <c r="Y90" s="76" t="str">
        <f ca="1">_xlfn.CONCAT(tblScalesMeasures_734[[#This Row],[Alias]], " ", tblScalesMeasures_734[[#This Row],[Parameter]], " ","(",tblScalesMeasures_734[[#This Row],[Unit]],")")</f>
        <v>EXT Vout Off Load (V)</v>
      </c>
      <c r="Z90" s="175">
        <v>-100</v>
      </c>
      <c r="AA90" s="175">
        <v>100</v>
      </c>
      <c r="AB90" s="175" t="s">
        <v>63</v>
      </c>
      <c r="AC90" s="175" t="s">
        <v>184</v>
      </c>
    </row>
    <row r="91" spans="2:29">
      <c r="B91" s="23">
        <v>40</v>
      </c>
      <c r="C91" s="23">
        <f ca="1">INDEX(INDIRECT(_xlfn.CONCAT(INDIRECT("tblScalesMeasures_Selected[Table]"),"[","ProductId","]")),MATCH(tblProductScalesMeasures[[#This Row],[ID]],INDIRECT(_xlfn.CONCAT(INDIRECT("tblScalesMeasures_Selected[Table]"),"[","ID","]")),0))</f>
        <v>734</v>
      </c>
      <c r="D91" s="30">
        <f ca="1">INDEX(INDIRECT(_xlfn.CONCAT(INDIRECT("tblScalesMeasures_Selected[Table]"),"[","OutputId","]")),MATCH(tblProductScalesMeasures[[#This Row],[ID]],INDIRECT(_xlfn.CONCAT(INDIRECT("tblScalesMeasures_Selected[Table]"),"[","ID","]")),0))</f>
        <v>5</v>
      </c>
      <c r="E91" s="76" t="str">
        <f ca="1">INDEX(INDIRECT(_xlfn.CONCAT(INDIRECT("tblScalesMeasures_Selected[Table]"),"[","Alias","]")),MATCH(tblProductScalesMeasures[[#This Row],[ID]],INDIRECT(_xlfn.CONCAT(INDIRECT("tblScalesMeasures_Selected[Table]"),"[","ID","]")),0))</f>
        <v>EXT</v>
      </c>
      <c r="F91" s="76" t="str">
        <f ca="1">INDEX(INDIRECT(_xlfn.CONCAT(INDIRECT("tblScalesMeasures_Selected[Table]"),"[","Parameter","]")),MATCH(tblProductScalesMeasures[[#This Row],[ID]],INDIRECT(_xlfn.CONCAT(INDIRECT("tblScalesMeasures_Selected[Table]"),"[","ID","]")),0))</f>
        <v>Vout Off Load Minimum</v>
      </c>
      <c r="G91" s="76" t="str">
        <f ca="1">INDEX(INDIRECT(_xlfn.CONCAT(INDIRECT("tblScalesMeasures_Selected[Table]"),"[","Unit","]")),MATCH(tblProductScalesMeasures[[#This Row],[ID]],INDIRECT(_xlfn.CONCAT(INDIRECT("tblScalesMeasures_Selected[Table]"),"[","ID","]")),0))</f>
        <v>V</v>
      </c>
      <c r="H91" s="77" t="str">
        <f ca="1">INDEX(INDIRECT(_xlfn.CONCAT(INDIRECT("tblScalesMeasures_Selected[Table]"),"[","Description","]")),MATCH(tblProductScalesMeasures[[#This Row],[ID]],INDIRECT(_xlfn.CONCAT(INDIRECT("tblScalesMeasures_Selected[Table]"),"[","ID","]")),0))</f>
        <v>EXT Vout Off Load Minimum (V)</v>
      </c>
      <c r="I91" s="76">
        <f ca="1">INDEX(INDIRECT(_xlfn.CONCAT(INDIRECT("tblScalesMeasures_Selected[Table]"),"[","Min","]")),MATCH(tblProductScalesMeasures[[#This Row],[ID]],INDIRECT(_xlfn.CONCAT(INDIRECT("tblScalesMeasures_Selected[Table]"),"[","ID","]")),0))</f>
        <v>-100</v>
      </c>
      <c r="J91" s="76">
        <f ca="1">INDEX(INDIRECT(_xlfn.CONCAT(INDIRECT("tblScalesMeasures_Selected[Table]"),"[","Max","]")),MATCH(tblProductScalesMeasures[[#This Row],[ID]],INDIRECT(_xlfn.CONCAT(INDIRECT("tblScalesMeasures_Selected[Table]"),"[","ID","]")),0))</f>
        <v>40</v>
      </c>
      <c r="K91" s="76" t="str">
        <f ca="1">INDEX(INDIRECT(_xlfn.CONCAT(INDIRECT("tblScalesMeasures_Selected[Table]"),"[","Nominal","]")),MATCH(tblProductScalesMeasures[[#This Row],[ID]],INDIRECT(_xlfn.CONCAT(INDIRECT("tblScalesMeasures_Selected[Table]"),"[","ID","]")),0))</f>
        <v>-</v>
      </c>
      <c r="L91" s="76" t="str">
        <f ca="1">INDEX(INDIRECT(_xlfn.CONCAT(INDIRECT("tblScalesMeasures_Selected[Table]"),"[","Value","]")),MATCH(tblProductScalesMeasures[[#This Row],[ID]],INDIRECT(_xlfn.CONCAT(INDIRECT("tblScalesMeasures_Selected[Table]"),"[","ID","]")),0))</f>
        <v>N</v>
      </c>
      <c r="S91" s="292">
        <v>40</v>
      </c>
      <c r="T91" s="184">
        <v>734</v>
      </c>
      <c r="U91" s="292">
        <v>5</v>
      </c>
      <c r="V91" s="175" t="str">
        <f ca="1">INDEX(INDIRECT(_xlfn.CONCAT("tblOutputs_",tblScalesMeasures_734[[#This Row],[ProductId]],"[Alias]")),MATCH(tblScalesMeasures_734[[#This Row],[OutputId]],INDIRECT(_xlfn.CONCAT("tblOutputs_",tblScalesMeasures_734[[#This Row],[ProductId]],"[ID]")),0))</f>
        <v>EXT</v>
      </c>
      <c r="W91" s="175" t="s">
        <v>508</v>
      </c>
      <c r="X91" s="175" t="s">
        <v>71</v>
      </c>
      <c r="Y91" s="76" t="str">
        <f ca="1">_xlfn.CONCAT(tblScalesMeasures_734[[#This Row],[Alias]], " ", tblScalesMeasures_734[[#This Row],[Parameter]], " ","(",tblScalesMeasures_734[[#This Row],[Unit]],")")</f>
        <v>EXT Vout Off Load Minimum (V)</v>
      </c>
      <c r="Z91" s="175">
        <v>-100</v>
      </c>
      <c r="AA91" s="175">
        <v>40</v>
      </c>
      <c r="AB91" s="175" t="s">
        <v>63</v>
      </c>
      <c r="AC91" s="175" t="s">
        <v>184</v>
      </c>
    </row>
    <row r="92" spans="2:29">
      <c r="B92" s="23">
        <v>41</v>
      </c>
      <c r="C92" s="23">
        <f ca="1">INDEX(INDIRECT(_xlfn.CONCAT(INDIRECT("tblScalesMeasures_Selected[Table]"),"[","ProductId","]")),MATCH(tblProductScalesMeasures[[#This Row],[ID]],INDIRECT(_xlfn.CONCAT(INDIRECT("tblScalesMeasures_Selected[Table]"),"[","ID","]")),0))</f>
        <v>734</v>
      </c>
      <c r="D92" s="30">
        <f ca="1">INDEX(INDIRECT(_xlfn.CONCAT(INDIRECT("tblScalesMeasures_Selected[Table]"),"[","OutputId","]")),MATCH(tblProductScalesMeasures[[#This Row],[ID]],INDIRECT(_xlfn.CONCAT(INDIRECT("tblScalesMeasures_Selected[Table]"),"[","ID","]")),0))</f>
        <v>5</v>
      </c>
      <c r="E92" s="76" t="str">
        <f ca="1">INDEX(INDIRECT(_xlfn.CONCAT(INDIRECT("tblScalesMeasures_Selected[Table]"),"[","Alias","]")),MATCH(tblProductScalesMeasures[[#This Row],[ID]],INDIRECT(_xlfn.CONCAT(INDIRECT("tblScalesMeasures_Selected[Table]"),"[","ID","]")),0))</f>
        <v>EXT</v>
      </c>
      <c r="F92" s="76" t="str">
        <f ca="1">INDEX(INDIRECT(_xlfn.CONCAT(INDIRECT("tblScalesMeasures_Selected[Table]"),"[","Parameter","]")),MATCH(tblProductScalesMeasures[[#This Row],[ID]],INDIRECT(_xlfn.CONCAT(INDIRECT("tblScalesMeasures_Selected[Table]"),"[","ID","]")),0))</f>
        <v>Current Limit Resoultion</v>
      </c>
      <c r="G92" s="76" t="str">
        <f ca="1">INDEX(INDIRECT(_xlfn.CONCAT(INDIRECT("tblScalesMeasures_Selected[Table]"),"[","Unit","]")),MATCH(tblProductScalesMeasures[[#This Row],[ID]],INDIRECT(_xlfn.CONCAT(INDIRECT("tblScalesMeasures_Selected[Table]"),"[","ID","]")),0))</f>
        <v>uA</v>
      </c>
      <c r="H92" s="77" t="str">
        <f ca="1">INDEX(INDIRECT(_xlfn.CONCAT(INDIRECT("tblScalesMeasures_Selected[Table]"),"[","Description","]")),MATCH(tblProductScalesMeasures[[#This Row],[ID]],INDIRECT(_xlfn.CONCAT(INDIRECT("tblScalesMeasures_Selected[Table]"),"[","ID","]")),0))</f>
        <v>EXT Current Limit Resoultion (uA)</v>
      </c>
      <c r="I92" s="76">
        <f ca="1">INDEX(INDIRECT(_xlfn.CONCAT(INDIRECT("tblScalesMeasures_Selected[Table]"),"[","Min","]")),MATCH(tblProductScalesMeasures[[#This Row],[ID]],INDIRECT(_xlfn.CONCAT(INDIRECT("tblScalesMeasures_Selected[Table]"),"[","ID","]")),0))</f>
        <v>1.4</v>
      </c>
      <c r="J92" s="76">
        <f ca="1">INDEX(INDIRECT(_xlfn.CONCAT(INDIRECT("tblScalesMeasures_Selected[Table]"),"[","Max","]")),MATCH(tblProductScalesMeasures[[#This Row],[ID]],INDIRECT(_xlfn.CONCAT(INDIRECT("tblScalesMeasures_Selected[Table]"),"[","ID","]")),0))</f>
        <v>2</v>
      </c>
      <c r="K92" s="76" t="str">
        <f ca="1">INDEX(INDIRECT(_xlfn.CONCAT(INDIRECT("tblScalesMeasures_Selected[Table]"),"[","Nominal","]")),MATCH(tblProductScalesMeasures[[#This Row],[ID]],INDIRECT(_xlfn.CONCAT(INDIRECT("tblScalesMeasures_Selected[Table]"),"[","ID","]")),0))</f>
        <v>-</v>
      </c>
      <c r="L92" s="76" t="str">
        <f ca="1">INDEX(INDIRECT(_xlfn.CONCAT(INDIRECT("tblScalesMeasures_Selected[Table]"),"[","Value","]")),MATCH(tblProductScalesMeasures[[#This Row],[ID]],INDIRECT(_xlfn.CONCAT(INDIRECT("tblScalesMeasures_Selected[Table]"),"[","ID","]")),0))</f>
        <v>N</v>
      </c>
      <c r="S92" s="292">
        <v>41</v>
      </c>
      <c r="T92" s="184">
        <v>734</v>
      </c>
      <c r="U92" s="292">
        <v>5</v>
      </c>
      <c r="V92" s="175" t="str">
        <f ca="1">INDEX(INDIRECT(_xlfn.CONCAT("tblOutputs_",tblScalesMeasures_734[[#This Row],[ProductId]],"[Alias]")),MATCH(tblScalesMeasures_734[[#This Row],[OutputId]],INDIRECT(_xlfn.CONCAT("tblOutputs_",tblScalesMeasures_734[[#This Row],[ProductId]],"[ID]")),0))</f>
        <v>EXT</v>
      </c>
      <c r="W92" s="175" t="s">
        <v>509</v>
      </c>
      <c r="X92" s="175" t="s">
        <v>124</v>
      </c>
      <c r="Y92" s="76" t="str">
        <f ca="1">_xlfn.CONCAT(tblScalesMeasures_734[[#This Row],[Alias]], " ", tblScalesMeasures_734[[#This Row],[Parameter]], " ","(",tblScalesMeasures_734[[#This Row],[Unit]],")")</f>
        <v>EXT Current Limit Resoultion (uA)</v>
      </c>
      <c r="Z92" s="175">
        <v>1.4</v>
      </c>
      <c r="AA92" s="175">
        <v>2</v>
      </c>
      <c r="AB92" s="175" t="s">
        <v>63</v>
      </c>
      <c r="AC92" s="175" t="s">
        <v>184</v>
      </c>
    </row>
    <row r="93" spans="2:29">
      <c r="B93" s="23">
        <v>42</v>
      </c>
      <c r="C93" s="23">
        <f ca="1">INDEX(INDIRECT(_xlfn.CONCAT(INDIRECT("tblScalesMeasures_Selected[Table]"),"[","ProductId","]")),MATCH(tblProductScalesMeasures[[#This Row],[ID]],INDIRECT(_xlfn.CONCAT(INDIRECT("tblScalesMeasures_Selected[Table]"),"[","ID","]")),0))</f>
        <v>734</v>
      </c>
      <c r="D93" s="30">
        <f ca="1">INDEX(INDIRECT(_xlfn.CONCAT(INDIRECT("tblScalesMeasures_Selected[Table]"),"[","OutputId","]")),MATCH(tblProductScalesMeasures[[#This Row],[ID]],INDIRECT(_xlfn.CONCAT(INDIRECT("tblScalesMeasures_Selected[Table]"),"[","ID","]")),0))</f>
        <v>5</v>
      </c>
      <c r="E93" s="76" t="str">
        <f ca="1">INDEX(INDIRECT(_xlfn.CONCAT(INDIRECT("tblScalesMeasures_Selected[Table]"),"[","Alias","]")),MATCH(tblProductScalesMeasures[[#This Row],[ID]],INDIRECT(_xlfn.CONCAT(INDIRECT("tblScalesMeasures_Selected[Table]"),"[","ID","]")),0))</f>
        <v>EXT</v>
      </c>
      <c r="F93" s="76" t="str">
        <f ca="1">INDEX(INDIRECT(_xlfn.CONCAT(INDIRECT("tblScalesMeasures_Selected[Table]"),"[","Parameter","]")),MATCH(tblProductScalesMeasures[[#This Row],[ID]],INDIRECT(_xlfn.CONCAT(INDIRECT("tblScalesMeasures_Selected[Table]"),"[","ID","]")),0))</f>
        <v>Vout</v>
      </c>
      <c r="G93" s="76" t="str">
        <f ca="1">INDEX(INDIRECT(_xlfn.CONCAT(INDIRECT("tblScalesMeasures_Selected[Table]"),"[","Unit","]")),MATCH(tblProductScalesMeasures[[#This Row],[ID]],INDIRECT(_xlfn.CONCAT(INDIRECT("tblScalesMeasures_Selected[Table]"),"[","ID","]")),0))</f>
        <v>V</v>
      </c>
      <c r="H93" s="77" t="str">
        <f ca="1">INDEX(INDIRECT(_xlfn.CONCAT(INDIRECT("tblScalesMeasures_Selected[Table]"),"[","Description","]")),MATCH(tblProductScalesMeasures[[#This Row],[ID]],INDIRECT(_xlfn.CONCAT(INDIRECT("tblScalesMeasures_Selected[Table]"),"[","ID","]")),0))</f>
        <v>EXT Vout (V)</v>
      </c>
      <c r="I93" s="76">
        <f ca="1">INDEX(INDIRECT(_xlfn.CONCAT(INDIRECT("tblScalesMeasures_Selected[Table]"),"[","Min","]")),MATCH(tblProductScalesMeasures[[#This Row],[ID]],INDIRECT(_xlfn.CONCAT(INDIRECT("tblScalesMeasures_Selected[Table]"),"[","ID","]")),0))</f>
        <v>-200</v>
      </c>
      <c r="J93" s="76">
        <f ca="1">INDEX(INDIRECT(_xlfn.CONCAT(INDIRECT("tblScalesMeasures_Selected[Table]"),"[","Max","]")),MATCH(tblProductScalesMeasures[[#This Row],[ID]],INDIRECT(_xlfn.CONCAT(INDIRECT("tblScalesMeasures_Selected[Table]"),"[","ID","]")),0))</f>
        <v>200</v>
      </c>
      <c r="K93" s="76" t="str">
        <f ca="1">INDEX(INDIRECT(_xlfn.CONCAT(INDIRECT("tblScalesMeasures_Selected[Table]"),"[","Nominal","]")),MATCH(tblProductScalesMeasures[[#This Row],[ID]],INDIRECT(_xlfn.CONCAT(INDIRECT("tblScalesMeasures_Selected[Table]"),"[","ID","]")),0))</f>
        <v>-</v>
      </c>
      <c r="L93" s="76" t="str">
        <f ca="1">INDEX(INDIRECT(_xlfn.CONCAT(INDIRECT("tblScalesMeasures_Selected[Table]"),"[","Value","]")),MATCH(tblProductScalesMeasures[[#This Row],[ID]],INDIRECT(_xlfn.CONCAT(INDIRECT("tblScalesMeasures_Selected[Table]"),"[","ID","]")),0))</f>
        <v>N</v>
      </c>
      <c r="S93" s="292">
        <v>42</v>
      </c>
      <c r="T93" s="184">
        <v>734</v>
      </c>
      <c r="U93" s="292">
        <v>5</v>
      </c>
      <c r="V93" s="175" t="str">
        <f ca="1">INDEX(INDIRECT(_xlfn.CONCAT("tblOutputs_",tblScalesMeasures_734[[#This Row],[ProductId]],"[Alias]")),MATCH(tblScalesMeasures_734[[#This Row],[OutputId]],INDIRECT(_xlfn.CONCAT("tblOutputs_",tblScalesMeasures_734[[#This Row],[ProductId]],"[ID]")),0))</f>
        <v>EXT</v>
      </c>
      <c r="W93" s="175" t="s">
        <v>126</v>
      </c>
      <c r="X93" s="175" t="s">
        <v>71</v>
      </c>
      <c r="Y93" s="76" t="str">
        <f ca="1">_xlfn.CONCAT(tblScalesMeasures_734[[#This Row],[Alias]], " ", tblScalesMeasures_734[[#This Row],[Parameter]], " ","(",tblScalesMeasures_734[[#This Row],[Unit]],")")</f>
        <v>EXT Vout (V)</v>
      </c>
      <c r="Z93" s="175">
        <v>-200</v>
      </c>
      <c r="AA93" s="175">
        <v>200</v>
      </c>
      <c r="AB93" s="175" t="s">
        <v>63</v>
      </c>
      <c r="AC93" s="175" t="s">
        <v>184</v>
      </c>
    </row>
    <row r="94" spans="2:29">
      <c r="B94" s="23">
        <v>43</v>
      </c>
      <c r="C94" s="23">
        <f ca="1">INDEX(INDIRECT(_xlfn.CONCAT(INDIRECT("tblScalesMeasures_Selected[Table]"),"[","ProductId","]")),MATCH(tblProductScalesMeasures[[#This Row],[ID]],INDIRECT(_xlfn.CONCAT(INDIRECT("tblScalesMeasures_Selected[Table]"),"[","ID","]")),0))</f>
        <v>734</v>
      </c>
      <c r="D94" s="30">
        <f ca="1">INDEX(INDIRECT(_xlfn.CONCAT(INDIRECT("tblScalesMeasures_Selected[Table]"),"[","OutputId","]")),MATCH(tblProductScalesMeasures[[#This Row],[ID]],INDIRECT(_xlfn.CONCAT(INDIRECT("tblScalesMeasures_Selected[Table]"),"[","ID","]")),0))</f>
        <v>5</v>
      </c>
      <c r="E94" s="76" t="str">
        <f ca="1">INDEX(INDIRECT(_xlfn.CONCAT(INDIRECT("tblScalesMeasures_Selected[Table]"),"[","Alias","]")),MATCH(tblProductScalesMeasures[[#This Row],[ID]],INDIRECT(_xlfn.CONCAT(INDIRECT("tblScalesMeasures_Selected[Table]"),"[","ID","]")),0))</f>
        <v>EXT</v>
      </c>
      <c r="F94" s="76" t="str">
        <f ca="1">INDEX(INDIRECT(_xlfn.CONCAT(INDIRECT("tblScalesMeasures_Selected[Table]"),"[","Parameter","]")),MATCH(tblProductScalesMeasures[[#This Row],[ID]],INDIRECT(_xlfn.CONCAT(INDIRECT("tblScalesMeasures_Selected[Table]"),"[","ID","]")),0))</f>
        <v>Voltage Monitor Error</v>
      </c>
      <c r="G94" s="76" t="str">
        <f ca="1">INDEX(INDIRECT(_xlfn.CONCAT(INDIRECT("tblScalesMeasures_Selected[Table]"),"[","Unit","]")),MATCH(tblProductScalesMeasures[[#This Row],[ID]],INDIRECT(_xlfn.CONCAT(INDIRECT("tblScalesMeasures_Selected[Table]"),"[","ID","]")),0))</f>
        <v>%</v>
      </c>
      <c r="H94" s="77" t="str">
        <f ca="1">INDEX(INDIRECT(_xlfn.CONCAT(INDIRECT("tblScalesMeasures_Selected[Table]"),"[","Description","]")),MATCH(tblProductScalesMeasures[[#This Row],[ID]],INDIRECT(_xlfn.CONCAT(INDIRECT("tblScalesMeasures_Selected[Table]"),"[","ID","]")),0))</f>
        <v>EXT Voltage Monitor Error (%)</v>
      </c>
      <c r="I94" s="76">
        <f ca="1">INDEX(INDIRECT(_xlfn.CONCAT(INDIRECT("tblScalesMeasures_Selected[Table]"),"[","Min","]")),MATCH(tblProductScalesMeasures[[#This Row],[ID]],INDIRECT(_xlfn.CONCAT(INDIRECT("tblScalesMeasures_Selected[Table]"),"[","ID","]")),0))</f>
        <v>-1</v>
      </c>
      <c r="J94" s="76">
        <f ca="1">INDEX(INDIRECT(_xlfn.CONCAT(INDIRECT("tblScalesMeasures_Selected[Table]"),"[","Max","]")),MATCH(tblProductScalesMeasures[[#This Row],[ID]],INDIRECT(_xlfn.CONCAT(INDIRECT("tblScalesMeasures_Selected[Table]"),"[","ID","]")),0))</f>
        <v>1</v>
      </c>
      <c r="K94" s="76" t="str">
        <f ca="1">INDEX(INDIRECT(_xlfn.CONCAT(INDIRECT("tblScalesMeasures_Selected[Table]"),"[","Nominal","]")),MATCH(tblProductScalesMeasures[[#This Row],[ID]],INDIRECT(_xlfn.CONCAT(INDIRECT("tblScalesMeasures_Selected[Table]"),"[","ID","]")),0))</f>
        <v>-</v>
      </c>
      <c r="L94" s="76" t="str">
        <f ca="1">INDEX(INDIRECT(_xlfn.CONCAT(INDIRECT("tblScalesMeasures_Selected[Table]"),"[","Value","]")),MATCH(tblProductScalesMeasures[[#This Row],[ID]],INDIRECT(_xlfn.CONCAT(INDIRECT("tblScalesMeasures_Selected[Table]"),"[","ID","]")),0))</f>
        <v>P</v>
      </c>
      <c r="S94" s="292">
        <v>43</v>
      </c>
      <c r="T94" s="184">
        <v>734</v>
      </c>
      <c r="U94" s="292">
        <v>5</v>
      </c>
      <c r="V94" s="175" t="str">
        <f ca="1">INDEX(INDIRECT(_xlfn.CONCAT("tblOutputs_",tblScalesMeasures_734[[#This Row],[ProductId]],"[Alias]")),MATCH(tblScalesMeasures_734[[#This Row],[OutputId]],INDIRECT(_xlfn.CONCAT("tblOutputs_",tblScalesMeasures_734[[#This Row],[ProductId]],"[ID]")),0))</f>
        <v>EXT</v>
      </c>
      <c r="W94" s="175" t="s">
        <v>294</v>
      </c>
      <c r="X94" s="175" t="s">
        <v>338</v>
      </c>
      <c r="Y94" s="76" t="str">
        <f ca="1">_xlfn.CONCAT(tblScalesMeasures_734[[#This Row],[Alias]], " ", tblScalesMeasures_734[[#This Row],[Parameter]], " ","(",tblScalesMeasures_734[[#This Row],[Unit]],")")</f>
        <v>EXT Voltage Monitor Error (%)</v>
      </c>
      <c r="Z94" s="175">
        <v>-1</v>
      </c>
      <c r="AA94" s="175">
        <v>1</v>
      </c>
      <c r="AB94" s="175" t="s">
        <v>63</v>
      </c>
      <c r="AC94" s="175" t="s">
        <v>268</v>
      </c>
    </row>
    <row r="95" spans="2:29">
      <c r="B95" s="23">
        <v>44</v>
      </c>
      <c r="C95" s="23">
        <f ca="1">INDEX(INDIRECT(_xlfn.CONCAT(INDIRECT("tblScalesMeasures_Selected[Table]"),"[","ProductId","]")),MATCH(tblProductScalesMeasures[[#This Row],[ID]],INDIRECT(_xlfn.CONCAT(INDIRECT("tblScalesMeasures_Selected[Table]"),"[","ID","]")),0))</f>
        <v>734</v>
      </c>
      <c r="D95" s="30">
        <f ca="1">INDEX(INDIRECT(_xlfn.CONCAT(INDIRECT("tblScalesMeasures_Selected[Table]"),"[","OutputId","]")),MATCH(tblProductScalesMeasures[[#This Row],[ID]],INDIRECT(_xlfn.CONCAT(INDIRECT("tblScalesMeasures_Selected[Table]"),"[","ID","]")),0))</f>
        <v>5</v>
      </c>
      <c r="E95" s="76" t="str">
        <f ca="1">INDEX(INDIRECT(_xlfn.CONCAT(INDIRECT("tblScalesMeasures_Selected[Table]"),"[","Alias","]")),MATCH(tblProductScalesMeasures[[#This Row],[ID]],INDIRECT(_xlfn.CONCAT(INDIRECT("tblScalesMeasures_Selected[Table]"),"[","ID","]")),0))</f>
        <v>EXT</v>
      </c>
      <c r="F95" s="76" t="str">
        <f ca="1">INDEX(INDIRECT(_xlfn.CONCAT(INDIRECT("tblScalesMeasures_Selected[Table]"),"[","Parameter","]")),MATCH(tblProductScalesMeasures[[#This Row],[ID]],INDIRECT(_xlfn.CONCAT(INDIRECT("tblScalesMeasures_Selected[Table]"),"[","ID","]")),0))</f>
        <v>Current Error Low Load</v>
      </c>
      <c r="G95" s="76" t="str">
        <f ca="1">INDEX(INDIRECT(_xlfn.CONCAT(INDIRECT("tblScalesMeasures_Selected[Table]"),"[","Unit","]")),MATCH(tblProductScalesMeasures[[#This Row],[ID]],INDIRECT(_xlfn.CONCAT(INDIRECT("tblScalesMeasures_Selected[Table]"),"[","ID","]")),0))</f>
        <v>uA</v>
      </c>
      <c r="H95" s="77" t="str">
        <f ca="1">INDEX(INDIRECT(_xlfn.CONCAT(INDIRECT("tblScalesMeasures_Selected[Table]"),"[","Description","]")),MATCH(tblProductScalesMeasures[[#This Row],[ID]],INDIRECT(_xlfn.CONCAT(INDIRECT("tblScalesMeasures_Selected[Table]"),"[","ID","]")),0))</f>
        <v>EXT Current Error Low Load (uA)</v>
      </c>
      <c r="I95" s="76">
        <f ca="1">INDEX(INDIRECT(_xlfn.CONCAT(INDIRECT("tblScalesMeasures_Selected[Table]"),"[","Min","]")),MATCH(tblProductScalesMeasures[[#This Row],[ID]],INDIRECT(_xlfn.CONCAT(INDIRECT("tblScalesMeasures_Selected[Table]"),"[","ID","]")),0))</f>
        <v>-0.1</v>
      </c>
      <c r="J95" s="76">
        <f ca="1">INDEX(INDIRECT(_xlfn.CONCAT(INDIRECT("tblScalesMeasures_Selected[Table]"),"[","Max","]")),MATCH(tblProductScalesMeasures[[#This Row],[ID]],INDIRECT(_xlfn.CONCAT(INDIRECT("tblScalesMeasures_Selected[Table]"),"[","ID","]")),0))</f>
        <v>0.1</v>
      </c>
      <c r="K95" s="76" t="str">
        <f ca="1">INDEX(INDIRECT(_xlfn.CONCAT(INDIRECT("tblScalesMeasures_Selected[Table]"),"[","Nominal","]")),MATCH(tblProductScalesMeasures[[#This Row],[ID]],INDIRECT(_xlfn.CONCAT(INDIRECT("tblScalesMeasures_Selected[Table]"),"[","ID","]")),0))</f>
        <v>-</v>
      </c>
      <c r="L95" s="76" t="str">
        <f ca="1">INDEX(INDIRECT(_xlfn.CONCAT(INDIRECT("tblScalesMeasures_Selected[Table]"),"[","Value","]")),MATCH(tblProductScalesMeasures[[#This Row],[ID]],INDIRECT(_xlfn.CONCAT(INDIRECT("tblScalesMeasures_Selected[Table]"),"[","ID","]")),0))</f>
        <v>P</v>
      </c>
      <c r="S95" s="292">
        <v>44</v>
      </c>
      <c r="T95" s="184">
        <v>734</v>
      </c>
      <c r="U95" s="292">
        <v>5</v>
      </c>
      <c r="V95" s="175" t="str">
        <f ca="1">INDEX(INDIRECT(_xlfn.CONCAT("tblOutputs_",tblScalesMeasures_734[[#This Row],[ProductId]],"[Alias]")),MATCH(tblScalesMeasures_734[[#This Row],[OutputId]],INDIRECT(_xlfn.CONCAT("tblOutputs_",tblScalesMeasures_734[[#This Row],[ProductId]],"[ID]")),0))</f>
        <v>EXT</v>
      </c>
      <c r="W95" s="175" t="s">
        <v>725</v>
      </c>
      <c r="X95" s="175" t="s">
        <v>124</v>
      </c>
      <c r="Y95" s="76" t="str">
        <f ca="1">_xlfn.CONCAT(tblScalesMeasures_734[[#This Row],[Alias]], " ", tblScalesMeasures_734[[#This Row],[Parameter]], " ","(",tblScalesMeasures_734[[#This Row],[Unit]],")")</f>
        <v>EXT Current Error Low Load (uA)</v>
      </c>
      <c r="Z95" s="175">
        <v>-0.1</v>
      </c>
      <c r="AA95" s="175">
        <v>0.1</v>
      </c>
      <c r="AB95" s="175" t="s">
        <v>63</v>
      </c>
      <c r="AC95" s="175" t="s">
        <v>268</v>
      </c>
    </row>
    <row r="96" spans="2:29">
      <c r="B96" s="23">
        <v>45</v>
      </c>
      <c r="C96" s="23">
        <f ca="1">INDEX(INDIRECT(_xlfn.CONCAT(INDIRECT("tblScalesMeasures_Selected[Table]"),"[","ProductId","]")),MATCH(tblProductScalesMeasures[[#This Row],[ID]],INDIRECT(_xlfn.CONCAT(INDIRECT("tblScalesMeasures_Selected[Table]"),"[","ID","]")),0))</f>
        <v>734</v>
      </c>
      <c r="D96" s="30">
        <f ca="1">INDEX(INDIRECT(_xlfn.CONCAT(INDIRECT("tblScalesMeasures_Selected[Table]"),"[","OutputId","]")),MATCH(tblProductScalesMeasures[[#This Row],[ID]],INDIRECT(_xlfn.CONCAT(INDIRECT("tblScalesMeasures_Selected[Table]"),"[","ID","]")),0))</f>
        <v>5</v>
      </c>
      <c r="E96" s="76" t="str">
        <f ca="1">INDEX(INDIRECT(_xlfn.CONCAT(INDIRECT("tblScalesMeasures_Selected[Table]"),"[","Alias","]")),MATCH(tblProductScalesMeasures[[#This Row],[ID]],INDIRECT(_xlfn.CONCAT(INDIRECT("tblScalesMeasures_Selected[Table]"),"[","ID","]")),0))</f>
        <v>EXT</v>
      </c>
      <c r="F96" s="76" t="str">
        <f ca="1">INDEX(INDIRECT(_xlfn.CONCAT(INDIRECT("tblScalesMeasures_Selected[Table]"),"[","Parameter","]")),MATCH(tblProductScalesMeasures[[#This Row],[ID]],INDIRECT(_xlfn.CONCAT(INDIRECT("tblScalesMeasures_Selected[Table]"),"[","ID","]")),0))</f>
        <v>Output Current High Load</v>
      </c>
      <c r="G96" s="76" t="str">
        <f ca="1">INDEX(INDIRECT(_xlfn.CONCAT(INDIRECT("tblScalesMeasures_Selected[Table]"),"[","Unit","]")),MATCH(tblProductScalesMeasures[[#This Row],[ID]],INDIRECT(_xlfn.CONCAT(INDIRECT("tblScalesMeasures_Selected[Table]"),"[","ID","]")),0))</f>
        <v>uA</v>
      </c>
      <c r="H96" s="77" t="str">
        <f ca="1">INDEX(INDIRECT(_xlfn.CONCAT(INDIRECT("tblScalesMeasures_Selected[Table]"),"[","Description","]")),MATCH(tblProductScalesMeasures[[#This Row],[ID]],INDIRECT(_xlfn.CONCAT(INDIRECT("tblScalesMeasures_Selected[Table]"),"[","ID","]")),0))</f>
        <v>EXT Output Current High Load (uA)</v>
      </c>
      <c r="I96" s="76">
        <f ca="1">INDEX(INDIRECT(_xlfn.CONCAT(INDIRECT("tblScalesMeasures_Selected[Table]"),"[","Min","]")),MATCH(tblProductScalesMeasures[[#This Row],[ID]],INDIRECT(_xlfn.CONCAT(INDIRECT("tblScalesMeasures_Selected[Table]"),"[","ID","]")),0))</f>
        <v>-19.5</v>
      </c>
      <c r="J96" s="76">
        <f ca="1">INDEX(INDIRECT(_xlfn.CONCAT(INDIRECT("tblScalesMeasures_Selected[Table]"),"[","Max","]")),MATCH(tblProductScalesMeasures[[#This Row],[ID]],INDIRECT(_xlfn.CONCAT(INDIRECT("tblScalesMeasures_Selected[Table]"),"[","ID","]")),0))</f>
        <v>19.5</v>
      </c>
      <c r="K96" s="76" t="str">
        <f ca="1">INDEX(INDIRECT(_xlfn.CONCAT(INDIRECT("tblScalesMeasures_Selected[Table]"),"[","Nominal","]")),MATCH(tblProductScalesMeasures[[#This Row],[ID]],INDIRECT(_xlfn.CONCAT(INDIRECT("tblScalesMeasures_Selected[Table]"),"[","ID","]")),0))</f>
        <v>-</v>
      </c>
      <c r="L96" s="76" t="str">
        <f ca="1">INDEX(INDIRECT(_xlfn.CONCAT(INDIRECT("tblScalesMeasures_Selected[Table]"),"[","Value","]")),MATCH(tblProductScalesMeasures[[#This Row],[ID]],INDIRECT(_xlfn.CONCAT(INDIRECT("tblScalesMeasures_Selected[Table]"),"[","ID","]")),0))</f>
        <v>N</v>
      </c>
      <c r="S96" s="296">
        <v>45</v>
      </c>
      <c r="T96" s="184">
        <v>734</v>
      </c>
      <c r="U96" s="296">
        <v>5</v>
      </c>
      <c r="V96" s="175" t="str">
        <f ca="1">INDEX(INDIRECT(_xlfn.CONCAT("tblOutputs_",tblScalesMeasures_734[[#This Row],[ProductId]],"[Alias]")),MATCH(tblScalesMeasures_734[[#This Row],[OutputId]],INDIRECT(_xlfn.CONCAT("tblOutputs_",tblScalesMeasures_734[[#This Row],[ProductId]],"[ID]")),0))</f>
        <v>EXT</v>
      </c>
      <c r="W96" s="175" t="s">
        <v>513</v>
      </c>
      <c r="X96" s="175" t="s">
        <v>124</v>
      </c>
      <c r="Y96" s="76" t="str">
        <f ca="1">_xlfn.CONCAT(tblScalesMeasures_734[[#This Row],[Alias]], " ", tblScalesMeasures_734[[#This Row],[Parameter]], " ","(",tblScalesMeasures_734[[#This Row],[Unit]],")")</f>
        <v>EXT Output Current High Load (uA)</v>
      </c>
      <c r="Z96" s="175">
        <v>-19.5</v>
      </c>
      <c r="AA96" s="175">
        <v>19.5</v>
      </c>
      <c r="AB96" s="175" t="s">
        <v>63</v>
      </c>
      <c r="AC96" s="175" t="s">
        <v>184</v>
      </c>
    </row>
    <row r="97" spans="2:29">
      <c r="B97" s="23">
        <v>46</v>
      </c>
      <c r="C97" s="23">
        <f ca="1">INDEX(INDIRECT(_xlfn.CONCAT(INDIRECT("tblScalesMeasures_Selected[Table]"),"[","ProductId","]")),MATCH(tblProductScalesMeasures[[#This Row],[ID]],INDIRECT(_xlfn.CONCAT(INDIRECT("tblScalesMeasures_Selected[Table]"),"[","ID","]")),0))</f>
        <v>734</v>
      </c>
      <c r="D97" s="30">
        <f ca="1">INDEX(INDIRECT(_xlfn.CONCAT(INDIRECT("tblScalesMeasures_Selected[Table]"),"[","OutputId","]")),MATCH(tblProductScalesMeasures[[#This Row],[ID]],INDIRECT(_xlfn.CONCAT(INDIRECT("tblScalesMeasures_Selected[Table]"),"[","ID","]")),0))</f>
        <v>5</v>
      </c>
      <c r="E97" s="76" t="str">
        <f ca="1">INDEX(INDIRECT(_xlfn.CONCAT(INDIRECT("tblScalesMeasures_Selected[Table]"),"[","Alias","]")),MATCH(tblProductScalesMeasures[[#This Row],[ID]],INDIRECT(_xlfn.CONCAT(INDIRECT("tblScalesMeasures_Selected[Table]"),"[","ID","]")),0))</f>
        <v>EXT</v>
      </c>
      <c r="F97" s="76" t="str">
        <f ca="1">INDEX(INDIRECT(_xlfn.CONCAT(INDIRECT("tblScalesMeasures_Selected[Table]"),"[","Parameter","]")),MATCH(tblProductScalesMeasures[[#This Row],[ID]],INDIRECT(_xlfn.CONCAT(INDIRECT("tblScalesMeasures_Selected[Table]"),"[","ID","]")),0))</f>
        <v>Current Monitor Error High Load</v>
      </c>
      <c r="G97" s="76" t="str">
        <f ca="1">INDEX(INDIRECT(_xlfn.CONCAT(INDIRECT("tblScalesMeasures_Selected[Table]"),"[","Unit","]")),MATCH(tblProductScalesMeasures[[#This Row],[ID]],INDIRECT(_xlfn.CONCAT(INDIRECT("tblScalesMeasures_Selected[Table]"),"[","ID","]")),0))</f>
        <v>%</v>
      </c>
      <c r="H97" s="77" t="str">
        <f ca="1">INDEX(INDIRECT(_xlfn.CONCAT(INDIRECT("tblScalesMeasures_Selected[Table]"),"[","Description","]")),MATCH(tblProductScalesMeasures[[#This Row],[ID]],INDIRECT(_xlfn.CONCAT(INDIRECT("tblScalesMeasures_Selected[Table]"),"[","ID","]")),0))</f>
        <v>EXT Current Monitor Error High Load (%)</v>
      </c>
      <c r="I97" s="76">
        <f ca="1">INDEX(INDIRECT(_xlfn.CONCAT(INDIRECT("tblScalesMeasures_Selected[Table]"),"[","Min","]")),MATCH(tblProductScalesMeasures[[#This Row],[ID]],INDIRECT(_xlfn.CONCAT(INDIRECT("tblScalesMeasures_Selected[Table]"),"[","ID","]")),0))</f>
        <v>-15</v>
      </c>
      <c r="J97" s="76">
        <f ca="1">INDEX(INDIRECT(_xlfn.CONCAT(INDIRECT("tblScalesMeasures_Selected[Table]"),"[","Max","]")),MATCH(tblProductScalesMeasures[[#This Row],[ID]],INDIRECT(_xlfn.CONCAT(INDIRECT("tblScalesMeasures_Selected[Table]"),"[","ID","]")),0))</f>
        <v>15</v>
      </c>
      <c r="K97" s="76" t="str">
        <f ca="1">INDEX(INDIRECT(_xlfn.CONCAT(INDIRECT("tblScalesMeasures_Selected[Table]"),"[","Nominal","]")),MATCH(tblProductScalesMeasures[[#This Row],[ID]],INDIRECT(_xlfn.CONCAT(INDIRECT("tblScalesMeasures_Selected[Table]"),"[","ID","]")),0))</f>
        <v>-</v>
      </c>
      <c r="L97" s="76" t="str">
        <f ca="1">INDEX(INDIRECT(_xlfn.CONCAT(INDIRECT("tblScalesMeasures_Selected[Table]"),"[","Value","]")),MATCH(tblProductScalesMeasures[[#This Row],[ID]],INDIRECT(_xlfn.CONCAT(INDIRECT("tblScalesMeasures_Selected[Table]"),"[","ID","]")),0))</f>
        <v>P</v>
      </c>
      <c r="S97" s="296">
        <v>46</v>
      </c>
      <c r="T97" s="184">
        <v>734</v>
      </c>
      <c r="U97" s="296">
        <v>5</v>
      </c>
      <c r="V97" s="175" t="str">
        <f ca="1">INDEX(INDIRECT(_xlfn.CONCAT("tblOutputs_",tblScalesMeasures_734[[#This Row],[ProductId]],"[Alias]")),MATCH(tblScalesMeasures_734[[#This Row],[OutputId]],INDIRECT(_xlfn.CONCAT("tblOutputs_",tblScalesMeasures_734[[#This Row],[ProductId]],"[ID]")),0))</f>
        <v>EXT</v>
      </c>
      <c r="W97" s="175" t="s">
        <v>514</v>
      </c>
      <c r="X97" s="175" t="s">
        <v>338</v>
      </c>
      <c r="Y97" s="76" t="str">
        <f ca="1">_xlfn.CONCAT(tblScalesMeasures_734[[#This Row],[Alias]], " ", tblScalesMeasures_734[[#This Row],[Parameter]], " ","(",tblScalesMeasures_734[[#This Row],[Unit]],")")</f>
        <v>EXT Current Monitor Error High Load (%)</v>
      </c>
      <c r="Z97" s="175">
        <v>-15</v>
      </c>
      <c r="AA97" s="175">
        <v>15</v>
      </c>
      <c r="AB97" s="175" t="s">
        <v>63</v>
      </c>
      <c r="AC97" s="175" t="s">
        <v>268</v>
      </c>
    </row>
    <row r="98" spans="2:29">
      <c r="B98" s="23">
        <v>47</v>
      </c>
      <c r="C98" s="23">
        <f ca="1">INDEX(INDIRECT(_xlfn.CONCAT(INDIRECT("tblScalesMeasures_Selected[Table]"),"[","ProductId","]")),MATCH(tblProductScalesMeasures[[#This Row],[ID]],INDIRECT(_xlfn.CONCAT(INDIRECT("tblScalesMeasures_Selected[Table]"),"[","ID","]")),0))</f>
        <v>734</v>
      </c>
      <c r="D98" s="30">
        <f ca="1">INDEX(INDIRECT(_xlfn.CONCAT(INDIRECT("tblScalesMeasures_Selected[Table]"),"[","OutputId","]")),MATCH(tblProductScalesMeasures[[#This Row],[ID]],INDIRECT(_xlfn.CONCAT(INDIRECT("tblScalesMeasures_Selected[Table]"),"[","ID","]")),0))</f>
        <v>5</v>
      </c>
      <c r="E98" s="76" t="str">
        <f ca="1">INDEX(INDIRECT(_xlfn.CONCAT(INDIRECT("tblScalesMeasures_Selected[Table]"),"[","Alias","]")),MATCH(tblProductScalesMeasures[[#This Row],[ID]],INDIRECT(_xlfn.CONCAT(INDIRECT("tblScalesMeasures_Selected[Table]"),"[","ID","]")),0))</f>
        <v>EXT</v>
      </c>
      <c r="F98" s="76" t="str">
        <f ca="1">INDEX(INDIRECT(_xlfn.CONCAT(INDIRECT("tblScalesMeasures_Selected[Table]"),"[","Parameter","]")),MATCH(tblProductScalesMeasures[[#This Row],[ID]],INDIRECT(_xlfn.CONCAT(INDIRECT("tblScalesMeasures_Selected[Table]"),"[","ID","]")),0))</f>
        <v>Load Regulation</v>
      </c>
      <c r="G98" s="76" t="str">
        <f ca="1">INDEX(INDIRECT(_xlfn.CONCAT(INDIRECT("tblScalesMeasures_Selected[Table]"),"[","Unit","]")),MATCH(tblProductScalesMeasures[[#This Row],[ID]],INDIRECT(_xlfn.CONCAT(INDIRECT("tblScalesMeasures_Selected[Table]"),"[","ID","]")),0))</f>
        <v>V</v>
      </c>
      <c r="H98" s="77" t="str">
        <f ca="1">INDEX(INDIRECT(_xlfn.CONCAT(INDIRECT("tblScalesMeasures_Selected[Table]"),"[","Description","]")),MATCH(tblProductScalesMeasures[[#This Row],[ID]],INDIRECT(_xlfn.CONCAT(INDIRECT("tblScalesMeasures_Selected[Table]"),"[","ID","]")),0))</f>
        <v>EXT Load Regulation (V)</v>
      </c>
      <c r="I98" s="76">
        <f ca="1">INDEX(INDIRECT(_xlfn.CONCAT(INDIRECT("tblScalesMeasures_Selected[Table]"),"[","Min","]")),MATCH(tblProductScalesMeasures[[#This Row],[ID]],INDIRECT(_xlfn.CONCAT(INDIRECT("tblScalesMeasures_Selected[Table]"),"[","ID","]")),0))</f>
        <v>-1.5</v>
      </c>
      <c r="J98" s="76">
        <f ca="1">INDEX(INDIRECT(_xlfn.CONCAT(INDIRECT("tblScalesMeasures_Selected[Table]"),"[","Max","]")),MATCH(tblProductScalesMeasures[[#This Row],[ID]],INDIRECT(_xlfn.CONCAT(INDIRECT("tblScalesMeasures_Selected[Table]"),"[","ID","]")),0))</f>
        <v>1.5</v>
      </c>
      <c r="K98" s="76" t="str">
        <f ca="1">INDEX(INDIRECT(_xlfn.CONCAT(INDIRECT("tblScalesMeasures_Selected[Table]"),"[","Nominal","]")),MATCH(tblProductScalesMeasures[[#This Row],[ID]],INDIRECT(_xlfn.CONCAT(INDIRECT("tblScalesMeasures_Selected[Table]"),"[","ID","]")),0))</f>
        <v>-</v>
      </c>
      <c r="L98" s="76" t="str">
        <f ca="1">INDEX(INDIRECT(_xlfn.CONCAT(INDIRECT("tblScalesMeasures_Selected[Table]"),"[","Value","]")),MATCH(tblProductScalesMeasures[[#This Row],[ID]],INDIRECT(_xlfn.CONCAT(INDIRECT("tblScalesMeasures_Selected[Table]"),"[","ID","]")),0))</f>
        <v>N</v>
      </c>
      <c r="S98" s="25">
        <v>47</v>
      </c>
      <c r="T98" s="26">
        <v>734</v>
      </c>
      <c r="U98" s="299">
        <v>5</v>
      </c>
      <c r="V98" s="175" t="str">
        <f ca="1">INDEX(INDIRECT(_xlfn.CONCAT("tblOutputs_",tblScalesMeasures_734[[#This Row],[ProductId]],"[Alias]")),MATCH(tblScalesMeasures_734[[#This Row],[OutputId]],INDIRECT(_xlfn.CONCAT("tblOutputs_",tblScalesMeasures_734[[#This Row],[ProductId]],"[ID]")),0))</f>
        <v>EXT</v>
      </c>
      <c r="W98" s="175" t="s">
        <v>147</v>
      </c>
      <c r="X98" s="175" t="s">
        <v>71</v>
      </c>
      <c r="Y98" s="76" t="str">
        <f ca="1">_xlfn.CONCAT(tblScalesMeasures_734[[#This Row],[Alias]], " ", tblScalesMeasures_734[[#This Row],[Parameter]], " ","(",tblScalesMeasures_734[[#This Row],[Unit]],")")</f>
        <v>EXT Load Regulation (V)</v>
      </c>
      <c r="Z98" s="175">
        <v>-1.5</v>
      </c>
      <c r="AA98" s="175">
        <v>1.5</v>
      </c>
      <c r="AB98" s="175" t="s">
        <v>63</v>
      </c>
      <c r="AC98" s="175" t="s">
        <v>184</v>
      </c>
    </row>
    <row r="99" spans="2:29">
      <c r="B99" s="23">
        <v>48</v>
      </c>
      <c r="C99" s="23">
        <f ca="1">INDEX(INDIRECT(_xlfn.CONCAT(INDIRECT("tblScalesMeasures_Selected[Table]"),"[","ProductId","]")),MATCH(tblProductScalesMeasures[[#This Row],[ID]],INDIRECT(_xlfn.CONCAT(INDIRECT("tblScalesMeasures_Selected[Table]"),"[","ID","]")),0))</f>
        <v>734</v>
      </c>
      <c r="D99" s="30">
        <f ca="1">INDEX(INDIRECT(_xlfn.CONCAT(INDIRECT("tblScalesMeasures_Selected[Table]"),"[","OutputId","]")),MATCH(tblProductScalesMeasures[[#This Row],[ID]],INDIRECT(_xlfn.CONCAT(INDIRECT("tblScalesMeasures_Selected[Table]"),"[","ID","]")),0))</f>
        <v>5</v>
      </c>
      <c r="E99" s="76" t="str">
        <f ca="1">INDEX(INDIRECT(_xlfn.CONCAT(INDIRECT("tblScalesMeasures_Selected[Table]"),"[","Alias","]")),MATCH(tblProductScalesMeasures[[#This Row],[ID]],INDIRECT(_xlfn.CONCAT(INDIRECT("tblScalesMeasures_Selected[Table]"),"[","ID","]")),0))</f>
        <v>EXT</v>
      </c>
      <c r="F99" s="76" t="str">
        <f ca="1">INDEX(INDIRECT(_xlfn.CONCAT(INDIRECT("tblScalesMeasures_Selected[Table]"),"[","Parameter","]")),MATCH(tblProductScalesMeasures[[#This Row],[ID]],INDIRECT(_xlfn.CONCAT(INDIRECT("tblScalesMeasures_Selected[Table]"),"[","ID","]")),0))</f>
        <v>Current Limit</v>
      </c>
      <c r="G99" s="76" t="str">
        <f ca="1">INDEX(INDIRECT(_xlfn.CONCAT(INDIRECT("tblScalesMeasures_Selected[Table]"),"[","Unit","]")),MATCH(tblProductScalesMeasures[[#This Row],[ID]],INDIRECT(_xlfn.CONCAT(INDIRECT("tblScalesMeasures_Selected[Table]"),"[","ID","]")),0))</f>
        <v>uA</v>
      </c>
      <c r="H99" s="77" t="str">
        <f ca="1">INDEX(INDIRECT(_xlfn.CONCAT(INDIRECT("tblScalesMeasures_Selected[Table]"),"[","Description","]")),MATCH(tblProductScalesMeasures[[#This Row],[ID]],INDIRECT(_xlfn.CONCAT(INDIRECT("tblScalesMeasures_Selected[Table]"),"[","ID","]")),0))</f>
        <v>EXT Current Limit (uA)</v>
      </c>
      <c r="I99" s="76">
        <f ca="1">INDEX(INDIRECT(_xlfn.CONCAT(INDIRECT("tblScalesMeasures_Selected[Table]"),"[","Min","]")),MATCH(tblProductScalesMeasures[[#This Row],[ID]],INDIRECT(_xlfn.CONCAT(INDIRECT("tblScalesMeasures_Selected[Table]"),"[","ID","]")),0))</f>
        <v>-10</v>
      </c>
      <c r="J99" s="76">
        <f ca="1">INDEX(INDIRECT(_xlfn.CONCAT(INDIRECT("tblScalesMeasures_Selected[Table]"),"[","Max","]")),MATCH(tblProductScalesMeasures[[#This Row],[ID]],INDIRECT(_xlfn.CONCAT(INDIRECT("tblScalesMeasures_Selected[Table]"),"[","ID","]")),0))</f>
        <v>10</v>
      </c>
      <c r="K99" s="76" t="str">
        <f ca="1">INDEX(INDIRECT(_xlfn.CONCAT(INDIRECT("tblScalesMeasures_Selected[Table]"),"[","Nominal","]")),MATCH(tblProductScalesMeasures[[#This Row],[ID]],INDIRECT(_xlfn.CONCAT(INDIRECT("tblScalesMeasures_Selected[Table]"),"[","ID","]")),0))</f>
        <v>-</v>
      </c>
      <c r="L99" s="76" t="str">
        <f ca="1">INDEX(INDIRECT(_xlfn.CONCAT(INDIRECT("tblScalesMeasures_Selected[Table]"),"[","Value","]")),MATCH(tblProductScalesMeasures[[#This Row],[ID]],INDIRECT(_xlfn.CONCAT(INDIRECT("tblScalesMeasures_Selected[Table]"),"[","ID","]")),0))</f>
        <v>N</v>
      </c>
      <c r="O99"/>
      <c r="P99" s="11"/>
      <c r="S99" s="337">
        <v>48</v>
      </c>
      <c r="T99" s="184">
        <v>734</v>
      </c>
      <c r="U99" s="337">
        <v>5</v>
      </c>
      <c r="V99" s="175" t="str">
        <f ca="1">INDEX(INDIRECT(_xlfn.CONCAT("tblOutputs_",tblScalesMeasures_734[[#This Row],[ProductId]],"[Alias]")),MATCH(tblScalesMeasures_734[[#This Row],[OutputId]],INDIRECT(_xlfn.CONCAT("tblOutputs_",tblScalesMeasures_734[[#This Row],[ProductId]],"[ID]")),0))</f>
        <v>EXT</v>
      </c>
      <c r="W99" s="175" t="s">
        <v>274</v>
      </c>
      <c r="X99" s="175" t="s">
        <v>124</v>
      </c>
      <c r="Y99" s="76" t="str">
        <f ca="1">_xlfn.CONCAT(tblScalesMeasures_734[[#This Row],[Alias]], " ", tblScalesMeasures_734[[#This Row],[Parameter]], " ","(",tblScalesMeasures_734[[#This Row],[Unit]],")")</f>
        <v>EXT Current Limit (uA)</v>
      </c>
      <c r="Z99" s="175">
        <v>-10</v>
      </c>
      <c r="AA99" s="175">
        <v>10</v>
      </c>
      <c r="AB99" s="175" t="s">
        <v>63</v>
      </c>
      <c r="AC99" s="175" t="s">
        <v>184</v>
      </c>
    </row>
    <row r="100" spans="2:29">
      <c r="B100" s="23">
        <v>49</v>
      </c>
      <c r="C100" s="23">
        <f ca="1">INDEX(INDIRECT(_xlfn.CONCAT(INDIRECT("tblScalesMeasures_Selected[Table]"),"[","ProductId","]")),MATCH(tblProductScalesMeasures[[#This Row],[ID]],INDIRECT(_xlfn.CONCAT(INDIRECT("tblScalesMeasures_Selected[Table]"),"[","ID","]")),0))</f>
        <v>734</v>
      </c>
      <c r="D100" s="30">
        <f ca="1">INDEX(INDIRECT(_xlfn.CONCAT(INDIRECT("tblScalesMeasures_Selected[Table]"),"[","OutputId","]")),MATCH(tblProductScalesMeasures[[#This Row],[ID]],INDIRECT(_xlfn.CONCAT(INDIRECT("tblScalesMeasures_Selected[Table]"),"[","ID","]")),0))</f>
        <v>6</v>
      </c>
      <c r="E100" s="76" t="str">
        <f ca="1">INDEX(INDIRECT(_xlfn.CONCAT(INDIRECT("tblScalesMeasures_Selected[Table]"),"[","Alias","]")),MATCH(tblProductScalesMeasures[[#This Row],[ID]],INDIRECT(_xlfn.CONCAT(INDIRECT("tblScalesMeasures_Selected[Table]"),"[","ID","]")),0))</f>
        <v>SUP</v>
      </c>
      <c r="F100" s="76" t="str">
        <f ca="1">INDEX(INDIRECT(_xlfn.CONCAT(INDIRECT("tblScalesMeasures_Selected[Table]"),"[","Parameter","]")),MATCH(tblProductScalesMeasures[[#This Row],[ID]],INDIRECT(_xlfn.CONCAT(INDIRECT("tblScalesMeasures_Selected[Table]"),"[","ID","]")),0))</f>
        <v>Output Current Off Load</v>
      </c>
      <c r="G100" s="76" t="str">
        <f ca="1">INDEX(INDIRECT(_xlfn.CONCAT(INDIRECT("tblScalesMeasures_Selected[Table]"),"[","Unit","]")),MATCH(tblProductScalesMeasures[[#This Row],[ID]],INDIRECT(_xlfn.CONCAT(INDIRECT("tblScalesMeasures_Selected[Table]"),"[","ID","]")),0))</f>
        <v>uA</v>
      </c>
      <c r="H100" s="77" t="str">
        <f ca="1">INDEX(INDIRECT(_xlfn.CONCAT(INDIRECT("tblScalesMeasures_Selected[Table]"),"[","Description","]")),MATCH(tblProductScalesMeasures[[#This Row],[ID]],INDIRECT(_xlfn.CONCAT(INDIRECT("tblScalesMeasures_Selected[Table]"),"[","ID","]")),0))</f>
        <v>SUP Output Current Off Load (uA)</v>
      </c>
      <c r="I100" s="76">
        <f ca="1">INDEX(INDIRECT(_xlfn.CONCAT(INDIRECT("tblScalesMeasures_Selected[Table]"),"[","Min","]")),MATCH(tblProductScalesMeasures[[#This Row],[ID]],INDIRECT(_xlfn.CONCAT(INDIRECT("tblScalesMeasures_Selected[Table]"),"[","ID","]")),0))</f>
        <v>-3</v>
      </c>
      <c r="J100" s="76">
        <f ca="1">INDEX(INDIRECT(_xlfn.CONCAT(INDIRECT("tblScalesMeasures_Selected[Table]"),"[","Max","]")),MATCH(tblProductScalesMeasures[[#This Row],[ID]],INDIRECT(_xlfn.CONCAT(INDIRECT("tblScalesMeasures_Selected[Table]"),"[","ID","]")),0))</f>
        <v>3</v>
      </c>
      <c r="K100" s="76" t="str">
        <f ca="1">INDEX(INDIRECT(_xlfn.CONCAT(INDIRECT("tblScalesMeasures_Selected[Table]"),"[","Nominal","]")),MATCH(tblProductScalesMeasures[[#This Row],[ID]],INDIRECT(_xlfn.CONCAT(INDIRECT("tblScalesMeasures_Selected[Table]"),"[","ID","]")),0))</f>
        <v>-</v>
      </c>
      <c r="L100" s="76" t="str">
        <f ca="1">INDEX(INDIRECT(_xlfn.CONCAT(INDIRECT("tblScalesMeasures_Selected[Table]"),"[","Value","]")),MATCH(tblProductScalesMeasures[[#This Row],[ID]],INDIRECT(_xlfn.CONCAT(INDIRECT("tblScalesMeasures_Selected[Table]"),"[","ID","]")),0))</f>
        <v>N</v>
      </c>
      <c r="O100"/>
      <c r="P100" s="11"/>
      <c r="S100" s="339">
        <v>49</v>
      </c>
      <c r="T100" s="184">
        <v>734</v>
      </c>
      <c r="U100" s="339">
        <v>6</v>
      </c>
      <c r="V100" s="175" t="str">
        <f ca="1">INDEX(INDIRECT(_xlfn.CONCAT("tblOutputs_",tblScalesMeasures_734[[#This Row],[ProductId]],"[Alias]")),MATCH(tblScalesMeasures_734[[#This Row],[OutputId]],INDIRECT(_xlfn.CONCAT("tblOutputs_",tblScalesMeasures_734[[#This Row],[ProductId]],"[ID]")),0))</f>
        <v>SUP</v>
      </c>
      <c r="W100" s="175" t="s">
        <v>430</v>
      </c>
      <c r="X100" s="175" t="s">
        <v>124</v>
      </c>
      <c r="Y100" s="76" t="str">
        <f ca="1">_xlfn.CONCAT(tblScalesMeasures_734[[#This Row],[Alias]], " ", tblScalesMeasures_734[[#This Row],[Parameter]], " ","(",tblScalesMeasures_734[[#This Row],[Unit]],")")</f>
        <v>SUP Output Current Off Load (uA)</v>
      </c>
      <c r="Z100" s="175">
        <v>-3</v>
      </c>
      <c r="AA100" s="175">
        <v>3</v>
      </c>
      <c r="AB100" s="175" t="s">
        <v>63</v>
      </c>
      <c r="AC100" s="175" t="s">
        <v>184</v>
      </c>
    </row>
    <row r="101" spans="2:29" s="43" customFormat="1">
      <c r="B101" s="23">
        <v>50</v>
      </c>
      <c r="C101" s="23">
        <f ca="1">INDEX(INDIRECT(_xlfn.CONCAT(INDIRECT("tblScalesMeasures_Selected[Table]"),"[","ProductId","]")),MATCH(tblProductScalesMeasures[[#This Row],[ID]],INDIRECT(_xlfn.CONCAT(INDIRECT("tblScalesMeasures_Selected[Table]"),"[","ID","]")),0))</f>
        <v>734</v>
      </c>
      <c r="D101" s="30">
        <f ca="1">INDEX(INDIRECT(_xlfn.CONCAT(INDIRECT("tblScalesMeasures_Selected[Table]"),"[","OutputId","]")),MATCH(tblProductScalesMeasures[[#This Row],[ID]],INDIRECT(_xlfn.CONCAT(INDIRECT("tblScalesMeasures_Selected[Table]"),"[","ID","]")),0))</f>
        <v>6</v>
      </c>
      <c r="E101" s="76" t="str">
        <f ca="1">INDEX(INDIRECT(_xlfn.CONCAT(INDIRECT("tblScalesMeasures_Selected[Table]"),"[","Alias","]")),MATCH(tblProductScalesMeasures[[#This Row],[ID]],INDIRECT(_xlfn.CONCAT(INDIRECT("tblScalesMeasures_Selected[Table]"),"[","ID","]")),0))</f>
        <v>SUP</v>
      </c>
      <c r="F101" s="76" t="str">
        <f ca="1">INDEX(INDIRECT(_xlfn.CONCAT(INDIRECT("tblScalesMeasures_Selected[Table]"),"[","Parameter","]")),MATCH(tblProductScalesMeasures[[#This Row],[ID]],INDIRECT(_xlfn.CONCAT(INDIRECT("tblScalesMeasures_Selected[Table]"),"[","ID","]")),0))</f>
        <v>Vout Off Load Minimum</v>
      </c>
      <c r="G101" s="76" t="str">
        <f ca="1">INDEX(INDIRECT(_xlfn.CONCAT(INDIRECT("tblScalesMeasures_Selected[Table]"),"[","Unit","]")),MATCH(tblProductScalesMeasures[[#This Row],[ID]],INDIRECT(_xlfn.CONCAT(INDIRECT("tblScalesMeasures_Selected[Table]"),"[","ID","]")),0))</f>
        <v>V</v>
      </c>
      <c r="H101" s="77" t="str">
        <f ca="1">INDEX(INDIRECT(_xlfn.CONCAT(INDIRECT("tblScalesMeasures_Selected[Table]"),"[","Description","]")),MATCH(tblProductScalesMeasures[[#This Row],[ID]],INDIRECT(_xlfn.CONCAT(INDIRECT("tblScalesMeasures_Selected[Table]"),"[","ID","]")),0))</f>
        <v>SUP Vout Off Load Minimum (V)</v>
      </c>
      <c r="I101" s="76">
        <f ca="1">INDEX(INDIRECT(_xlfn.CONCAT(INDIRECT("tblScalesMeasures_Selected[Table]"),"[","Min","]")),MATCH(tblProductScalesMeasures[[#This Row],[ID]],INDIRECT(_xlfn.CONCAT(INDIRECT("tblScalesMeasures_Selected[Table]"),"[","ID","]")),0))</f>
        <v>-100</v>
      </c>
      <c r="J101" s="76">
        <f ca="1">INDEX(INDIRECT(_xlfn.CONCAT(INDIRECT("tblScalesMeasures_Selected[Table]"),"[","Max","]")),MATCH(tblProductScalesMeasures[[#This Row],[ID]],INDIRECT(_xlfn.CONCAT(INDIRECT("tblScalesMeasures_Selected[Table]"),"[","ID","]")),0))</f>
        <v>100</v>
      </c>
      <c r="K101" s="76" t="str">
        <f ca="1">INDEX(INDIRECT(_xlfn.CONCAT(INDIRECT("tblScalesMeasures_Selected[Table]"),"[","Nominal","]")),MATCH(tblProductScalesMeasures[[#This Row],[ID]],INDIRECT(_xlfn.CONCAT(INDIRECT("tblScalesMeasures_Selected[Table]"),"[","ID","]")),0))</f>
        <v>-</v>
      </c>
      <c r="L101" s="76" t="str">
        <f ca="1">INDEX(INDIRECT(_xlfn.CONCAT(INDIRECT("tblScalesMeasures_Selected[Table]"),"[","Value","]")),MATCH(tblProductScalesMeasures[[#This Row],[ID]],INDIRECT(_xlfn.CONCAT(INDIRECT("tblScalesMeasures_Selected[Table]"),"[","ID","]")),0))</f>
        <v>N</v>
      </c>
      <c r="S101" s="25">
        <v>50</v>
      </c>
      <c r="T101" s="184">
        <v>734</v>
      </c>
      <c r="U101" s="339">
        <v>6</v>
      </c>
      <c r="V101" s="175" t="str">
        <f ca="1">INDEX(INDIRECT(_xlfn.CONCAT("tblOutputs_",tblScalesMeasures_734[[#This Row],[ProductId]],"[Alias]")),MATCH(tblScalesMeasures_734[[#This Row],[OutputId]],INDIRECT(_xlfn.CONCAT("tblOutputs_",tblScalesMeasures_734[[#This Row],[ProductId]],"[ID]")),0))</f>
        <v>SUP</v>
      </c>
      <c r="W101" s="175" t="s">
        <v>508</v>
      </c>
      <c r="X101" s="175" t="s">
        <v>71</v>
      </c>
      <c r="Y101" s="76" t="str">
        <f ca="1">_xlfn.CONCAT(tblScalesMeasures_734[[#This Row],[Alias]], " ", tblScalesMeasures_734[[#This Row],[Parameter]], " ","(",tblScalesMeasures_734[[#This Row],[Unit]],")")</f>
        <v>SUP Vout Off Load Minimum (V)</v>
      </c>
      <c r="Z101" s="175">
        <v>-100</v>
      </c>
      <c r="AA101" s="175">
        <v>100</v>
      </c>
      <c r="AB101" s="175" t="s">
        <v>63</v>
      </c>
      <c r="AC101" s="175" t="s">
        <v>184</v>
      </c>
    </row>
    <row r="102" spans="2:29">
      <c r="B102" s="23">
        <v>51</v>
      </c>
      <c r="C102" s="23">
        <f ca="1">INDEX(INDIRECT(_xlfn.CONCAT(INDIRECT("tblScalesMeasures_Selected[Table]"),"[","ProductId","]")),MATCH(tblProductScalesMeasures[[#This Row],[ID]],INDIRECT(_xlfn.CONCAT(INDIRECT("tblScalesMeasures_Selected[Table]"),"[","ID","]")),0))</f>
        <v>734</v>
      </c>
      <c r="D102" s="30">
        <f ca="1">INDEX(INDIRECT(_xlfn.CONCAT(INDIRECT("tblScalesMeasures_Selected[Table]"),"[","OutputId","]")),MATCH(tblProductScalesMeasures[[#This Row],[ID]],INDIRECT(_xlfn.CONCAT(INDIRECT("tblScalesMeasures_Selected[Table]"),"[","ID","]")),0))</f>
        <v>6</v>
      </c>
      <c r="E102" s="76" t="str">
        <f ca="1">INDEX(INDIRECT(_xlfn.CONCAT(INDIRECT("tblScalesMeasures_Selected[Table]"),"[","Alias","]")),MATCH(tblProductScalesMeasures[[#This Row],[ID]],INDIRECT(_xlfn.CONCAT(INDIRECT("tblScalesMeasures_Selected[Table]"),"[","ID","]")),0))</f>
        <v>SUP</v>
      </c>
      <c r="F102" s="76" t="str">
        <f ca="1">INDEX(INDIRECT(_xlfn.CONCAT(INDIRECT("tblScalesMeasures_Selected[Table]"),"[","Parameter","]")),MATCH(tblProductScalesMeasures[[#This Row],[ID]],INDIRECT(_xlfn.CONCAT(INDIRECT("tblScalesMeasures_Selected[Table]"),"[","ID","]")),0))</f>
        <v>Vout Off Load Neg</v>
      </c>
      <c r="G102" s="76" t="str">
        <f ca="1">INDEX(INDIRECT(_xlfn.CONCAT(INDIRECT("tblScalesMeasures_Selected[Table]"),"[","Unit","]")),MATCH(tblProductScalesMeasures[[#This Row],[ID]],INDIRECT(_xlfn.CONCAT(INDIRECT("tblScalesMeasures_Selected[Table]"),"[","ID","]")),0))</f>
        <v>V</v>
      </c>
      <c r="H102" s="77" t="str">
        <f ca="1">INDEX(INDIRECT(_xlfn.CONCAT(INDIRECT("tblScalesMeasures_Selected[Table]"),"[","Description","]")),MATCH(tblProductScalesMeasures[[#This Row],[ID]],INDIRECT(_xlfn.CONCAT(INDIRECT("tblScalesMeasures_Selected[Table]"),"[","ID","]")),0))</f>
        <v>SUP Vout Off Load Neg (V)</v>
      </c>
      <c r="I102" s="76">
        <f ca="1">INDEX(INDIRECT(_xlfn.CONCAT(INDIRECT("tblScalesMeasures_Selected[Table]"),"[","Min","]")),MATCH(tblProductScalesMeasures[[#This Row],[ID]],INDIRECT(_xlfn.CONCAT(INDIRECT("tblScalesMeasures_Selected[Table]"),"[","ID","]")),0))</f>
        <v>-20</v>
      </c>
      <c r="J102" s="76">
        <f ca="1">INDEX(INDIRECT(_xlfn.CONCAT(INDIRECT("tblScalesMeasures_Selected[Table]"),"[","Max","]")),MATCH(tblProductScalesMeasures[[#This Row],[ID]],INDIRECT(_xlfn.CONCAT(INDIRECT("tblScalesMeasures_Selected[Table]"),"[","ID","]")),0))</f>
        <v>20</v>
      </c>
      <c r="K102" s="76" t="str">
        <f ca="1">INDEX(INDIRECT(_xlfn.CONCAT(INDIRECT("tblScalesMeasures_Selected[Table]"),"[","Nominal","]")),MATCH(tblProductScalesMeasures[[#This Row],[ID]],INDIRECT(_xlfn.CONCAT(INDIRECT("tblScalesMeasures_Selected[Table]"),"[","ID","]")),0))</f>
        <v>-</v>
      </c>
      <c r="L102" s="76" t="str">
        <f ca="1">INDEX(INDIRECT(_xlfn.CONCAT(INDIRECT("tblScalesMeasures_Selected[Table]"),"[","Value","]")),MATCH(tblProductScalesMeasures[[#This Row],[ID]],INDIRECT(_xlfn.CONCAT(INDIRECT("tblScalesMeasures_Selected[Table]"),"[","ID","]")),0))</f>
        <v>N</v>
      </c>
      <c r="S102" s="339">
        <v>51</v>
      </c>
      <c r="T102" s="184">
        <v>734</v>
      </c>
      <c r="U102" s="339">
        <v>6</v>
      </c>
      <c r="V102" s="175" t="str">
        <f ca="1">INDEX(INDIRECT(_xlfn.CONCAT("tblOutputs_",tblScalesMeasures_734[[#This Row],[ProductId]],"[Alias]")),MATCH(tblScalesMeasures_734[[#This Row],[OutputId]],INDIRECT(_xlfn.CONCAT("tblOutputs_",tblScalesMeasures_734[[#This Row],[ProductId]],"[ID]")),0))</f>
        <v>SUP</v>
      </c>
      <c r="W102" s="175" t="s">
        <v>572</v>
      </c>
      <c r="X102" s="175" t="s">
        <v>71</v>
      </c>
      <c r="Y102" s="76" t="str">
        <f ca="1">_xlfn.CONCAT(tblScalesMeasures_734[[#This Row],[Alias]], " ", tblScalesMeasures_734[[#This Row],[Parameter]], " ","(",tblScalesMeasures_734[[#This Row],[Unit]],")")</f>
        <v>SUP Vout Off Load Neg (V)</v>
      </c>
      <c r="Z102" s="175">
        <v>-20</v>
      </c>
      <c r="AA102" s="175">
        <v>20</v>
      </c>
      <c r="AB102" s="175" t="s">
        <v>63</v>
      </c>
      <c r="AC102" s="175" t="s">
        <v>184</v>
      </c>
    </row>
    <row r="103" spans="2:29">
      <c r="B103" s="23">
        <v>52</v>
      </c>
      <c r="C103" s="23">
        <f ca="1">INDEX(INDIRECT(_xlfn.CONCAT(INDIRECT("tblScalesMeasures_Selected[Table]"),"[","ProductId","]")),MATCH(tblProductScalesMeasures[[#This Row],[ID]],INDIRECT(_xlfn.CONCAT(INDIRECT("tblScalesMeasures_Selected[Table]"),"[","ID","]")),0))</f>
        <v>734</v>
      </c>
      <c r="D103" s="30">
        <f ca="1">INDEX(INDIRECT(_xlfn.CONCAT(INDIRECT("tblScalesMeasures_Selected[Table]"),"[","OutputId","]")),MATCH(tblProductScalesMeasures[[#This Row],[ID]],INDIRECT(_xlfn.CONCAT(INDIRECT("tblScalesMeasures_Selected[Table]"),"[","ID","]")),0))</f>
        <v>6</v>
      </c>
      <c r="E103" s="76" t="str">
        <f ca="1">INDEX(INDIRECT(_xlfn.CONCAT(INDIRECT("tblScalesMeasures_Selected[Table]"),"[","Alias","]")),MATCH(tblProductScalesMeasures[[#This Row],[ID]],INDIRECT(_xlfn.CONCAT(INDIRECT("tblScalesMeasures_Selected[Table]"),"[","ID","]")),0))</f>
        <v>SUP</v>
      </c>
      <c r="F103" s="76" t="str">
        <f ca="1">INDEX(INDIRECT(_xlfn.CONCAT(INDIRECT("tblScalesMeasures_Selected[Table]"),"[","Parameter","]")),MATCH(tblProductScalesMeasures[[#This Row],[ID]],INDIRECT(_xlfn.CONCAT(INDIRECT("tblScalesMeasures_Selected[Table]"),"[","ID","]")),0))</f>
        <v>Vout Off Load Pos</v>
      </c>
      <c r="G103" s="76" t="str">
        <f ca="1">INDEX(INDIRECT(_xlfn.CONCAT(INDIRECT("tblScalesMeasures_Selected[Table]"),"[","Unit","]")),MATCH(tblProductScalesMeasures[[#This Row],[ID]],INDIRECT(_xlfn.CONCAT(INDIRECT("tblScalesMeasures_Selected[Table]"),"[","ID","]")),0))</f>
        <v>V</v>
      </c>
      <c r="H103" s="77" t="str">
        <f ca="1">INDEX(INDIRECT(_xlfn.CONCAT(INDIRECT("tblScalesMeasures_Selected[Table]"),"[","Description","]")),MATCH(tblProductScalesMeasures[[#This Row],[ID]],INDIRECT(_xlfn.CONCAT(INDIRECT("tblScalesMeasures_Selected[Table]"),"[","ID","]")),0))</f>
        <v>SUP Vout Off Load Pos (V)</v>
      </c>
      <c r="I103" s="76">
        <f ca="1">INDEX(INDIRECT(_xlfn.CONCAT(INDIRECT("tblScalesMeasures_Selected[Table]"),"[","Min","]")),MATCH(tblProductScalesMeasures[[#This Row],[ID]],INDIRECT(_xlfn.CONCAT(INDIRECT("tblScalesMeasures_Selected[Table]"),"[","ID","]")),0))</f>
        <v>-20</v>
      </c>
      <c r="J103" s="76">
        <f ca="1">INDEX(INDIRECT(_xlfn.CONCAT(INDIRECT("tblScalesMeasures_Selected[Table]"),"[","Max","]")),MATCH(tblProductScalesMeasures[[#This Row],[ID]],INDIRECT(_xlfn.CONCAT(INDIRECT("tblScalesMeasures_Selected[Table]"),"[","ID","]")),0))</f>
        <v>20</v>
      </c>
      <c r="K103" s="76" t="str">
        <f ca="1">INDEX(INDIRECT(_xlfn.CONCAT(INDIRECT("tblScalesMeasures_Selected[Table]"),"[","Nominal","]")),MATCH(tblProductScalesMeasures[[#This Row],[ID]],INDIRECT(_xlfn.CONCAT(INDIRECT("tblScalesMeasures_Selected[Table]"),"[","ID","]")),0))</f>
        <v>-</v>
      </c>
      <c r="L103" s="76" t="str">
        <f ca="1">INDEX(INDIRECT(_xlfn.CONCAT(INDIRECT("tblScalesMeasures_Selected[Table]"),"[","Value","]")),MATCH(tblProductScalesMeasures[[#This Row],[ID]],INDIRECT(_xlfn.CONCAT(INDIRECT("tblScalesMeasures_Selected[Table]"),"[","ID","]")),0))</f>
        <v>N</v>
      </c>
      <c r="S103" s="25">
        <v>52</v>
      </c>
      <c r="T103" s="184">
        <v>734</v>
      </c>
      <c r="U103" s="339">
        <v>6</v>
      </c>
      <c r="V103" s="175" t="str">
        <f ca="1">INDEX(INDIRECT(_xlfn.CONCAT("tblOutputs_",tblScalesMeasures_734[[#This Row],[ProductId]],"[Alias]")),MATCH(tblScalesMeasures_734[[#This Row],[OutputId]],INDIRECT(_xlfn.CONCAT("tblOutputs_",tblScalesMeasures_734[[#This Row],[ProductId]],"[ID]")),0))</f>
        <v>SUP</v>
      </c>
      <c r="W103" s="175" t="s">
        <v>573</v>
      </c>
      <c r="X103" s="43" t="s">
        <v>71</v>
      </c>
      <c r="Y103" s="76" t="str">
        <f ca="1">_xlfn.CONCAT(tblScalesMeasures_734[[#This Row],[Alias]], " ", tblScalesMeasures_734[[#This Row],[Parameter]], " ","(",tblScalesMeasures_734[[#This Row],[Unit]],")")</f>
        <v>SUP Vout Off Load Pos (V)</v>
      </c>
      <c r="Z103" s="43">
        <v>-20</v>
      </c>
      <c r="AA103" s="43">
        <v>20</v>
      </c>
      <c r="AB103" s="175" t="s">
        <v>63</v>
      </c>
      <c r="AC103" s="175" t="s">
        <v>184</v>
      </c>
    </row>
    <row r="104" spans="2:29">
      <c r="B104" s="23">
        <v>53</v>
      </c>
      <c r="C104" s="23">
        <f ca="1">INDEX(INDIRECT(_xlfn.CONCAT(INDIRECT("tblScalesMeasures_Selected[Table]"),"[","ProductId","]")),MATCH(tblProductScalesMeasures[[#This Row],[ID]],INDIRECT(_xlfn.CONCAT(INDIRECT("tblScalesMeasures_Selected[Table]"),"[","ID","]")),0))</f>
        <v>734</v>
      </c>
      <c r="D104" s="30">
        <f ca="1">INDEX(INDIRECT(_xlfn.CONCAT(INDIRECT("tblScalesMeasures_Selected[Table]"),"[","OutputId","]")),MATCH(tblProductScalesMeasures[[#This Row],[ID]],INDIRECT(_xlfn.CONCAT(INDIRECT("tblScalesMeasures_Selected[Table]"),"[","ID","]")),0))</f>
        <v>6</v>
      </c>
      <c r="E104" s="76" t="str">
        <f ca="1">INDEX(INDIRECT(_xlfn.CONCAT(INDIRECT("tblScalesMeasures_Selected[Table]"),"[","Alias","]")),MATCH(tblProductScalesMeasures[[#This Row],[ID]],INDIRECT(_xlfn.CONCAT(INDIRECT("tblScalesMeasures_Selected[Table]"),"[","ID","]")),0))</f>
        <v>SUP</v>
      </c>
      <c r="F104" s="76" t="str">
        <f ca="1">INDEX(INDIRECT(_xlfn.CONCAT(INDIRECT("tblScalesMeasures_Selected[Table]"),"[","Parameter","]")),MATCH(tblProductScalesMeasures[[#This Row],[ID]],INDIRECT(_xlfn.CONCAT(INDIRECT("tblScalesMeasures_Selected[Table]"),"[","ID","]")),0))</f>
        <v>Current Limit Pos</v>
      </c>
      <c r="G104" s="76" t="str">
        <f ca="1">INDEX(INDIRECT(_xlfn.CONCAT(INDIRECT("tblScalesMeasures_Selected[Table]"),"[","Unit","]")),MATCH(tblProductScalesMeasures[[#This Row],[ID]],INDIRECT(_xlfn.CONCAT(INDIRECT("tblScalesMeasures_Selected[Table]"),"[","ID","]")),0))</f>
        <v>uA</v>
      </c>
      <c r="H104" s="77" t="str">
        <f ca="1">INDEX(INDIRECT(_xlfn.CONCAT(INDIRECT("tblScalesMeasures_Selected[Table]"),"[","Description","]")),MATCH(tblProductScalesMeasures[[#This Row],[ID]],INDIRECT(_xlfn.CONCAT(INDIRECT("tblScalesMeasures_Selected[Table]"),"[","ID","]")),0))</f>
        <v>SUP Current Limit Pos (uA)</v>
      </c>
      <c r="I104" s="76">
        <f ca="1">INDEX(INDIRECT(_xlfn.CONCAT(INDIRECT("tblScalesMeasures_Selected[Table]"),"[","Min","]")),MATCH(tblProductScalesMeasures[[#This Row],[ID]],INDIRECT(_xlfn.CONCAT(INDIRECT("tblScalesMeasures_Selected[Table]"),"[","ID","]")),0))</f>
        <v>70</v>
      </c>
      <c r="J104" s="76">
        <f ca="1">INDEX(INDIRECT(_xlfn.CONCAT(INDIRECT("tblScalesMeasures_Selected[Table]"),"[","Max","]")),MATCH(tblProductScalesMeasures[[#This Row],[ID]],INDIRECT(_xlfn.CONCAT(INDIRECT("tblScalesMeasures_Selected[Table]"),"[","ID","]")),0))</f>
        <v>80</v>
      </c>
      <c r="K104" s="76" t="str">
        <f ca="1">INDEX(INDIRECT(_xlfn.CONCAT(INDIRECT("tblScalesMeasures_Selected[Table]"),"[","Nominal","]")),MATCH(tblProductScalesMeasures[[#This Row],[ID]],INDIRECT(_xlfn.CONCAT(INDIRECT("tblScalesMeasures_Selected[Table]"),"[","ID","]")),0))</f>
        <v>-</v>
      </c>
      <c r="L104" s="76" t="str">
        <f ca="1">INDEX(INDIRECT(_xlfn.CONCAT(INDIRECT("tblScalesMeasures_Selected[Table]"),"[","Value","]")),MATCH(tblProductScalesMeasures[[#This Row],[ID]],INDIRECT(_xlfn.CONCAT(INDIRECT("tblScalesMeasures_Selected[Table]"),"[","ID","]")),0))</f>
        <v>N</v>
      </c>
      <c r="S104" s="339">
        <v>53</v>
      </c>
      <c r="T104" s="184">
        <v>734</v>
      </c>
      <c r="U104" s="339">
        <v>6</v>
      </c>
      <c r="V104" s="175" t="str">
        <f ca="1">INDEX(INDIRECT(_xlfn.CONCAT("tblOutputs_",tblScalesMeasures_734[[#This Row],[ProductId]],"[Alias]")),MATCH(tblScalesMeasures_734[[#This Row],[OutputId]],INDIRECT(_xlfn.CONCAT("tblOutputs_",tblScalesMeasures_734[[#This Row],[ProductId]],"[ID]")),0))</f>
        <v>SUP</v>
      </c>
      <c r="W104" s="175" t="s">
        <v>730</v>
      </c>
      <c r="X104" s="175" t="s">
        <v>124</v>
      </c>
      <c r="Y104" s="76" t="str">
        <f ca="1">_xlfn.CONCAT(tblScalesMeasures_734[[#This Row],[Alias]], " ", tblScalesMeasures_734[[#This Row],[Parameter]], " ","(",tblScalesMeasures_734[[#This Row],[Unit]],")")</f>
        <v>SUP Current Limit Pos (uA)</v>
      </c>
      <c r="Z104" s="175">
        <v>70</v>
      </c>
      <c r="AA104" s="175">
        <v>80</v>
      </c>
      <c r="AB104" s="175" t="s">
        <v>63</v>
      </c>
      <c r="AC104" s="175" t="s">
        <v>184</v>
      </c>
    </row>
    <row r="105" spans="2:29">
      <c r="B105" s="23">
        <v>54</v>
      </c>
      <c r="C105" s="23">
        <f ca="1">INDEX(INDIRECT(_xlfn.CONCAT(INDIRECT("tblScalesMeasures_Selected[Table]"),"[","ProductId","]")),MATCH(tblProductScalesMeasures[[#This Row],[ID]],INDIRECT(_xlfn.CONCAT(INDIRECT("tblScalesMeasures_Selected[Table]"),"[","ID","]")),0))</f>
        <v>734</v>
      </c>
      <c r="D105" s="30">
        <f ca="1">INDEX(INDIRECT(_xlfn.CONCAT(INDIRECT("tblScalesMeasures_Selected[Table]"),"[","OutputId","]")),MATCH(tblProductScalesMeasures[[#This Row],[ID]],INDIRECT(_xlfn.CONCAT(INDIRECT("tblScalesMeasures_Selected[Table]"),"[","ID","]")),0))</f>
        <v>6</v>
      </c>
      <c r="E105" s="76" t="str">
        <f ca="1">INDEX(INDIRECT(_xlfn.CONCAT(INDIRECT("tblScalesMeasures_Selected[Table]"),"[","Alias","]")),MATCH(tblProductScalesMeasures[[#This Row],[ID]],INDIRECT(_xlfn.CONCAT(INDIRECT("tblScalesMeasures_Selected[Table]"),"[","ID","]")),0))</f>
        <v>SUP</v>
      </c>
      <c r="F105" s="76" t="str">
        <f ca="1">INDEX(INDIRECT(_xlfn.CONCAT(INDIRECT("tblScalesMeasures_Selected[Table]"),"[","Parameter","]")),MATCH(tblProductScalesMeasures[[#This Row],[ID]],INDIRECT(_xlfn.CONCAT(INDIRECT("tblScalesMeasures_Selected[Table]"),"[","ID","]")),0))</f>
        <v>Load Regulation Pos</v>
      </c>
      <c r="G105" s="76" t="str">
        <f ca="1">INDEX(INDIRECT(_xlfn.CONCAT(INDIRECT("tblScalesMeasures_Selected[Table]"),"[","Unit","]")),MATCH(tblProductScalesMeasures[[#This Row],[ID]],INDIRECT(_xlfn.CONCAT(INDIRECT("tblScalesMeasures_Selected[Table]"),"[","ID","]")),0))</f>
        <v>V</v>
      </c>
      <c r="H105" s="77" t="str">
        <f ca="1">INDEX(INDIRECT(_xlfn.CONCAT(INDIRECT("tblScalesMeasures_Selected[Table]"),"[","Description","]")),MATCH(tblProductScalesMeasures[[#This Row],[ID]],INDIRECT(_xlfn.CONCAT(INDIRECT("tblScalesMeasures_Selected[Table]"),"[","ID","]")),0))</f>
        <v>SUP Load Regulation Pos (V)</v>
      </c>
      <c r="I105" s="76">
        <f ca="1">INDEX(INDIRECT(_xlfn.CONCAT(INDIRECT("tblScalesMeasures_Selected[Table]"),"[","Min","]")),MATCH(tblProductScalesMeasures[[#This Row],[ID]],INDIRECT(_xlfn.CONCAT(INDIRECT("tblScalesMeasures_Selected[Table]"),"[","ID","]")),0))</f>
        <v>-0.2</v>
      </c>
      <c r="J105" s="76">
        <f ca="1">INDEX(INDIRECT(_xlfn.CONCAT(INDIRECT("tblScalesMeasures_Selected[Table]"),"[","Max","]")),MATCH(tblProductScalesMeasures[[#This Row],[ID]],INDIRECT(_xlfn.CONCAT(INDIRECT("tblScalesMeasures_Selected[Table]"),"[","ID","]")),0))</f>
        <v>0.2</v>
      </c>
      <c r="K105" s="76" t="str">
        <f ca="1">INDEX(INDIRECT(_xlfn.CONCAT(INDIRECT("tblScalesMeasures_Selected[Table]"),"[","Nominal","]")),MATCH(tblProductScalesMeasures[[#This Row],[ID]],INDIRECT(_xlfn.CONCAT(INDIRECT("tblScalesMeasures_Selected[Table]"),"[","ID","]")),0))</f>
        <v>-</v>
      </c>
      <c r="L105" s="76" t="str">
        <f ca="1">INDEX(INDIRECT(_xlfn.CONCAT(INDIRECT("tblScalesMeasures_Selected[Table]"),"[","Value","]")),MATCH(tblProductScalesMeasures[[#This Row],[ID]],INDIRECT(_xlfn.CONCAT(INDIRECT("tblScalesMeasures_Selected[Table]"),"[","ID","]")),0))</f>
        <v>N</v>
      </c>
      <c r="S105" s="339">
        <v>54</v>
      </c>
      <c r="T105" s="184">
        <v>734</v>
      </c>
      <c r="U105" s="339">
        <v>6</v>
      </c>
      <c r="V105" s="175" t="str">
        <f ca="1">INDEX(INDIRECT(_xlfn.CONCAT("tblOutputs_",tblScalesMeasures_734[[#This Row],[ProductId]],"[Alias]")),MATCH(tblScalesMeasures_734[[#This Row],[OutputId]],INDIRECT(_xlfn.CONCAT("tblOutputs_",tblScalesMeasures_734[[#This Row],[ProductId]],"[ID]")),0))</f>
        <v>SUP</v>
      </c>
      <c r="W105" s="175" t="s">
        <v>575</v>
      </c>
      <c r="X105" s="175" t="s">
        <v>71</v>
      </c>
      <c r="Y105" s="76" t="str">
        <f ca="1">_xlfn.CONCAT(tblScalesMeasures_734[[#This Row],[Alias]], " ", tblScalesMeasures_734[[#This Row],[Parameter]], " ","(",tblScalesMeasures_734[[#This Row],[Unit]],")")</f>
        <v>SUP Load Regulation Pos (V)</v>
      </c>
      <c r="Z105" s="175">
        <v>-0.2</v>
      </c>
      <c r="AA105" s="175">
        <v>0.2</v>
      </c>
      <c r="AB105" s="175" t="s">
        <v>63</v>
      </c>
      <c r="AC105" s="175" t="s">
        <v>184</v>
      </c>
    </row>
    <row r="106" spans="2:29">
      <c r="B106" s="23">
        <v>55</v>
      </c>
      <c r="C106" s="23">
        <f ca="1">INDEX(INDIRECT(_xlfn.CONCAT(INDIRECT("tblScalesMeasures_Selected[Table]"),"[","ProductId","]")),MATCH(tblProductScalesMeasures[[#This Row],[ID]],INDIRECT(_xlfn.CONCAT(INDIRECT("tblScalesMeasures_Selected[Table]"),"[","ID","]")),0))</f>
        <v>734</v>
      </c>
      <c r="D106" s="30">
        <f ca="1">INDEX(INDIRECT(_xlfn.CONCAT(INDIRECT("tblScalesMeasures_Selected[Table]"),"[","OutputId","]")),MATCH(tblProductScalesMeasures[[#This Row],[ID]],INDIRECT(_xlfn.CONCAT(INDIRECT("tblScalesMeasures_Selected[Table]"),"[","ID","]")),0))</f>
        <v>6</v>
      </c>
      <c r="E106" s="76" t="str">
        <f ca="1">INDEX(INDIRECT(_xlfn.CONCAT(INDIRECT("tblScalesMeasures_Selected[Table]"),"[","Alias","]")),MATCH(tblProductScalesMeasures[[#This Row],[ID]],INDIRECT(_xlfn.CONCAT(INDIRECT("tblScalesMeasures_Selected[Table]"),"[","ID","]")),0))</f>
        <v>SUP</v>
      </c>
      <c r="F106" s="76" t="str">
        <f ca="1">INDEX(INDIRECT(_xlfn.CONCAT(INDIRECT("tblScalesMeasures_Selected[Table]"),"[","Parameter","]")),MATCH(tblProductScalesMeasures[[#This Row],[ID]],INDIRECT(_xlfn.CONCAT(INDIRECT("tblScalesMeasures_Selected[Table]"),"[","ID","]")),0))</f>
        <v>Voltage Monitor Error Pos</v>
      </c>
      <c r="G106" s="76" t="str">
        <f ca="1">INDEX(INDIRECT(_xlfn.CONCAT(INDIRECT("tblScalesMeasures_Selected[Table]"),"[","Unit","]")),MATCH(tblProductScalesMeasures[[#This Row],[ID]],INDIRECT(_xlfn.CONCAT(INDIRECT("tblScalesMeasures_Selected[Table]"),"[","ID","]")),0))</f>
        <v>%</v>
      </c>
      <c r="H106" s="77" t="str">
        <f ca="1">INDEX(INDIRECT(_xlfn.CONCAT(INDIRECT("tblScalesMeasures_Selected[Table]"),"[","Description","]")),MATCH(tblProductScalesMeasures[[#This Row],[ID]],INDIRECT(_xlfn.CONCAT(INDIRECT("tblScalesMeasures_Selected[Table]"),"[","ID","]")),0))</f>
        <v>SUP Voltage Monitor Error Pos (%)</v>
      </c>
      <c r="I106" s="76">
        <f ca="1">INDEX(INDIRECT(_xlfn.CONCAT(INDIRECT("tblScalesMeasures_Selected[Table]"),"[","Min","]")),MATCH(tblProductScalesMeasures[[#This Row],[ID]],INDIRECT(_xlfn.CONCAT(INDIRECT("tblScalesMeasures_Selected[Table]"),"[","ID","]")),0))</f>
        <v>-1</v>
      </c>
      <c r="J106" s="76">
        <f ca="1">INDEX(INDIRECT(_xlfn.CONCAT(INDIRECT("tblScalesMeasures_Selected[Table]"),"[","Max","]")),MATCH(tblProductScalesMeasures[[#This Row],[ID]],INDIRECT(_xlfn.CONCAT(INDIRECT("tblScalesMeasures_Selected[Table]"),"[","ID","]")),0))</f>
        <v>1</v>
      </c>
      <c r="K106" s="76" t="str">
        <f ca="1">INDEX(INDIRECT(_xlfn.CONCAT(INDIRECT("tblScalesMeasures_Selected[Table]"),"[","Nominal","]")),MATCH(tblProductScalesMeasures[[#This Row],[ID]],INDIRECT(_xlfn.CONCAT(INDIRECT("tblScalesMeasures_Selected[Table]"),"[","ID","]")),0))</f>
        <v>-</v>
      </c>
      <c r="L106" s="76" t="str">
        <f ca="1">INDEX(INDIRECT(_xlfn.CONCAT(INDIRECT("tblScalesMeasures_Selected[Table]"),"[","Value","]")),MATCH(tblProductScalesMeasures[[#This Row],[ID]],INDIRECT(_xlfn.CONCAT(INDIRECT("tblScalesMeasures_Selected[Table]"),"[","ID","]")),0))</f>
        <v>N</v>
      </c>
      <c r="S106" s="339">
        <v>55</v>
      </c>
      <c r="T106" s="184">
        <v>734</v>
      </c>
      <c r="U106" s="339">
        <v>6</v>
      </c>
      <c r="V106" s="175" t="str">
        <f ca="1">INDEX(INDIRECT(_xlfn.CONCAT("tblOutputs_",tblScalesMeasures_734[[#This Row],[ProductId]],"[Alias]")),MATCH(tblScalesMeasures_734[[#This Row],[OutputId]],INDIRECT(_xlfn.CONCAT("tblOutputs_",tblScalesMeasures_734[[#This Row],[ProductId]],"[ID]")),0))</f>
        <v>SUP</v>
      </c>
      <c r="W106" s="175" t="s">
        <v>576</v>
      </c>
      <c r="X106" s="175" t="s">
        <v>338</v>
      </c>
      <c r="Y106" s="76" t="str">
        <f ca="1">_xlfn.CONCAT(tblScalesMeasures_734[[#This Row],[Alias]], " ", tblScalesMeasures_734[[#This Row],[Parameter]], " ","(",tblScalesMeasures_734[[#This Row],[Unit]],")")</f>
        <v>SUP Voltage Monitor Error Pos (%)</v>
      </c>
      <c r="Z106" s="175">
        <v>-1</v>
      </c>
      <c r="AA106" s="175">
        <v>1</v>
      </c>
      <c r="AB106" s="175" t="s">
        <v>63</v>
      </c>
      <c r="AC106" s="175" t="s">
        <v>184</v>
      </c>
    </row>
    <row r="107" spans="2:29">
      <c r="B107" s="23">
        <v>56</v>
      </c>
      <c r="C107" s="23">
        <f ca="1">INDEX(INDIRECT(_xlfn.CONCAT(INDIRECT("tblScalesMeasures_Selected[Table]"),"[","ProductId","]")),MATCH(tblProductScalesMeasures[[#This Row],[ID]],INDIRECT(_xlfn.CONCAT(INDIRECT("tblScalesMeasures_Selected[Table]"),"[","ID","]")),0))</f>
        <v>734</v>
      </c>
      <c r="D107" s="30">
        <f ca="1">INDEX(INDIRECT(_xlfn.CONCAT(INDIRECT("tblScalesMeasures_Selected[Table]"),"[","OutputId","]")),MATCH(tblProductScalesMeasures[[#This Row],[ID]],INDIRECT(_xlfn.CONCAT(INDIRECT("tblScalesMeasures_Selected[Table]"),"[","ID","]")),0))</f>
        <v>6</v>
      </c>
      <c r="E107" s="76" t="str">
        <f ca="1">INDEX(INDIRECT(_xlfn.CONCAT(INDIRECT("tblScalesMeasures_Selected[Table]"),"[","Alias","]")),MATCH(tblProductScalesMeasures[[#This Row],[ID]],INDIRECT(_xlfn.CONCAT(INDIRECT("tblScalesMeasures_Selected[Table]"),"[","ID","]")),0))</f>
        <v>SUP</v>
      </c>
      <c r="F107" s="76" t="str">
        <f ca="1">INDEX(INDIRECT(_xlfn.CONCAT(INDIRECT("tblScalesMeasures_Selected[Table]"),"[","Parameter","]")),MATCH(tblProductScalesMeasures[[#This Row],[ID]],INDIRECT(_xlfn.CONCAT(INDIRECT("tblScalesMeasures_Selected[Table]"),"[","ID","]")),0))</f>
        <v>Vout Full Load Pos</v>
      </c>
      <c r="G107" s="76" t="str">
        <f ca="1">INDEX(INDIRECT(_xlfn.CONCAT(INDIRECT("tblScalesMeasures_Selected[Table]"),"[","Unit","]")),MATCH(tblProductScalesMeasures[[#This Row],[ID]],INDIRECT(_xlfn.CONCAT(INDIRECT("tblScalesMeasures_Selected[Table]"),"[","ID","]")),0))</f>
        <v>V</v>
      </c>
      <c r="H107" s="77" t="str">
        <f ca="1">INDEX(INDIRECT(_xlfn.CONCAT(INDIRECT("tblScalesMeasures_Selected[Table]"),"[","Description","]")),MATCH(tblProductScalesMeasures[[#This Row],[ID]],INDIRECT(_xlfn.CONCAT(INDIRECT("tblScalesMeasures_Selected[Table]"),"[","ID","]")),0))</f>
        <v>SUP Vout Full Load Pos (V)</v>
      </c>
      <c r="I107" s="76">
        <f ca="1">INDEX(INDIRECT(_xlfn.CONCAT(INDIRECT("tblScalesMeasures_Selected[Table]"),"[","Min","]")),MATCH(tblProductScalesMeasures[[#This Row],[ID]],INDIRECT(_xlfn.CONCAT(INDIRECT("tblScalesMeasures_Selected[Table]"),"[","ID","]")),0))</f>
        <v>-20</v>
      </c>
      <c r="J107" s="76">
        <f ca="1">INDEX(INDIRECT(_xlfn.CONCAT(INDIRECT("tblScalesMeasures_Selected[Table]"),"[","Max","]")),MATCH(tblProductScalesMeasures[[#This Row],[ID]],INDIRECT(_xlfn.CONCAT(INDIRECT("tblScalesMeasures_Selected[Table]"),"[","ID","]")),0))</f>
        <v>20</v>
      </c>
      <c r="K107" s="76" t="str">
        <f ca="1">INDEX(INDIRECT(_xlfn.CONCAT(INDIRECT("tblScalesMeasures_Selected[Table]"),"[","Nominal","]")),MATCH(tblProductScalesMeasures[[#This Row],[ID]],INDIRECT(_xlfn.CONCAT(INDIRECT("tblScalesMeasures_Selected[Table]"),"[","ID","]")),0))</f>
        <v>-</v>
      </c>
      <c r="L107" s="76" t="str">
        <f ca="1">INDEX(INDIRECT(_xlfn.CONCAT(INDIRECT("tblScalesMeasures_Selected[Table]"),"[","Value","]")),MATCH(tblProductScalesMeasures[[#This Row],[ID]],INDIRECT(_xlfn.CONCAT(INDIRECT("tblScalesMeasures_Selected[Table]"),"[","ID","]")),0))</f>
        <v>N</v>
      </c>
      <c r="S107" s="339">
        <v>56</v>
      </c>
      <c r="T107" s="184">
        <v>734</v>
      </c>
      <c r="U107" s="339">
        <v>6</v>
      </c>
      <c r="V107" s="175" t="str">
        <f ca="1">INDEX(INDIRECT(_xlfn.CONCAT("tblOutputs_",tblScalesMeasures_734[[#This Row],[ProductId]],"[Alias]")),MATCH(tblScalesMeasures_734[[#This Row],[OutputId]],INDIRECT(_xlfn.CONCAT("tblOutputs_",tblScalesMeasures_734[[#This Row],[ProductId]],"[ID]")),0))</f>
        <v>SUP</v>
      </c>
      <c r="W107" s="175" t="s">
        <v>574</v>
      </c>
      <c r="X107" s="175" t="s">
        <v>71</v>
      </c>
      <c r="Y107" s="76" t="str">
        <f ca="1">_xlfn.CONCAT(tblScalesMeasures_734[[#This Row],[Alias]], " ", tblScalesMeasures_734[[#This Row],[Parameter]], " ","(",tblScalesMeasures_734[[#This Row],[Unit]],")")</f>
        <v>SUP Vout Full Load Pos (V)</v>
      </c>
      <c r="Z107" s="175">
        <v>-20</v>
      </c>
      <c r="AA107" s="175">
        <v>20</v>
      </c>
      <c r="AB107" s="175" t="s">
        <v>63</v>
      </c>
      <c r="AC107" s="175" t="s">
        <v>184</v>
      </c>
    </row>
    <row r="108" spans="2:29">
      <c r="B108" s="23">
        <v>57</v>
      </c>
      <c r="C108" s="23">
        <f ca="1">INDEX(INDIRECT(_xlfn.CONCAT(INDIRECT("tblScalesMeasures_Selected[Table]"),"[","ProductId","]")),MATCH(tblProductScalesMeasures[[#This Row],[ID]],INDIRECT(_xlfn.CONCAT(INDIRECT("tblScalesMeasures_Selected[Table]"),"[","ID","]")),0))</f>
        <v>734</v>
      </c>
      <c r="D108" s="30">
        <f ca="1">INDEX(INDIRECT(_xlfn.CONCAT(INDIRECT("tblScalesMeasures_Selected[Table]"),"[","OutputId","]")),MATCH(tblProductScalesMeasures[[#This Row],[ID]],INDIRECT(_xlfn.CONCAT(INDIRECT("tblScalesMeasures_Selected[Table]"),"[","ID","]")),0))</f>
        <v>6</v>
      </c>
      <c r="E108" s="76" t="str">
        <f ca="1">INDEX(INDIRECT(_xlfn.CONCAT(INDIRECT("tblScalesMeasures_Selected[Table]"),"[","Alias","]")),MATCH(tblProductScalesMeasures[[#This Row],[ID]],INDIRECT(_xlfn.CONCAT(INDIRECT("tblScalesMeasures_Selected[Table]"),"[","ID","]")),0))</f>
        <v>SUP</v>
      </c>
      <c r="F108" s="76" t="str">
        <f ca="1">INDEX(INDIRECT(_xlfn.CONCAT(INDIRECT("tblScalesMeasures_Selected[Table]"),"[","Parameter","]")),MATCH(tblProductScalesMeasures[[#This Row],[ID]],INDIRECT(_xlfn.CONCAT(INDIRECT("tblScalesMeasures_Selected[Table]"),"[","ID","]")),0))</f>
        <v>Current Limit Neg</v>
      </c>
      <c r="G108" s="76" t="str">
        <f ca="1">INDEX(INDIRECT(_xlfn.CONCAT(INDIRECT("tblScalesMeasures_Selected[Table]"),"[","Unit","]")),MATCH(tblProductScalesMeasures[[#This Row],[ID]],INDIRECT(_xlfn.CONCAT(INDIRECT("tblScalesMeasures_Selected[Table]"),"[","ID","]")),0))</f>
        <v>uA</v>
      </c>
      <c r="H108" s="77" t="str">
        <f ca="1">INDEX(INDIRECT(_xlfn.CONCAT(INDIRECT("tblScalesMeasures_Selected[Table]"),"[","Description","]")),MATCH(tblProductScalesMeasures[[#This Row],[ID]],INDIRECT(_xlfn.CONCAT(INDIRECT("tblScalesMeasures_Selected[Table]"),"[","ID","]")),0))</f>
        <v>SUP Current Limit Neg (uA)</v>
      </c>
      <c r="I108" s="76">
        <f ca="1">INDEX(INDIRECT(_xlfn.CONCAT(INDIRECT("tblScalesMeasures_Selected[Table]"),"[","Min","]")),MATCH(tblProductScalesMeasures[[#This Row],[ID]],INDIRECT(_xlfn.CONCAT(INDIRECT("tblScalesMeasures_Selected[Table]"),"[","ID","]")),0))</f>
        <v>70</v>
      </c>
      <c r="J108" s="76">
        <f ca="1">INDEX(INDIRECT(_xlfn.CONCAT(INDIRECT("tblScalesMeasures_Selected[Table]"),"[","Max","]")),MATCH(tblProductScalesMeasures[[#This Row],[ID]],INDIRECT(_xlfn.CONCAT(INDIRECT("tblScalesMeasures_Selected[Table]"),"[","ID","]")),0))</f>
        <v>80</v>
      </c>
      <c r="K108" s="76" t="str">
        <f ca="1">INDEX(INDIRECT(_xlfn.CONCAT(INDIRECT("tblScalesMeasures_Selected[Table]"),"[","Nominal","]")),MATCH(tblProductScalesMeasures[[#This Row],[ID]],INDIRECT(_xlfn.CONCAT(INDIRECT("tblScalesMeasures_Selected[Table]"),"[","ID","]")),0))</f>
        <v>-</v>
      </c>
      <c r="L108" s="76" t="str">
        <f ca="1">INDEX(INDIRECT(_xlfn.CONCAT(INDIRECT("tblScalesMeasures_Selected[Table]"),"[","Value","]")),MATCH(tblProductScalesMeasures[[#This Row],[ID]],INDIRECT(_xlfn.CONCAT(INDIRECT("tblScalesMeasures_Selected[Table]"),"[","ID","]")),0))</f>
        <v>N</v>
      </c>
      <c r="S108" s="339">
        <v>57</v>
      </c>
      <c r="T108" s="184">
        <v>734</v>
      </c>
      <c r="U108" s="339">
        <v>6</v>
      </c>
      <c r="V108" s="175" t="str">
        <f ca="1">INDEX(INDIRECT(_xlfn.CONCAT("tblOutputs_",tblScalesMeasures_734[[#This Row],[ProductId]],"[Alias]")),MATCH(tblScalesMeasures_734[[#This Row],[OutputId]],INDIRECT(_xlfn.CONCAT("tblOutputs_",tblScalesMeasures_734[[#This Row],[ProductId]],"[ID]")),0))</f>
        <v>SUP</v>
      </c>
      <c r="W108" s="380" t="s">
        <v>731</v>
      </c>
      <c r="X108" s="380" t="s">
        <v>124</v>
      </c>
      <c r="Y108" s="76" t="str">
        <f ca="1">_xlfn.CONCAT(tblScalesMeasures_734[[#This Row],[Alias]], " ", tblScalesMeasures_734[[#This Row],[Parameter]], " ","(",tblScalesMeasures_734[[#This Row],[Unit]],")")</f>
        <v>SUP Current Limit Neg (uA)</v>
      </c>
      <c r="Z108" s="175">
        <v>70</v>
      </c>
      <c r="AA108" s="175">
        <v>80</v>
      </c>
      <c r="AB108" s="175" t="s">
        <v>63</v>
      </c>
      <c r="AC108" s="175" t="s">
        <v>184</v>
      </c>
    </row>
    <row r="109" spans="2:29">
      <c r="B109" s="23">
        <v>58</v>
      </c>
      <c r="C109" s="23">
        <f ca="1">INDEX(INDIRECT(_xlfn.CONCAT(INDIRECT("tblScalesMeasures_Selected[Table]"),"[","ProductId","]")),MATCH(tblProductScalesMeasures[[#This Row],[ID]],INDIRECT(_xlfn.CONCAT(INDIRECT("tblScalesMeasures_Selected[Table]"),"[","ID","]")),0))</f>
        <v>734</v>
      </c>
      <c r="D109" s="30">
        <f ca="1">INDEX(INDIRECT(_xlfn.CONCAT(INDIRECT("tblScalesMeasures_Selected[Table]"),"[","OutputId","]")),MATCH(tblProductScalesMeasures[[#This Row],[ID]],INDIRECT(_xlfn.CONCAT(INDIRECT("tblScalesMeasures_Selected[Table]"),"[","ID","]")),0))</f>
        <v>6</v>
      </c>
      <c r="E109" s="76" t="str">
        <f ca="1">INDEX(INDIRECT(_xlfn.CONCAT(INDIRECT("tblScalesMeasures_Selected[Table]"),"[","Alias","]")),MATCH(tblProductScalesMeasures[[#This Row],[ID]],INDIRECT(_xlfn.CONCAT(INDIRECT("tblScalesMeasures_Selected[Table]"),"[","ID","]")),0))</f>
        <v>SUP</v>
      </c>
      <c r="F109" s="76" t="str">
        <f ca="1">INDEX(INDIRECT(_xlfn.CONCAT(INDIRECT("tblScalesMeasures_Selected[Table]"),"[","Parameter","]")),MATCH(tblProductScalesMeasures[[#This Row],[ID]],INDIRECT(_xlfn.CONCAT(INDIRECT("tblScalesMeasures_Selected[Table]"),"[","ID","]")),0))</f>
        <v>Load Regulation Neg</v>
      </c>
      <c r="G109" s="76" t="str">
        <f ca="1">INDEX(INDIRECT(_xlfn.CONCAT(INDIRECT("tblScalesMeasures_Selected[Table]"),"[","Unit","]")),MATCH(tblProductScalesMeasures[[#This Row],[ID]],INDIRECT(_xlfn.CONCAT(INDIRECT("tblScalesMeasures_Selected[Table]"),"[","ID","]")),0))</f>
        <v>V</v>
      </c>
      <c r="H109" s="77" t="str">
        <f ca="1">INDEX(INDIRECT(_xlfn.CONCAT(INDIRECT("tblScalesMeasures_Selected[Table]"),"[","Description","]")),MATCH(tblProductScalesMeasures[[#This Row],[ID]],INDIRECT(_xlfn.CONCAT(INDIRECT("tblScalesMeasures_Selected[Table]"),"[","ID","]")),0))</f>
        <v>SUP Load Regulation Neg (V)</v>
      </c>
      <c r="I109" s="76">
        <f ca="1">INDEX(INDIRECT(_xlfn.CONCAT(INDIRECT("tblScalesMeasures_Selected[Table]"),"[","Min","]")),MATCH(tblProductScalesMeasures[[#This Row],[ID]],INDIRECT(_xlfn.CONCAT(INDIRECT("tblScalesMeasures_Selected[Table]"),"[","ID","]")),0))</f>
        <v>-0.2</v>
      </c>
      <c r="J109" s="76">
        <f ca="1">INDEX(INDIRECT(_xlfn.CONCAT(INDIRECT("tblScalesMeasures_Selected[Table]"),"[","Max","]")),MATCH(tblProductScalesMeasures[[#This Row],[ID]],INDIRECT(_xlfn.CONCAT(INDIRECT("tblScalesMeasures_Selected[Table]"),"[","ID","]")),0))</f>
        <v>0.2</v>
      </c>
      <c r="K109" s="76" t="str">
        <f ca="1">INDEX(INDIRECT(_xlfn.CONCAT(INDIRECT("tblScalesMeasures_Selected[Table]"),"[","Nominal","]")),MATCH(tblProductScalesMeasures[[#This Row],[ID]],INDIRECT(_xlfn.CONCAT(INDIRECT("tblScalesMeasures_Selected[Table]"),"[","ID","]")),0))</f>
        <v>-</v>
      </c>
      <c r="L109" s="76" t="str">
        <f ca="1">INDEX(INDIRECT(_xlfn.CONCAT(INDIRECT("tblScalesMeasures_Selected[Table]"),"[","Value","]")),MATCH(tblProductScalesMeasures[[#This Row],[ID]],INDIRECT(_xlfn.CONCAT(INDIRECT("tblScalesMeasures_Selected[Table]"),"[","ID","]")),0))</f>
        <v>N</v>
      </c>
      <c r="S109" s="339">
        <v>58</v>
      </c>
      <c r="T109" s="184">
        <v>734</v>
      </c>
      <c r="U109" s="339">
        <v>6</v>
      </c>
      <c r="V109" s="175" t="str">
        <f ca="1">INDEX(INDIRECT(_xlfn.CONCAT("tblOutputs_",tblScalesMeasures_734[[#This Row],[ProductId]],"[Alias]")),MATCH(tblScalesMeasures_734[[#This Row],[OutputId]],INDIRECT(_xlfn.CONCAT("tblOutputs_",tblScalesMeasures_734[[#This Row],[ProductId]],"[ID]")),0))</f>
        <v>SUP</v>
      </c>
      <c r="W109" s="175" t="s">
        <v>577</v>
      </c>
      <c r="X109" s="175" t="s">
        <v>71</v>
      </c>
      <c r="Y109" s="76" t="str">
        <f ca="1">_xlfn.CONCAT(tblScalesMeasures_734[[#This Row],[Alias]], " ", tblScalesMeasures_734[[#This Row],[Parameter]], " ","(",tblScalesMeasures_734[[#This Row],[Unit]],")")</f>
        <v>SUP Load Regulation Neg (V)</v>
      </c>
      <c r="Z109" s="175">
        <v>-0.2</v>
      </c>
      <c r="AA109" s="175">
        <v>0.2</v>
      </c>
      <c r="AB109" s="175" t="s">
        <v>63</v>
      </c>
      <c r="AC109" s="175" t="s">
        <v>184</v>
      </c>
    </row>
    <row r="110" spans="2:29">
      <c r="B110" s="23">
        <v>59</v>
      </c>
      <c r="C110" s="23">
        <f ca="1">INDEX(INDIRECT(_xlfn.CONCAT(INDIRECT("tblScalesMeasures_Selected[Table]"),"[","ProductId","]")),MATCH(tblProductScalesMeasures[[#This Row],[ID]],INDIRECT(_xlfn.CONCAT(INDIRECT("tblScalesMeasures_Selected[Table]"),"[","ID","]")),0))</f>
        <v>734</v>
      </c>
      <c r="D110" s="30">
        <f ca="1">INDEX(INDIRECT(_xlfn.CONCAT(INDIRECT("tblScalesMeasures_Selected[Table]"),"[","OutputId","]")),MATCH(tblProductScalesMeasures[[#This Row],[ID]],INDIRECT(_xlfn.CONCAT(INDIRECT("tblScalesMeasures_Selected[Table]"),"[","ID","]")),0))</f>
        <v>6</v>
      </c>
      <c r="E110" s="76" t="str">
        <f ca="1">INDEX(INDIRECT(_xlfn.CONCAT(INDIRECT("tblScalesMeasures_Selected[Table]"),"[","Alias","]")),MATCH(tblProductScalesMeasures[[#This Row],[ID]],INDIRECT(_xlfn.CONCAT(INDIRECT("tblScalesMeasures_Selected[Table]"),"[","ID","]")),0))</f>
        <v>SUP</v>
      </c>
      <c r="F110" s="76" t="str">
        <f ca="1">INDEX(INDIRECT(_xlfn.CONCAT(INDIRECT("tblScalesMeasures_Selected[Table]"),"[","Parameter","]")),MATCH(tblProductScalesMeasures[[#This Row],[ID]],INDIRECT(_xlfn.CONCAT(INDIRECT("tblScalesMeasures_Selected[Table]"),"[","ID","]")),0))</f>
        <v>Voltage Monitor Error Neg</v>
      </c>
      <c r="G110" s="76" t="str">
        <f ca="1">INDEX(INDIRECT(_xlfn.CONCAT(INDIRECT("tblScalesMeasures_Selected[Table]"),"[","Unit","]")),MATCH(tblProductScalesMeasures[[#This Row],[ID]],INDIRECT(_xlfn.CONCAT(INDIRECT("tblScalesMeasures_Selected[Table]"),"[","ID","]")),0))</f>
        <v>%</v>
      </c>
      <c r="H110" s="77" t="str">
        <f ca="1">INDEX(INDIRECT(_xlfn.CONCAT(INDIRECT("tblScalesMeasures_Selected[Table]"),"[","Description","]")),MATCH(tblProductScalesMeasures[[#This Row],[ID]],INDIRECT(_xlfn.CONCAT(INDIRECT("tblScalesMeasures_Selected[Table]"),"[","ID","]")),0))</f>
        <v>SUP Voltage Monitor Error Neg (%)</v>
      </c>
      <c r="I110" s="76">
        <f ca="1">INDEX(INDIRECT(_xlfn.CONCAT(INDIRECT("tblScalesMeasures_Selected[Table]"),"[","Min","]")),MATCH(tblProductScalesMeasures[[#This Row],[ID]],INDIRECT(_xlfn.CONCAT(INDIRECT("tblScalesMeasures_Selected[Table]"),"[","ID","]")),0))</f>
        <v>-1</v>
      </c>
      <c r="J110" s="76">
        <f ca="1">INDEX(INDIRECT(_xlfn.CONCAT(INDIRECT("tblScalesMeasures_Selected[Table]"),"[","Max","]")),MATCH(tblProductScalesMeasures[[#This Row],[ID]],INDIRECT(_xlfn.CONCAT(INDIRECT("tblScalesMeasures_Selected[Table]"),"[","ID","]")),0))</f>
        <v>1</v>
      </c>
      <c r="K110" s="76" t="str">
        <f ca="1">INDEX(INDIRECT(_xlfn.CONCAT(INDIRECT("tblScalesMeasures_Selected[Table]"),"[","Nominal","]")),MATCH(tblProductScalesMeasures[[#This Row],[ID]],INDIRECT(_xlfn.CONCAT(INDIRECT("tblScalesMeasures_Selected[Table]"),"[","ID","]")),0))</f>
        <v>-</v>
      </c>
      <c r="L110" s="76" t="str">
        <f ca="1">INDEX(INDIRECT(_xlfn.CONCAT(INDIRECT("tblScalesMeasures_Selected[Table]"),"[","Value","]")),MATCH(tblProductScalesMeasures[[#This Row],[ID]],INDIRECT(_xlfn.CONCAT(INDIRECT("tblScalesMeasures_Selected[Table]"),"[","ID","]")),0))</f>
        <v>N</v>
      </c>
      <c r="S110" s="339">
        <v>59</v>
      </c>
      <c r="T110" s="184">
        <v>734</v>
      </c>
      <c r="U110" s="339">
        <v>6</v>
      </c>
      <c r="V110" s="175" t="str">
        <f ca="1">INDEX(INDIRECT(_xlfn.CONCAT("tblOutputs_",tblScalesMeasures_734[[#This Row],[ProductId]],"[Alias]")),MATCH(tblScalesMeasures_734[[#This Row],[OutputId]],INDIRECT(_xlfn.CONCAT("tblOutputs_",tblScalesMeasures_734[[#This Row],[ProductId]],"[ID]")),0))</f>
        <v>SUP</v>
      </c>
      <c r="W110" s="175" t="s">
        <v>578</v>
      </c>
      <c r="X110" s="175" t="s">
        <v>338</v>
      </c>
      <c r="Y110" s="76" t="str">
        <f ca="1">_xlfn.CONCAT(tblScalesMeasures_734[[#This Row],[Alias]], " ", tblScalesMeasures_734[[#This Row],[Parameter]], " ","(",tblScalesMeasures_734[[#This Row],[Unit]],")")</f>
        <v>SUP Voltage Monitor Error Neg (%)</v>
      </c>
      <c r="Z110" s="175">
        <v>-1</v>
      </c>
      <c r="AA110" s="175">
        <v>1</v>
      </c>
      <c r="AB110" s="43" t="s">
        <v>63</v>
      </c>
      <c r="AC110" s="175" t="s">
        <v>184</v>
      </c>
    </row>
    <row r="111" spans="2:29">
      <c r="B111" s="23">
        <v>60</v>
      </c>
      <c r="C111" s="23">
        <f ca="1">INDEX(INDIRECT(_xlfn.CONCAT(INDIRECT("tblScalesMeasures_Selected[Table]"),"[","ProductId","]")),MATCH(tblProductScalesMeasures[[#This Row],[ID]],INDIRECT(_xlfn.CONCAT(INDIRECT("tblScalesMeasures_Selected[Table]"),"[","ID","]")),0))</f>
        <v>734</v>
      </c>
      <c r="D111" s="30">
        <f ca="1">INDEX(INDIRECT(_xlfn.CONCAT(INDIRECT("tblScalesMeasures_Selected[Table]"),"[","OutputId","]")),MATCH(tblProductScalesMeasures[[#This Row],[ID]],INDIRECT(_xlfn.CONCAT(INDIRECT("tblScalesMeasures_Selected[Table]"),"[","ID","]")),0))</f>
        <v>6</v>
      </c>
      <c r="E111" s="76" t="str">
        <f ca="1">INDEX(INDIRECT(_xlfn.CONCAT(INDIRECT("tblScalesMeasures_Selected[Table]"),"[","Alias","]")),MATCH(tblProductScalesMeasures[[#This Row],[ID]],INDIRECT(_xlfn.CONCAT(INDIRECT("tblScalesMeasures_Selected[Table]"),"[","ID","]")),0))</f>
        <v>SUP</v>
      </c>
      <c r="F111" s="76" t="str">
        <f ca="1">INDEX(INDIRECT(_xlfn.CONCAT(INDIRECT("tblScalesMeasures_Selected[Table]"),"[","Parameter","]")),MATCH(tblProductScalesMeasures[[#This Row],[ID]],INDIRECT(_xlfn.CONCAT(INDIRECT("tblScalesMeasures_Selected[Table]"),"[","ID","]")),0))</f>
        <v>Vout Full Load Neg</v>
      </c>
      <c r="G111" s="76" t="str">
        <f ca="1">INDEX(INDIRECT(_xlfn.CONCAT(INDIRECT("tblScalesMeasures_Selected[Table]"),"[","Unit","]")),MATCH(tblProductScalesMeasures[[#This Row],[ID]],INDIRECT(_xlfn.CONCAT(INDIRECT("tblScalesMeasures_Selected[Table]"),"[","ID","]")),0))</f>
        <v>V</v>
      </c>
      <c r="H111" s="77" t="str">
        <f ca="1">INDEX(INDIRECT(_xlfn.CONCAT(INDIRECT("tblScalesMeasures_Selected[Table]"),"[","Description","]")),MATCH(tblProductScalesMeasures[[#This Row],[ID]],INDIRECT(_xlfn.CONCAT(INDIRECT("tblScalesMeasures_Selected[Table]"),"[","ID","]")),0))</f>
        <v>SUP Vout Full Load Neg (V)</v>
      </c>
      <c r="I111" s="76">
        <f ca="1">INDEX(INDIRECT(_xlfn.CONCAT(INDIRECT("tblScalesMeasures_Selected[Table]"),"[","Min","]")),MATCH(tblProductScalesMeasures[[#This Row],[ID]],INDIRECT(_xlfn.CONCAT(INDIRECT("tblScalesMeasures_Selected[Table]"),"[","ID","]")),0))</f>
        <v>-20</v>
      </c>
      <c r="J111" s="76">
        <f ca="1">INDEX(INDIRECT(_xlfn.CONCAT(INDIRECT("tblScalesMeasures_Selected[Table]"),"[","Max","]")),MATCH(tblProductScalesMeasures[[#This Row],[ID]],INDIRECT(_xlfn.CONCAT(INDIRECT("tblScalesMeasures_Selected[Table]"),"[","ID","]")),0))</f>
        <v>20</v>
      </c>
      <c r="K111" s="76" t="str">
        <f ca="1">INDEX(INDIRECT(_xlfn.CONCAT(INDIRECT("tblScalesMeasures_Selected[Table]"),"[","Nominal","]")),MATCH(tblProductScalesMeasures[[#This Row],[ID]],INDIRECT(_xlfn.CONCAT(INDIRECT("tblScalesMeasures_Selected[Table]"),"[","ID","]")),0))</f>
        <v>-</v>
      </c>
      <c r="L111" s="76" t="str">
        <f ca="1">INDEX(INDIRECT(_xlfn.CONCAT(INDIRECT("tblScalesMeasures_Selected[Table]"),"[","Value","]")),MATCH(tblProductScalesMeasures[[#This Row],[ID]],INDIRECT(_xlfn.CONCAT(INDIRECT("tblScalesMeasures_Selected[Table]"),"[","ID","]")),0))</f>
        <v>N</v>
      </c>
      <c r="S111" s="339">
        <v>60</v>
      </c>
      <c r="T111" s="184">
        <v>734</v>
      </c>
      <c r="U111" s="339">
        <v>6</v>
      </c>
      <c r="V111" s="175" t="str">
        <f ca="1">INDEX(INDIRECT(_xlfn.CONCAT("tblOutputs_",tblScalesMeasures_734[[#This Row],[ProductId]],"[Alias]")),MATCH(tblScalesMeasures_734[[#This Row],[OutputId]],INDIRECT(_xlfn.CONCAT("tblOutputs_",tblScalesMeasures_734[[#This Row],[ProductId]],"[ID]")),0))</f>
        <v>SUP</v>
      </c>
      <c r="W111" s="175" t="s">
        <v>579</v>
      </c>
      <c r="X111" s="175" t="s">
        <v>71</v>
      </c>
      <c r="Y111" s="76" t="str">
        <f ca="1">_xlfn.CONCAT(tblScalesMeasures_734[[#This Row],[Alias]], " ", tblScalesMeasures_734[[#This Row],[Parameter]], " ","(",tblScalesMeasures_734[[#This Row],[Unit]],")")</f>
        <v>SUP Vout Full Load Neg (V)</v>
      </c>
      <c r="Z111" s="175">
        <v>-20</v>
      </c>
      <c r="AA111" s="175">
        <v>20</v>
      </c>
      <c r="AB111" s="43" t="s">
        <v>63</v>
      </c>
      <c r="AC111" s="175" t="s">
        <v>184</v>
      </c>
    </row>
    <row r="112" spans="2:29" s="43" customFormat="1">
      <c r="B112" s="23">
        <v>61</v>
      </c>
      <c r="C112" s="23">
        <f ca="1">INDEX(INDIRECT(_xlfn.CONCAT(INDIRECT("tblScalesMeasures_Selected[Table]"),"[","ProductId","]")),MATCH(tblProductScalesMeasures[[#This Row],[ID]],INDIRECT(_xlfn.CONCAT(INDIRECT("tblScalesMeasures_Selected[Table]"),"[","ID","]")),0))</f>
        <v>734</v>
      </c>
      <c r="D112" s="30">
        <f ca="1">INDEX(INDIRECT(_xlfn.CONCAT(INDIRECT("tblScalesMeasures_Selected[Table]"),"[","OutputId","]")),MATCH(tblProductScalesMeasures[[#This Row],[ID]],INDIRECT(_xlfn.CONCAT(INDIRECT("tblScalesMeasures_Selected[Table]"),"[","ID","]")),0))</f>
        <v>6</v>
      </c>
      <c r="E112" s="76" t="str">
        <f ca="1">INDEX(INDIRECT(_xlfn.CONCAT(INDIRECT("tblScalesMeasures_Selected[Table]"),"[","Alias","]")),MATCH(tblProductScalesMeasures[[#This Row],[ID]],INDIRECT(_xlfn.CONCAT(INDIRECT("tblScalesMeasures_Selected[Table]"),"[","ID","]")),0))</f>
        <v>SUP</v>
      </c>
      <c r="F112" s="76" t="str">
        <f ca="1">INDEX(INDIRECT(_xlfn.CONCAT(INDIRECT("tblScalesMeasures_Selected[Table]"),"[","Parameter","]")),MATCH(tblProductScalesMeasures[[#This Row],[ID]],INDIRECT(_xlfn.CONCAT(INDIRECT("tblScalesMeasures_Selected[Table]"),"[","ID","]")),0))</f>
        <v>Ripple</v>
      </c>
      <c r="G112" s="76" t="str">
        <f ca="1">INDEX(INDIRECT(_xlfn.CONCAT(INDIRECT("tblScalesMeasures_Selected[Table]"),"[","Unit","]")),MATCH(tblProductScalesMeasures[[#This Row],[ID]],INDIRECT(_xlfn.CONCAT(INDIRECT("tblScalesMeasures_Selected[Table]"),"[","ID","]")),0))</f>
        <v>mV pk-pk</v>
      </c>
      <c r="H112" s="77" t="str">
        <f ca="1">INDEX(INDIRECT(_xlfn.CONCAT(INDIRECT("tblScalesMeasures_Selected[Table]"),"[","Description","]")),MATCH(tblProductScalesMeasures[[#This Row],[ID]],INDIRECT(_xlfn.CONCAT(INDIRECT("tblScalesMeasures_Selected[Table]"),"[","ID","]")),0))</f>
        <v>SUP Ripple (mV pk-pk)</v>
      </c>
      <c r="I112" s="76">
        <f ca="1">INDEX(INDIRECT(_xlfn.CONCAT(INDIRECT("tblScalesMeasures_Selected[Table]"),"[","Min","]")),MATCH(tblProductScalesMeasures[[#This Row],[ID]],INDIRECT(_xlfn.CONCAT(INDIRECT("tblScalesMeasures_Selected[Table]"),"[","ID","]")),0))</f>
        <v>3</v>
      </c>
      <c r="J112" s="76">
        <f ca="1">INDEX(INDIRECT(_xlfn.CONCAT(INDIRECT("tblScalesMeasures_Selected[Table]"),"[","Max","]")),MATCH(tblProductScalesMeasures[[#This Row],[ID]],INDIRECT(_xlfn.CONCAT(INDIRECT("tblScalesMeasures_Selected[Table]"),"[","ID","]")),0))</f>
        <v>150</v>
      </c>
      <c r="K112" s="76" t="str">
        <f ca="1">INDEX(INDIRECT(_xlfn.CONCAT(INDIRECT("tblScalesMeasures_Selected[Table]"),"[","Nominal","]")),MATCH(tblProductScalesMeasures[[#This Row],[ID]],INDIRECT(_xlfn.CONCAT(INDIRECT("tblScalesMeasures_Selected[Table]"),"[","ID","]")),0))</f>
        <v>-</v>
      </c>
      <c r="L112" s="76" t="str">
        <f ca="1">INDEX(INDIRECT(_xlfn.CONCAT(INDIRECT("tblScalesMeasures_Selected[Table]"),"[","Value","]")),MATCH(tblProductScalesMeasures[[#This Row],[ID]],INDIRECT(_xlfn.CONCAT(INDIRECT("tblScalesMeasures_Selected[Table]"),"[","ID","]")),0))</f>
        <v>N</v>
      </c>
      <c r="S112" s="339">
        <v>61</v>
      </c>
      <c r="T112" s="184">
        <v>734</v>
      </c>
      <c r="U112" s="339">
        <v>6</v>
      </c>
      <c r="V112" s="175" t="str">
        <f ca="1">INDEX(INDIRECT(_xlfn.CONCAT("tblOutputs_",tblScalesMeasures_734[[#This Row],[ProductId]],"[Alias]")),MATCH(tblScalesMeasures_734[[#This Row],[OutputId]],INDIRECT(_xlfn.CONCAT("tblOutputs_",tblScalesMeasures_734[[#This Row],[ProductId]],"[ID]")),0))</f>
        <v>SUP</v>
      </c>
      <c r="W112" s="43" t="s">
        <v>125</v>
      </c>
      <c r="X112" s="175" t="s">
        <v>267</v>
      </c>
      <c r="Y112" s="76" t="str">
        <f ca="1">_xlfn.CONCAT(tblScalesMeasures_734[[#This Row],[Alias]], " ", tblScalesMeasures_734[[#This Row],[Parameter]], " ","(",tblScalesMeasures_734[[#This Row],[Unit]],")")</f>
        <v>SUP Ripple (mV pk-pk)</v>
      </c>
      <c r="Z112" s="43">
        <v>3</v>
      </c>
      <c r="AA112" s="43">
        <v>150</v>
      </c>
      <c r="AB112" s="43" t="s">
        <v>63</v>
      </c>
      <c r="AC112" s="175" t="s">
        <v>184</v>
      </c>
    </row>
    <row r="113" spans="2:29" s="43" customFormat="1">
      <c r="B113" s="23">
        <v>62</v>
      </c>
      <c r="C113" s="23">
        <f ca="1">INDEX(INDIRECT(_xlfn.CONCAT(INDIRECT("tblScalesMeasures_Selected[Table]"),"[","ProductId","]")),MATCH(tblProductScalesMeasures[[#This Row],[ID]],INDIRECT(_xlfn.CONCAT(INDIRECT("tblScalesMeasures_Selected[Table]"),"[","ID","]")),0))</f>
        <v>734</v>
      </c>
      <c r="D113" s="30">
        <f ca="1">INDEX(INDIRECT(_xlfn.CONCAT(INDIRECT("tblScalesMeasures_Selected[Table]"),"[","OutputId","]")),MATCH(tblProductScalesMeasures[[#This Row],[ID]],INDIRECT(_xlfn.CONCAT(INDIRECT("tblScalesMeasures_Selected[Table]"),"[","ID","]")),0))</f>
        <v>7</v>
      </c>
      <c r="E113" s="76" t="str">
        <f ca="1">INDEX(INDIRECT(_xlfn.CONCAT(INDIRECT("tblScalesMeasures_Selected[Table]"),"[","Alias","]")),MATCH(tblProductScalesMeasures[[#This Row],[ID]],INDIRECT(_xlfn.CONCAT(INDIRECT("tblScalesMeasures_Selected[Table]"),"[","ID","]")),0))</f>
        <v>FIL</v>
      </c>
      <c r="F113" s="76" t="str">
        <f ca="1">INDEX(INDIRECT(_xlfn.CONCAT(INDIRECT("tblScalesMeasures_Selected[Table]"),"[","Parameter","]")),MATCH(tblProductScalesMeasures[[#This Row],[ID]],INDIRECT(_xlfn.CONCAT(INDIRECT("tblScalesMeasures_Selected[Table]"),"[","ID","]")),0))</f>
        <v>Imon</v>
      </c>
      <c r="G113" s="76" t="str">
        <f ca="1">INDEX(INDIRECT(_xlfn.CONCAT(INDIRECT("tblScalesMeasures_Selected[Table]"),"[","Unit","]")),MATCH(tblProductScalesMeasures[[#This Row],[ID]],INDIRECT(_xlfn.CONCAT(INDIRECT("tblScalesMeasures_Selected[Table]"),"[","ID","]")),0))</f>
        <v>A</v>
      </c>
      <c r="H113" s="77" t="str">
        <f ca="1">INDEX(INDIRECT(_xlfn.CONCAT(INDIRECT("tblScalesMeasures_Selected[Table]"),"[","Description","]")),MATCH(tblProductScalesMeasures[[#This Row],[ID]],INDIRECT(_xlfn.CONCAT(INDIRECT("tblScalesMeasures_Selected[Table]"),"[","ID","]")),0))</f>
        <v>FIL Imon (A)</v>
      </c>
      <c r="I113" s="76">
        <f ca="1">INDEX(INDIRECT(_xlfn.CONCAT(INDIRECT("tblScalesMeasures_Selected[Table]"),"[","Min","]")),MATCH(tblProductScalesMeasures[[#This Row],[ID]],INDIRECT(_xlfn.CONCAT(INDIRECT("tblScalesMeasures_Selected[Table]"),"[","ID","]")),0))</f>
        <v>-0.16</v>
      </c>
      <c r="J113" s="76">
        <f ca="1">INDEX(INDIRECT(_xlfn.CONCAT(INDIRECT("tblScalesMeasures_Selected[Table]"),"[","Max","]")),MATCH(tblProductScalesMeasures[[#This Row],[ID]],INDIRECT(_xlfn.CONCAT(INDIRECT("tblScalesMeasures_Selected[Table]"),"[","ID","]")),0))</f>
        <v>0.16</v>
      </c>
      <c r="K113" s="76" t="str">
        <f ca="1">INDEX(INDIRECT(_xlfn.CONCAT(INDIRECT("tblScalesMeasures_Selected[Table]"),"[","Nominal","]")),MATCH(tblProductScalesMeasures[[#This Row],[ID]],INDIRECT(_xlfn.CONCAT(INDIRECT("tblScalesMeasures_Selected[Table]"),"[","ID","]")),0))</f>
        <v>-</v>
      </c>
      <c r="L113" s="76" t="str">
        <f ca="1">INDEX(INDIRECT(_xlfn.CONCAT(INDIRECT("tblScalesMeasures_Selected[Table]"),"[","Value","]")),MATCH(tblProductScalesMeasures[[#This Row],[ID]],INDIRECT(_xlfn.CONCAT(INDIRECT("tblScalesMeasures_Selected[Table]"),"[","ID","]")),0))</f>
        <v>N</v>
      </c>
      <c r="S113" s="339">
        <v>62</v>
      </c>
      <c r="T113" s="184">
        <v>734</v>
      </c>
      <c r="U113" s="339">
        <v>7</v>
      </c>
      <c r="V113" s="175" t="str">
        <f ca="1">INDEX(INDIRECT(_xlfn.CONCAT("tblOutputs_",tblScalesMeasures_734[[#This Row],[ProductId]],"[Alias]")),MATCH(tblScalesMeasures_734[[#This Row],[OutputId]],INDIRECT(_xlfn.CONCAT("tblOutputs_",tblScalesMeasures_734[[#This Row],[ProductId]],"[ID]")),0))</f>
        <v>FIL</v>
      </c>
      <c r="W113" s="175" t="s">
        <v>66</v>
      </c>
      <c r="X113" s="175" t="s">
        <v>15</v>
      </c>
      <c r="Y113" s="76" t="str">
        <f ca="1">_xlfn.CONCAT(tblScalesMeasures_734[[#This Row],[Alias]], " ", tblScalesMeasures_734[[#This Row],[Parameter]], " ","(",tblScalesMeasures_734[[#This Row],[Unit]],")")</f>
        <v>FIL Imon (A)</v>
      </c>
      <c r="Z113" s="175">
        <v>-0.16</v>
      </c>
      <c r="AA113" s="175">
        <v>0.16</v>
      </c>
      <c r="AB113" s="175" t="s">
        <v>63</v>
      </c>
      <c r="AC113" s="175" t="s">
        <v>184</v>
      </c>
    </row>
    <row r="114" spans="2:29" s="43" customFormat="1">
      <c r="B114" s="23">
        <v>63</v>
      </c>
      <c r="C114" s="23">
        <f ca="1">INDEX(INDIRECT(_xlfn.CONCAT(INDIRECT("tblScalesMeasures_Selected[Table]"),"[","ProductId","]")),MATCH(tblProductScalesMeasures[[#This Row],[ID]],INDIRECT(_xlfn.CONCAT(INDIRECT("tblScalesMeasures_Selected[Table]"),"[","ID","]")),0))</f>
        <v>734</v>
      </c>
      <c r="D114" s="30">
        <f ca="1">INDEX(INDIRECT(_xlfn.CONCAT(INDIRECT("tblScalesMeasures_Selected[Table]"),"[","OutputId","]")),MATCH(tblProductScalesMeasures[[#This Row],[ID]],INDIRECT(_xlfn.CONCAT(INDIRECT("tblScalesMeasures_Selected[Table]"),"[","ID","]")),0))</f>
        <v>7</v>
      </c>
      <c r="E114" s="76" t="str">
        <f ca="1">INDEX(INDIRECT(_xlfn.CONCAT(INDIRECT("tblScalesMeasures_Selected[Table]"),"[","Alias","]")),MATCH(tblProductScalesMeasures[[#This Row],[ID]],INDIRECT(_xlfn.CONCAT(INDIRECT("tblScalesMeasures_Selected[Table]"),"[","ID","]")),0))</f>
        <v>FIL</v>
      </c>
      <c r="F114" s="76" t="str">
        <f ca="1">INDEX(INDIRECT(_xlfn.CONCAT(INDIRECT("tblScalesMeasures_Selected[Table]"),"[","Parameter","]")),MATCH(tblProductScalesMeasures[[#This Row],[ID]],INDIRECT(_xlfn.CONCAT(INDIRECT("tblScalesMeasures_Selected[Table]"),"[","ID","]")),0))</f>
        <v>Shunt Iout</v>
      </c>
      <c r="G114" s="76" t="str">
        <f ca="1">INDEX(INDIRECT(_xlfn.CONCAT(INDIRECT("tblScalesMeasures_Selected[Table]"),"[","Unit","]")),MATCH(tblProductScalesMeasures[[#This Row],[ID]],INDIRECT(_xlfn.CONCAT(INDIRECT("tblScalesMeasures_Selected[Table]"),"[","ID","]")),0))</f>
        <v>A</v>
      </c>
      <c r="H114" s="77" t="str">
        <f ca="1">INDEX(INDIRECT(_xlfn.CONCAT(INDIRECT("tblScalesMeasures_Selected[Table]"),"[","Description","]")),MATCH(tblProductScalesMeasures[[#This Row],[ID]],INDIRECT(_xlfn.CONCAT(INDIRECT("tblScalesMeasures_Selected[Table]"),"[","ID","]")),0))</f>
        <v>FIL Shunt Iout (A)</v>
      </c>
      <c r="I114" s="76">
        <f ca="1">INDEX(INDIRECT(_xlfn.CONCAT(INDIRECT("tblScalesMeasures_Selected[Table]"),"[","Min","]")),MATCH(tblProductScalesMeasures[[#This Row],[ID]],INDIRECT(_xlfn.CONCAT(INDIRECT("tblScalesMeasures_Selected[Table]"),"[","ID","]")),0))</f>
        <v>-5.0000000000000001E-3</v>
      </c>
      <c r="J114" s="76">
        <f ca="1">INDEX(INDIRECT(_xlfn.CONCAT(INDIRECT("tblScalesMeasures_Selected[Table]"),"[","Max","]")),MATCH(tblProductScalesMeasures[[#This Row],[ID]],INDIRECT(_xlfn.CONCAT(INDIRECT("tblScalesMeasures_Selected[Table]"),"[","ID","]")),0))</f>
        <v>5.0000000000000001E-3</v>
      </c>
      <c r="K114" s="76" t="str">
        <f ca="1">INDEX(INDIRECT(_xlfn.CONCAT(INDIRECT("tblScalesMeasures_Selected[Table]"),"[","Nominal","]")),MATCH(tblProductScalesMeasures[[#This Row],[ID]],INDIRECT(_xlfn.CONCAT(INDIRECT("tblScalesMeasures_Selected[Table]"),"[","ID","]")),0))</f>
        <v>-</v>
      </c>
      <c r="L114" s="76" t="str">
        <f ca="1">INDEX(INDIRECT(_xlfn.CONCAT(INDIRECT("tblScalesMeasures_Selected[Table]"),"[","Value","]")),MATCH(tblProductScalesMeasures[[#This Row],[ID]],INDIRECT(_xlfn.CONCAT(INDIRECT("tblScalesMeasures_Selected[Table]"),"[","ID","]")),0))</f>
        <v>N</v>
      </c>
      <c r="S114" s="339">
        <v>63</v>
      </c>
      <c r="T114" s="184">
        <v>734</v>
      </c>
      <c r="U114" s="339">
        <v>7</v>
      </c>
      <c r="V114" s="175" t="str">
        <f ca="1">INDEX(INDIRECT(_xlfn.CONCAT("tblOutputs_",tblScalesMeasures_734[[#This Row],[ProductId]],"[Alias]")),MATCH(tblScalesMeasures_734[[#This Row],[OutputId]],INDIRECT(_xlfn.CONCAT("tblOutputs_",tblScalesMeasures_734[[#This Row],[ProductId]],"[ID]")),0))</f>
        <v>FIL</v>
      </c>
      <c r="W114" s="175" t="s">
        <v>582</v>
      </c>
      <c r="X114" s="175" t="s">
        <v>15</v>
      </c>
      <c r="Y114" s="76" t="str">
        <f ca="1">_xlfn.CONCAT(tblScalesMeasures_734[[#This Row],[Alias]], " ", tblScalesMeasures_734[[#This Row],[Parameter]], " ","(",tblScalesMeasures_734[[#This Row],[Unit]],")")</f>
        <v>FIL Shunt Iout (A)</v>
      </c>
      <c r="Z114" s="175">
        <v>-5.0000000000000001E-3</v>
      </c>
      <c r="AA114" s="175">
        <v>5.0000000000000001E-3</v>
      </c>
      <c r="AB114" s="175" t="s">
        <v>63</v>
      </c>
      <c r="AC114" s="175" t="s">
        <v>184</v>
      </c>
    </row>
    <row r="115" spans="2:29" s="43" customFormat="1">
      <c r="B115" s="23">
        <v>64</v>
      </c>
      <c r="C115" s="23">
        <f ca="1">INDEX(INDIRECT(_xlfn.CONCAT(INDIRECT("tblScalesMeasures_Selected[Table]"),"[","ProductId","]")),MATCH(tblProductScalesMeasures[[#This Row],[ID]],INDIRECT(_xlfn.CONCAT(INDIRECT("tblScalesMeasures_Selected[Table]"),"[","ID","]")),0))</f>
        <v>734</v>
      </c>
      <c r="D115" s="30">
        <f ca="1">INDEX(INDIRECT(_xlfn.CONCAT(INDIRECT("tblScalesMeasures_Selected[Table]"),"[","OutputId","]")),MATCH(tblProductScalesMeasures[[#This Row],[ID]],INDIRECT(_xlfn.CONCAT(INDIRECT("tblScalesMeasures_Selected[Table]"),"[","ID","]")),0))</f>
        <v>7</v>
      </c>
      <c r="E115" s="76" t="str">
        <f ca="1">INDEX(INDIRECT(_xlfn.CONCAT(INDIRECT("tblScalesMeasures_Selected[Table]"),"[","Alias","]")),MATCH(tblProductScalesMeasures[[#This Row],[ID]],INDIRECT(_xlfn.CONCAT(INDIRECT("tblScalesMeasures_Selected[Table]"),"[","ID","]")),0))</f>
        <v>FIL</v>
      </c>
      <c r="F115" s="76" t="str">
        <f ca="1">INDEX(INDIRECT(_xlfn.CONCAT(INDIRECT("tblScalesMeasures_Selected[Table]"),"[","Parameter","]")),MATCH(tblProductScalesMeasures[[#This Row],[ID]],INDIRECT(_xlfn.CONCAT(INDIRECT("tblScalesMeasures_Selected[Table]"),"[","ID","]")),0))</f>
        <v>Current Monitor Error mA</v>
      </c>
      <c r="G115" s="76" t="str">
        <f ca="1">INDEX(INDIRECT(_xlfn.CONCAT(INDIRECT("tblScalesMeasures_Selected[Table]"),"[","Unit","]")),MATCH(tblProductScalesMeasures[[#This Row],[ID]],INDIRECT(_xlfn.CONCAT(INDIRECT("tblScalesMeasures_Selected[Table]"),"[","ID","]")),0))</f>
        <v>%</v>
      </c>
      <c r="H115" s="77" t="str">
        <f ca="1">INDEX(INDIRECT(_xlfn.CONCAT(INDIRECT("tblScalesMeasures_Selected[Table]"),"[","Description","]")),MATCH(tblProductScalesMeasures[[#This Row],[ID]],INDIRECT(_xlfn.CONCAT(INDIRECT("tblScalesMeasures_Selected[Table]"),"[","ID","]")),0))</f>
        <v>FIL Current Monitor Error mA (%)</v>
      </c>
      <c r="I115" s="76">
        <f ca="1">INDEX(INDIRECT(_xlfn.CONCAT(INDIRECT("tblScalesMeasures_Selected[Table]"),"[","Min","]")),MATCH(tblProductScalesMeasures[[#This Row],[ID]],INDIRECT(_xlfn.CONCAT(INDIRECT("tblScalesMeasures_Selected[Table]"),"[","ID","]")),0))</f>
        <v>-4</v>
      </c>
      <c r="J115" s="76">
        <f ca="1">INDEX(INDIRECT(_xlfn.CONCAT(INDIRECT("tblScalesMeasures_Selected[Table]"),"[","Max","]")),MATCH(tblProductScalesMeasures[[#This Row],[ID]],INDIRECT(_xlfn.CONCAT(INDIRECT("tblScalesMeasures_Selected[Table]"),"[","ID","]")),0))</f>
        <v>4</v>
      </c>
      <c r="K115" s="76" t="str">
        <f ca="1">INDEX(INDIRECT(_xlfn.CONCAT(INDIRECT("tblScalesMeasures_Selected[Table]"),"[","Nominal","]")),MATCH(tblProductScalesMeasures[[#This Row],[ID]],INDIRECT(_xlfn.CONCAT(INDIRECT("tblScalesMeasures_Selected[Table]"),"[","ID","]")),0))</f>
        <v>-</v>
      </c>
      <c r="L115" s="76" t="str">
        <f ca="1">INDEX(INDIRECT(_xlfn.CONCAT(INDIRECT("tblScalesMeasures_Selected[Table]"),"[","Value","]")),MATCH(tblProductScalesMeasures[[#This Row],[ID]],INDIRECT(_xlfn.CONCAT(INDIRECT("tblScalesMeasures_Selected[Table]"),"[","ID","]")),0))</f>
        <v>N</v>
      </c>
      <c r="S115" s="339">
        <v>64</v>
      </c>
      <c r="T115" s="184">
        <v>734</v>
      </c>
      <c r="U115" s="339">
        <v>7</v>
      </c>
      <c r="V115" s="175" t="str">
        <f ca="1">INDEX(INDIRECT(_xlfn.CONCAT("tblOutputs_",tblScalesMeasures_734[[#This Row],[ProductId]],"[Alias]")),MATCH(tblScalesMeasures_734[[#This Row],[OutputId]],INDIRECT(_xlfn.CONCAT("tblOutputs_",tblScalesMeasures_734[[#This Row],[ProductId]],"[ID]")),0))</f>
        <v>FIL</v>
      </c>
      <c r="W115" s="175" t="s">
        <v>737</v>
      </c>
      <c r="X115" s="175" t="s">
        <v>338</v>
      </c>
      <c r="Y115" s="76" t="str">
        <f ca="1">_xlfn.CONCAT(tblScalesMeasures_734[[#This Row],[Alias]], " ", tblScalesMeasures_734[[#This Row],[Parameter]], " ","(",tblScalesMeasures_734[[#This Row],[Unit]],")")</f>
        <v>FIL Current Monitor Error mA (%)</v>
      </c>
      <c r="Z115" s="175">
        <v>-4</v>
      </c>
      <c r="AA115" s="175">
        <v>4</v>
      </c>
      <c r="AB115" s="175" t="s">
        <v>63</v>
      </c>
      <c r="AC115" s="175" t="s">
        <v>184</v>
      </c>
    </row>
    <row r="116" spans="2:29" s="43" customFormat="1">
      <c r="B116" s="23">
        <v>65</v>
      </c>
      <c r="C116" s="23">
        <f ca="1">INDEX(INDIRECT(_xlfn.CONCAT(INDIRECT("tblScalesMeasures_Selected[Table]"),"[","ProductId","]")),MATCH(tblProductScalesMeasures[[#This Row],[ID]],INDIRECT(_xlfn.CONCAT(INDIRECT("tblScalesMeasures_Selected[Table]"),"[","ID","]")),0))</f>
        <v>734</v>
      </c>
      <c r="D116" s="30">
        <f ca="1">INDEX(INDIRECT(_xlfn.CONCAT(INDIRECT("tblScalesMeasures_Selected[Table]"),"[","OutputId","]")),MATCH(tblProductScalesMeasures[[#This Row],[ID]],INDIRECT(_xlfn.CONCAT(INDIRECT("tblScalesMeasures_Selected[Table]"),"[","ID","]")),0))</f>
        <v>7</v>
      </c>
      <c r="E116" s="76" t="str">
        <f ca="1">INDEX(INDIRECT(_xlfn.CONCAT(INDIRECT("tblScalesMeasures_Selected[Table]"),"[","Alias","]")),MATCH(tblProductScalesMeasures[[#This Row],[ID]],INDIRECT(_xlfn.CONCAT(INDIRECT("tblScalesMeasures_Selected[Table]"),"[","ID","]")),0))</f>
        <v>FIL</v>
      </c>
      <c r="F116" s="76" t="str">
        <f ca="1">INDEX(INDIRECT(_xlfn.CONCAT(INDIRECT("tblScalesMeasures_Selected[Table]"),"[","Parameter","]")),MATCH(tblProductScalesMeasures[[#This Row],[ID]],INDIRECT(_xlfn.CONCAT(INDIRECT("tblScalesMeasures_Selected[Table]"),"[","ID","]")),0))</f>
        <v>Voltage Monitor Error V</v>
      </c>
      <c r="G116" s="76" t="str">
        <f ca="1">INDEX(INDIRECT(_xlfn.CONCAT(INDIRECT("tblScalesMeasures_Selected[Table]"),"[","Unit","]")),MATCH(tblProductScalesMeasures[[#This Row],[ID]],INDIRECT(_xlfn.CONCAT(INDIRECT("tblScalesMeasures_Selected[Table]"),"[","ID","]")),0))</f>
        <v>%</v>
      </c>
      <c r="H116" s="77" t="str">
        <f ca="1">INDEX(INDIRECT(_xlfn.CONCAT(INDIRECT("tblScalesMeasures_Selected[Table]"),"[","Description","]")),MATCH(tblProductScalesMeasures[[#This Row],[ID]],INDIRECT(_xlfn.CONCAT(INDIRECT("tblScalesMeasures_Selected[Table]"),"[","ID","]")),0))</f>
        <v>FIL Voltage Monitor Error V (%)</v>
      </c>
      <c r="I116" s="76">
        <f ca="1">INDEX(INDIRECT(_xlfn.CONCAT(INDIRECT("tblScalesMeasures_Selected[Table]"),"[","Min","]")),MATCH(tblProductScalesMeasures[[#This Row],[ID]],INDIRECT(_xlfn.CONCAT(INDIRECT("tblScalesMeasures_Selected[Table]"),"[","ID","]")),0))</f>
        <v>-4</v>
      </c>
      <c r="J116" s="76">
        <f ca="1">INDEX(INDIRECT(_xlfn.CONCAT(INDIRECT("tblScalesMeasures_Selected[Table]"),"[","Max","]")),MATCH(tblProductScalesMeasures[[#This Row],[ID]],INDIRECT(_xlfn.CONCAT(INDIRECT("tblScalesMeasures_Selected[Table]"),"[","ID","]")),0))</f>
        <v>4</v>
      </c>
      <c r="K116" s="76" t="str">
        <f ca="1">INDEX(INDIRECT(_xlfn.CONCAT(INDIRECT("tblScalesMeasures_Selected[Table]"),"[","Nominal","]")),MATCH(tblProductScalesMeasures[[#This Row],[ID]],INDIRECT(_xlfn.CONCAT(INDIRECT("tblScalesMeasures_Selected[Table]"),"[","ID","]")),0))</f>
        <v>-</v>
      </c>
      <c r="L116" s="76" t="str">
        <f ca="1">INDEX(INDIRECT(_xlfn.CONCAT(INDIRECT("tblScalesMeasures_Selected[Table]"),"[","Value","]")),MATCH(tblProductScalesMeasures[[#This Row],[ID]],INDIRECT(_xlfn.CONCAT(INDIRECT("tblScalesMeasures_Selected[Table]"),"[","ID","]")),0))</f>
        <v>N</v>
      </c>
      <c r="S116" s="339">
        <v>65</v>
      </c>
      <c r="T116" s="184">
        <v>734</v>
      </c>
      <c r="U116" s="339">
        <v>7</v>
      </c>
      <c r="V116" s="175" t="str">
        <f ca="1">INDEX(INDIRECT(_xlfn.CONCAT("tblOutputs_",tblScalesMeasures_734[[#This Row],[ProductId]],"[Alias]")),MATCH(tblScalesMeasures_734[[#This Row],[OutputId]],INDIRECT(_xlfn.CONCAT("tblOutputs_",tblScalesMeasures_734[[#This Row],[ProductId]],"[ID]")),0))</f>
        <v>FIL</v>
      </c>
      <c r="W116" s="175" t="s">
        <v>738</v>
      </c>
      <c r="X116" s="175" t="s">
        <v>338</v>
      </c>
      <c r="Y116" s="76" t="str">
        <f ca="1">_xlfn.CONCAT(tblScalesMeasures_734[[#This Row],[Alias]], " ", tblScalesMeasures_734[[#This Row],[Parameter]], " ","(",tblScalesMeasures_734[[#This Row],[Unit]],")")</f>
        <v>FIL Voltage Monitor Error V (%)</v>
      </c>
      <c r="Z116" s="175">
        <v>-4</v>
      </c>
      <c r="AA116" s="175">
        <v>4</v>
      </c>
      <c r="AB116" s="175" t="s">
        <v>63</v>
      </c>
      <c r="AC116" s="175" t="s">
        <v>184</v>
      </c>
    </row>
    <row r="117" spans="2:29" s="43" customFormat="1">
      <c r="B117" s="23">
        <v>66</v>
      </c>
      <c r="C117" s="23">
        <f ca="1">INDEX(INDIRECT(_xlfn.CONCAT(INDIRECT("tblScalesMeasures_Selected[Table]"),"[","ProductId","]")),MATCH(tblProductScalesMeasures[[#This Row],[ID]],INDIRECT(_xlfn.CONCAT(INDIRECT("tblScalesMeasures_Selected[Table]"),"[","ID","]")),0))</f>
        <v>734</v>
      </c>
      <c r="D117" s="30">
        <f ca="1">INDEX(INDIRECT(_xlfn.CONCAT(INDIRECT("tblScalesMeasures_Selected[Table]"),"[","OutputId","]")),MATCH(tblProductScalesMeasures[[#This Row],[ID]],INDIRECT(_xlfn.CONCAT(INDIRECT("tblScalesMeasures_Selected[Table]"),"[","ID","]")),0))</f>
        <v>7</v>
      </c>
      <c r="E117" s="76" t="str">
        <f ca="1">INDEX(INDIRECT(_xlfn.CONCAT(INDIRECT("tblScalesMeasures_Selected[Table]"),"[","Alias","]")),MATCH(tblProductScalesMeasures[[#This Row],[ID]],INDIRECT(_xlfn.CONCAT(INDIRECT("tblScalesMeasures_Selected[Table]"),"[","ID","]")),0))</f>
        <v>FIL</v>
      </c>
      <c r="F117" s="76" t="str">
        <f ca="1">INDEX(INDIRECT(_xlfn.CONCAT(INDIRECT("tblScalesMeasures_Selected[Table]"),"[","Parameter","]")),MATCH(tblProductScalesMeasures[[#This Row],[ID]],INDIRECT(_xlfn.CONCAT(INDIRECT("tblScalesMeasures_Selected[Table]"),"[","ID","]")),0))</f>
        <v>Imon On Load</v>
      </c>
      <c r="G117" s="76" t="str">
        <f ca="1">INDEX(INDIRECT(_xlfn.CONCAT(INDIRECT("tblScalesMeasures_Selected[Table]"),"[","Unit","]")),MATCH(tblProductScalesMeasures[[#This Row],[ID]],INDIRECT(_xlfn.CONCAT(INDIRECT("tblScalesMeasures_Selected[Table]"),"[","ID","]")),0))</f>
        <v>A</v>
      </c>
      <c r="H117" s="77" t="str">
        <f ca="1">INDEX(INDIRECT(_xlfn.CONCAT(INDIRECT("tblScalesMeasures_Selected[Table]"),"[","Description","]")),MATCH(tblProductScalesMeasures[[#This Row],[ID]],INDIRECT(_xlfn.CONCAT(INDIRECT("tblScalesMeasures_Selected[Table]"),"[","ID","]")),0))</f>
        <v>FIL Imon On Load (A)</v>
      </c>
      <c r="I117" s="76">
        <f ca="1">INDEX(INDIRECT(_xlfn.CONCAT(INDIRECT("tblScalesMeasures_Selected[Table]"),"[","Min","]")),MATCH(tblProductScalesMeasures[[#This Row],[ID]],INDIRECT(_xlfn.CONCAT(INDIRECT("tblScalesMeasures_Selected[Table]"),"[","ID","]")),0))</f>
        <v>-0.16</v>
      </c>
      <c r="J117" s="76">
        <f ca="1">INDEX(INDIRECT(_xlfn.CONCAT(INDIRECT("tblScalesMeasures_Selected[Table]"),"[","Max","]")),MATCH(tblProductScalesMeasures[[#This Row],[ID]],INDIRECT(_xlfn.CONCAT(INDIRECT("tblScalesMeasures_Selected[Table]"),"[","ID","]")),0))</f>
        <v>0.16</v>
      </c>
      <c r="K117" s="76" t="str">
        <f ca="1">INDEX(INDIRECT(_xlfn.CONCAT(INDIRECT("tblScalesMeasures_Selected[Table]"),"[","Nominal","]")),MATCH(tblProductScalesMeasures[[#This Row],[ID]],INDIRECT(_xlfn.CONCAT(INDIRECT("tblScalesMeasures_Selected[Table]"),"[","ID","]")),0))</f>
        <v>-</v>
      </c>
      <c r="L117" s="76" t="str">
        <f ca="1">INDEX(INDIRECT(_xlfn.CONCAT(INDIRECT("tblScalesMeasures_Selected[Table]"),"[","Value","]")),MATCH(tblProductScalesMeasures[[#This Row],[ID]],INDIRECT(_xlfn.CONCAT(INDIRECT("tblScalesMeasures_Selected[Table]"),"[","ID","]")),0))</f>
        <v>N</v>
      </c>
      <c r="S117" s="339">
        <v>66</v>
      </c>
      <c r="T117" s="184">
        <v>734</v>
      </c>
      <c r="U117" s="339">
        <v>7</v>
      </c>
      <c r="V117" s="175" t="str">
        <f ca="1">INDEX(INDIRECT(_xlfn.CONCAT("tblOutputs_",tblScalesMeasures_734[[#This Row],[ProductId]],"[Alias]")),MATCH(tblScalesMeasures_734[[#This Row],[OutputId]],INDIRECT(_xlfn.CONCAT("tblOutputs_",tblScalesMeasures_734[[#This Row],[ProductId]],"[ID]")),0))</f>
        <v>FIL</v>
      </c>
      <c r="W117" s="175" t="s">
        <v>586</v>
      </c>
      <c r="X117" s="175" t="s">
        <v>15</v>
      </c>
      <c r="Y117" s="76" t="str">
        <f ca="1">_xlfn.CONCAT(tblScalesMeasures_734[[#This Row],[Alias]], " ", tblScalesMeasures_734[[#This Row],[Parameter]], " ","(",tblScalesMeasures_734[[#This Row],[Unit]],")")</f>
        <v>FIL Imon On Load (A)</v>
      </c>
      <c r="Z117" s="175">
        <v>-0.16</v>
      </c>
      <c r="AA117" s="175">
        <v>0.16</v>
      </c>
      <c r="AB117" s="175" t="s">
        <v>63</v>
      </c>
      <c r="AC117" s="175" t="s">
        <v>184</v>
      </c>
    </row>
    <row r="118" spans="2:29" s="43" customFormat="1">
      <c r="B118" s="23">
        <v>67</v>
      </c>
      <c r="C118" s="23">
        <f ca="1">INDEX(INDIRECT(_xlfn.CONCAT(INDIRECT("tblScalesMeasures_Selected[Table]"),"[","ProductId","]")),MATCH(tblProductScalesMeasures[[#This Row],[ID]],INDIRECT(_xlfn.CONCAT(INDIRECT("tblScalesMeasures_Selected[Table]"),"[","ID","]")),0))</f>
        <v>734</v>
      </c>
      <c r="D118" s="30">
        <f ca="1">INDEX(INDIRECT(_xlfn.CONCAT(INDIRECT("tblScalesMeasures_Selected[Table]"),"[","OutputId","]")),MATCH(tblProductScalesMeasures[[#This Row],[ID]],INDIRECT(_xlfn.CONCAT(INDIRECT("tblScalesMeasures_Selected[Table]"),"[","ID","]")),0))</f>
        <v>7</v>
      </c>
      <c r="E118" s="76" t="str">
        <f ca="1">INDEX(INDIRECT(_xlfn.CONCAT(INDIRECT("tblScalesMeasures_Selected[Table]"),"[","Alias","]")),MATCH(tblProductScalesMeasures[[#This Row],[ID]],INDIRECT(_xlfn.CONCAT(INDIRECT("tblScalesMeasures_Selected[Table]"),"[","ID","]")),0))</f>
        <v>FIL</v>
      </c>
      <c r="F118" s="76" t="str">
        <f ca="1">INDEX(INDIRECT(_xlfn.CONCAT(INDIRECT("tblScalesMeasures_Selected[Table]"),"[","Parameter","]")),MATCH(tblProductScalesMeasures[[#This Row],[ID]],INDIRECT(_xlfn.CONCAT(INDIRECT("tblScalesMeasures_Selected[Table]"),"[","ID","]")),0))</f>
        <v>Imon Off Load</v>
      </c>
      <c r="G118" s="76" t="str">
        <f ca="1">INDEX(INDIRECT(_xlfn.CONCAT(INDIRECT("tblScalesMeasures_Selected[Table]"),"[","Unit","]")),MATCH(tblProductScalesMeasures[[#This Row],[ID]],INDIRECT(_xlfn.CONCAT(INDIRECT("tblScalesMeasures_Selected[Table]"),"[","ID","]")),0))</f>
        <v>A</v>
      </c>
      <c r="H118" s="77" t="str">
        <f ca="1">INDEX(INDIRECT(_xlfn.CONCAT(INDIRECT("tblScalesMeasures_Selected[Table]"),"[","Description","]")),MATCH(tblProductScalesMeasures[[#This Row],[ID]],INDIRECT(_xlfn.CONCAT(INDIRECT("tblScalesMeasures_Selected[Table]"),"[","ID","]")),0))</f>
        <v>FIL Imon Off Load (A)</v>
      </c>
      <c r="I118" s="76">
        <f ca="1">INDEX(INDIRECT(_xlfn.CONCAT(INDIRECT("tblScalesMeasures_Selected[Table]"),"[","Min","]")),MATCH(tblProductScalesMeasures[[#This Row],[ID]],INDIRECT(_xlfn.CONCAT(INDIRECT("tblScalesMeasures_Selected[Table]"),"[","ID","]")),0))</f>
        <v>-0.16</v>
      </c>
      <c r="J118" s="76">
        <f ca="1">INDEX(INDIRECT(_xlfn.CONCAT(INDIRECT("tblScalesMeasures_Selected[Table]"),"[","Max","]")),MATCH(tblProductScalesMeasures[[#This Row],[ID]],INDIRECT(_xlfn.CONCAT(INDIRECT("tblScalesMeasures_Selected[Table]"),"[","ID","]")),0))</f>
        <v>0.16</v>
      </c>
      <c r="K118" s="76" t="str">
        <f ca="1">INDEX(INDIRECT(_xlfn.CONCAT(INDIRECT("tblScalesMeasures_Selected[Table]"),"[","Nominal","]")),MATCH(tblProductScalesMeasures[[#This Row],[ID]],INDIRECT(_xlfn.CONCAT(INDIRECT("tblScalesMeasures_Selected[Table]"),"[","ID","]")),0))</f>
        <v>-</v>
      </c>
      <c r="L118" s="76" t="str">
        <f ca="1">INDEX(INDIRECT(_xlfn.CONCAT(INDIRECT("tblScalesMeasures_Selected[Table]"),"[","Value","]")),MATCH(tblProductScalesMeasures[[#This Row],[ID]],INDIRECT(_xlfn.CONCAT(INDIRECT("tblScalesMeasures_Selected[Table]"),"[","ID","]")),0))</f>
        <v>N</v>
      </c>
      <c r="S118" s="339">
        <v>67</v>
      </c>
      <c r="T118" s="184">
        <v>734</v>
      </c>
      <c r="U118" s="339">
        <v>7</v>
      </c>
      <c r="V118" s="175" t="str">
        <f ca="1">INDEX(INDIRECT(_xlfn.CONCAT("tblOutputs_",tblScalesMeasures_734[[#This Row],[ProductId]],"[Alias]")),MATCH(tblScalesMeasures_734[[#This Row],[OutputId]],INDIRECT(_xlfn.CONCAT("tblOutputs_",tblScalesMeasures_734[[#This Row],[ProductId]],"[ID]")),0))</f>
        <v>FIL</v>
      </c>
      <c r="W118" s="175" t="s">
        <v>587</v>
      </c>
      <c r="X118" s="175" t="s">
        <v>15</v>
      </c>
      <c r="Y118" s="76" t="str">
        <f ca="1">_xlfn.CONCAT(tblScalesMeasures_734[[#This Row],[Alias]], " ", tblScalesMeasures_734[[#This Row],[Parameter]], " ","(",tblScalesMeasures_734[[#This Row],[Unit]],")")</f>
        <v>FIL Imon Off Load (A)</v>
      </c>
      <c r="Z118" s="175">
        <v>-0.16</v>
      </c>
      <c r="AA118" s="175">
        <v>0.16</v>
      </c>
      <c r="AB118" s="175" t="s">
        <v>63</v>
      </c>
      <c r="AC118" s="175" t="s">
        <v>184</v>
      </c>
    </row>
    <row r="119" spans="2:29" s="43" customFormat="1">
      <c r="B119" s="23">
        <v>68</v>
      </c>
      <c r="C119" s="23">
        <f ca="1">INDEX(INDIRECT(_xlfn.CONCAT(INDIRECT("tblScalesMeasures_Selected[Table]"),"[","ProductId","]")),MATCH(tblProductScalesMeasures[[#This Row],[ID]],INDIRECT(_xlfn.CONCAT(INDIRECT("tblScalesMeasures_Selected[Table]"),"[","ID","]")),0))</f>
        <v>734</v>
      </c>
      <c r="D119" s="30">
        <f ca="1">INDEX(INDIRECT(_xlfn.CONCAT(INDIRECT("tblScalesMeasures_Selected[Table]"),"[","OutputId","]")),MATCH(tblProductScalesMeasures[[#This Row],[ID]],INDIRECT(_xlfn.CONCAT(INDIRECT("tblScalesMeasures_Selected[Table]"),"[","ID","]")),0))</f>
        <v>7</v>
      </c>
      <c r="E119" s="76" t="str">
        <f ca="1">INDEX(INDIRECT(_xlfn.CONCAT(INDIRECT("tblScalesMeasures_Selected[Table]"),"[","Alias","]")),MATCH(tblProductScalesMeasures[[#This Row],[ID]],INDIRECT(_xlfn.CONCAT(INDIRECT("tblScalesMeasures_Selected[Table]"),"[","ID","]")),0))</f>
        <v>FIL</v>
      </c>
      <c r="F119" s="76" t="str">
        <f ca="1">INDEX(INDIRECT(_xlfn.CONCAT(INDIRECT("tblScalesMeasures_Selected[Table]"),"[","Parameter","]")),MATCH(tblProductScalesMeasures[[#This Row],[ID]],INDIRECT(_xlfn.CONCAT(INDIRECT("tblScalesMeasures_Selected[Table]"),"[","ID","]")),0))</f>
        <v>Current Regulation</v>
      </c>
      <c r="G119" s="76" t="str">
        <f ca="1">INDEX(INDIRECT(_xlfn.CONCAT(INDIRECT("tblScalesMeasures_Selected[Table]"),"[","Unit","]")),MATCH(tblProductScalesMeasures[[#This Row],[ID]],INDIRECT(_xlfn.CONCAT(INDIRECT("tblScalesMeasures_Selected[Table]"),"[","ID","]")),0))</f>
        <v>mA</v>
      </c>
      <c r="H119" s="77" t="str">
        <f ca="1">INDEX(INDIRECT(_xlfn.CONCAT(INDIRECT("tblScalesMeasures_Selected[Table]"),"[","Description","]")),MATCH(tblProductScalesMeasures[[#This Row],[ID]],INDIRECT(_xlfn.CONCAT(INDIRECT("tblScalesMeasures_Selected[Table]"),"[","ID","]")),0))</f>
        <v>FIL Current Regulation (mA)</v>
      </c>
      <c r="I119" s="76">
        <f ca="1">INDEX(INDIRECT(_xlfn.CONCAT(INDIRECT("tblScalesMeasures_Selected[Table]"),"[","Min","]")),MATCH(tblProductScalesMeasures[[#This Row],[ID]],INDIRECT(_xlfn.CONCAT(INDIRECT("tblScalesMeasures_Selected[Table]"),"[","ID","]")),0))</f>
        <v>-5</v>
      </c>
      <c r="J119" s="76">
        <f ca="1">INDEX(INDIRECT(_xlfn.CONCAT(INDIRECT("tblScalesMeasures_Selected[Table]"),"[","Max","]")),MATCH(tblProductScalesMeasures[[#This Row],[ID]],INDIRECT(_xlfn.CONCAT(INDIRECT("tblScalesMeasures_Selected[Table]"),"[","ID","]")),0))</f>
        <v>5</v>
      </c>
      <c r="K119" s="76" t="str">
        <f ca="1">INDEX(INDIRECT(_xlfn.CONCAT(INDIRECT("tblScalesMeasures_Selected[Table]"),"[","Nominal","]")),MATCH(tblProductScalesMeasures[[#This Row],[ID]],INDIRECT(_xlfn.CONCAT(INDIRECT("tblScalesMeasures_Selected[Table]"),"[","ID","]")),0))</f>
        <v>-</v>
      </c>
      <c r="L119" s="76" t="str">
        <f ca="1">INDEX(INDIRECT(_xlfn.CONCAT(INDIRECT("tblScalesMeasures_Selected[Table]"),"[","Value","]")),MATCH(tblProductScalesMeasures[[#This Row],[ID]],INDIRECT(_xlfn.CONCAT(INDIRECT("tblScalesMeasures_Selected[Table]"),"[","ID","]")),0))</f>
        <v>N</v>
      </c>
      <c r="S119" s="339">
        <v>68</v>
      </c>
      <c r="T119" s="184">
        <v>734</v>
      </c>
      <c r="U119" s="339">
        <v>7</v>
      </c>
      <c r="V119" s="175" t="str">
        <f ca="1">INDEX(INDIRECT(_xlfn.CONCAT("tblOutputs_",tblScalesMeasures_734[[#This Row],[ProductId]],"[Alias]")),MATCH(tblScalesMeasures_734[[#This Row],[OutputId]],INDIRECT(_xlfn.CONCAT("tblOutputs_",tblScalesMeasures_734[[#This Row],[ProductId]],"[ID]")),0))</f>
        <v>FIL</v>
      </c>
      <c r="W119" s="175" t="s">
        <v>546</v>
      </c>
      <c r="X119" s="175" t="s">
        <v>588</v>
      </c>
      <c r="Y119" s="76" t="str">
        <f ca="1">_xlfn.CONCAT(tblScalesMeasures_734[[#This Row],[Alias]], " ", tblScalesMeasures_734[[#This Row],[Parameter]], " ","(",tblScalesMeasures_734[[#This Row],[Unit]],")")</f>
        <v>FIL Current Regulation (mA)</v>
      </c>
      <c r="Z119" s="175">
        <v>-5</v>
      </c>
      <c r="AA119" s="175">
        <v>5</v>
      </c>
      <c r="AB119" s="175" t="s">
        <v>63</v>
      </c>
      <c r="AC119" s="175" t="s">
        <v>184</v>
      </c>
    </row>
    <row r="120" spans="2:29" s="43" customFormat="1">
      <c r="B120" s="23">
        <v>69</v>
      </c>
      <c r="C120" s="23">
        <f ca="1">INDEX(INDIRECT(_xlfn.CONCAT(INDIRECT("tblScalesMeasures_Selected[Table]"),"[","ProductId","]")),MATCH(tblProductScalesMeasures[[#This Row],[ID]],INDIRECT(_xlfn.CONCAT(INDIRECT("tblScalesMeasures_Selected[Table]"),"[","ID","]")),0))</f>
        <v>734</v>
      </c>
      <c r="D120" s="30">
        <f ca="1">INDEX(INDIRECT(_xlfn.CONCAT(INDIRECT("tblScalesMeasures_Selected[Table]"),"[","OutputId","]")),MATCH(tblProductScalesMeasures[[#This Row],[ID]],INDIRECT(_xlfn.CONCAT(INDIRECT("tblScalesMeasures_Selected[Table]"),"[","ID","]")),0))</f>
        <v>5</v>
      </c>
      <c r="E120" s="76" t="str">
        <f ca="1">INDEX(INDIRECT(_xlfn.CONCAT(INDIRECT("tblScalesMeasures_Selected[Table]"),"[","Alias","]")),MATCH(tblProductScalesMeasures[[#This Row],[ID]],INDIRECT(_xlfn.CONCAT(INDIRECT("tblScalesMeasures_Selected[Table]"),"[","ID","]")),0))</f>
        <v>EXT</v>
      </c>
      <c r="F120" s="76" t="str">
        <f ca="1">INDEX(INDIRECT(_xlfn.CONCAT(INDIRECT("tblScalesMeasures_Selected[Table]"),"[","Parameter","]")),MATCH(tblProductScalesMeasures[[#This Row],[ID]],INDIRECT(_xlfn.CONCAT(INDIRECT("tblScalesMeasures_Selected[Table]"),"[","ID","]")),0))</f>
        <v>Ripple</v>
      </c>
      <c r="G120" s="76" t="str">
        <f ca="1">INDEX(INDIRECT(_xlfn.CONCAT(INDIRECT("tblScalesMeasures_Selected[Table]"),"[","Unit","]")),MATCH(tblProductScalesMeasures[[#This Row],[ID]],INDIRECT(_xlfn.CONCAT(INDIRECT("tblScalesMeasures_Selected[Table]"),"[","ID","]")),0))</f>
        <v>mV pk-pk</v>
      </c>
      <c r="H120" s="77" t="str">
        <f ca="1">INDEX(INDIRECT(_xlfn.CONCAT(INDIRECT("tblScalesMeasures_Selected[Table]"),"[","Description","]")),MATCH(tblProductScalesMeasures[[#This Row],[ID]],INDIRECT(_xlfn.CONCAT(INDIRECT("tblScalesMeasures_Selected[Table]"),"[","ID","]")),0))</f>
        <v>EXT Ripple (mV pk-pk)</v>
      </c>
      <c r="I120" s="76">
        <f ca="1">INDEX(INDIRECT(_xlfn.CONCAT(INDIRECT("tblScalesMeasures_Selected[Table]"),"[","Min","]")),MATCH(tblProductScalesMeasures[[#This Row],[ID]],INDIRECT(_xlfn.CONCAT(INDIRECT("tblScalesMeasures_Selected[Table]"),"[","ID","]")),0))</f>
        <v>3</v>
      </c>
      <c r="J120" s="76">
        <f ca="1">INDEX(INDIRECT(_xlfn.CONCAT(INDIRECT("tblScalesMeasures_Selected[Table]"),"[","Max","]")),MATCH(tblProductScalesMeasures[[#This Row],[ID]],INDIRECT(_xlfn.CONCAT(INDIRECT("tblScalesMeasures_Selected[Table]"),"[","ID","]")),0))</f>
        <v>100</v>
      </c>
      <c r="K120" s="76" t="str">
        <f ca="1">INDEX(INDIRECT(_xlfn.CONCAT(INDIRECT("tblScalesMeasures_Selected[Table]"),"[","Nominal","]")),MATCH(tblProductScalesMeasures[[#This Row],[ID]],INDIRECT(_xlfn.CONCAT(INDIRECT("tblScalesMeasures_Selected[Table]"),"[","ID","]")),0))</f>
        <v>-</v>
      </c>
      <c r="L120" s="76" t="str">
        <f ca="1">INDEX(INDIRECT(_xlfn.CONCAT(INDIRECT("tblScalesMeasures_Selected[Table]"),"[","Value","]")),MATCH(tblProductScalesMeasures[[#This Row],[ID]],INDIRECT(_xlfn.CONCAT(INDIRECT("tblScalesMeasures_Selected[Table]"),"[","ID","]")),0))</f>
        <v>N</v>
      </c>
      <c r="S120" s="429">
        <v>69</v>
      </c>
      <c r="T120" s="384">
        <v>734</v>
      </c>
      <c r="U120" s="429">
        <v>5</v>
      </c>
      <c r="V120" s="380" t="str">
        <f ca="1">INDEX(INDIRECT(_xlfn.CONCAT("tblOutputs_",tblScalesMeasures_734[[#This Row],[ProductId]],"[Alias]")),MATCH(tblScalesMeasures_734[[#This Row],[OutputId]],INDIRECT(_xlfn.CONCAT("tblOutputs_",tblScalesMeasures_734[[#This Row],[ProductId]],"[ID]")),0))</f>
        <v>EXT</v>
      </c>
      <c r="W120" s="380" t="s">
        <v>125</v>
      </c>
      <c r="X120" s="380" t="s">
        <v>267</v>
      </c>
      <c r="Y120" s="389" t="str">
        <f ca="1">_xlfn.CONCAT(tblScalesMeasures_734[[#This Row],[Alias]], " ", tblScalesMeasures_734[[#This Row],[Parameter]], " ","(",tblScalesMeasures_734[[#This Row],[Unit]],")")</f>
        <v>EXT Ripple (mV pk-pk)</v>
      </c>
      <c r="Z120" s="380">
        <v>3</v>
      </c>
      <c r="AA120" s="380">
        <v>100</v>
      </c>
      <c r="AB120" s="380" t="s">
        <v>63</v>
      </c>
      <c r="AC120" s="380" t="s">
        <v>184</v>
      </c>
    </row>
    <row r="121" spans="2:29" s="43" customFormat="1">
      <c r="B121" s="23">
        <v>70</v>
      </c>
      <c r="C121" s="23" t="e">
        <f ca="1">INDEX(INDIRECT(_xlfn.CONCAT(INDIRECT("tblScalesMeasures_Selected[Table]"),"[","ProductId","]")),MATCH(tblProductScalesMeasures[[#This Row],[ID]],INDIRECT(_xlfn.CONCAT(INDIRECT("tblScalesMeasures_Selected[Table]"),"[","ID","]")),0))</f>
        <v>#N/A</v>
      </c>
      <c r="D121" s="30" t="e">
        <f ca="1">INDEX(INDIRECT(_xlfn.CONCAT(INDIRECT("tblScalesMeasures_Selected[Table]"),"[","OutputId","]")),MATCH(tblProductScalesMeasures[[#This Row],[ID]],INDIRECT(_xlfn.CONCAT(INDIRECT("tblScalesMeasures_Selected[Table]"),"[","ID","]")),0))</f>
        <v>#N/A</v>
      </c>
      <c r="E121" s="76" t="e">
        <f ca="1">INDEX(INDIRECT(_xlfn.CONCAT(INDIRECT("tblScalesMeasures_Selected[Table]"),"[","Alias","]")),MATCH(tblProductScalesMeasures[[#This Row],[ID]],INDIRECT(_xlfn.CONCAT(INDIRECT("tblScalesMeasures_Selected[Table]"),"[","ID","]")),0))</f>
        <v>#N/A</v>
      </c>
      <c r="F121" s="76" t="e">
        <f ca="1">INDEX(INDIRECT(_xlfn.CONCAT(INDIRECT("tblScalesMeasures_Selected[Table]"),"[","Parameter","]")),MATCH(tblProductScalesMeasures[[#This Row],[ID]],INDIRECT(_xlfn.CONCAT(INDIRECT("tblScalesMeasures_Selected[Table]"),"[","ID","]")),0))</f>
        <v>#N/A</v>
      </c>
      <c r="G121" s="76" t="e">
        <f ca="1">INDEX(INDIRECT(_xlfn.CONCAT(INDIRECT("tblScalesMeasures_Selected[Table]"),"[","Unit","]")),MATCH(tblProductScalesMeasures[[#This Row],[ID]],INDIRECT(_xlfn.CONCAT(INDIRECT("tblScalesMeasures_Selected[Table]"),"[","ID","]")),0))</f>
        <v>#N/A</v>
      </c>
      <c r="H121" s="77" t="e">
        <f ca="1">INDEX(INDIRECT(_xlfn.CONCAT(INDIRECT("tblScalesMeasures_Selected[Table]"),"[","Description","]")),MATCH(tblProductScalesMeasures[[#This Row],[ID]],INDIRECT(_xlfn.CONCAT(INDIRECT("tblScalesMeasures_Selected[Table]"),"[","ID","]")),0))</f>
        <v>#N/A</v>
      </c>
      <c r="I121" s="76" t="e">
        <f ca="1">INDEX(INDIRECT(_xlfn.CONCAT(INDIRECT("tblScalesMeasures_Selected[Table]"),"[","Min","]")),MATCH(tblProductScalesMeasures[[#This Row],[ID]],INDIRECT(_xlfn.CONCAT(INDIRECT("tblScalesMeasures_Selected[Table]"),"[","ID","]")),0))</f>
        <v>#N/A</v>
      </c>
      <c r="J121" s="76" t="e">
        <f ca="1">INDEX(INDIRECT(_xlfn.CONCAT(INDIRECT("tblScalesMeasures_Selected[Table]"),"[","Max","]")),MATCH(tblProductScalesMeasures[[#This Row],[ID]],INDIRECT(_xlfn.CONCAT(INDIRECT("tblScalesMeasures_Selected[Table]"),"[","ID","]")),0))</f>
        <v>#N/A</v>
      </c>
      <c r="K121" s="76" t="e">
        <f ca="1">INDEX(INDIRECT(_xlfn.CONCAT(INDIRECT("tblScalesMeasures_Selected[Table]"),"[","Nominal","]")),MATCH(tblProductScalesMeasures[[#This Row],[ID]],INDIRECT(_xlfn.CONCAT(INDIRECT("tblScalesMeasures_Selected[Table]"),"[","ID","]")),0))</f>
        <v>#N/A</v>
      </c>
      <c r="L121" s="76" t="e">
        <f ca="1">INDEX(INDIRECT(_xlfn.CONCAT(INDIRECT("tblScalesMeasures_Selected[Table]"),"[","Value","]")),MATCH(tblProductScalesMeasures[[#This Row],[ID]],INDIRECT(_xlfn.CONCAT(INDIRECT("tblScalesMeasures_Selected[Table]"),"[","ID","]")),0))</f>
        <v>#N/A</v>
      </c>
      <c r="S121" s="339"/>
      <c r="T121" s="184"/>
      <c r="U121" s="339"/>
      <c r="V121" s="175"/>
      <c r="W121" s="175"/>
      <c r="X121" s="175"/>
      <c r="Y121" s="76"/>
      <c r="Z121" s="175"/>
      <c r="AA121" s="175"/>
      <c r="AB121" s="175"/>
      <c r="AC121" s="175"/>
    </row>
    <row r="122" spans="2:29" s="43" customFormat="1">
      <c r="B122" s="23">
        <v>71</v>
      </c>
      <c r="C122" s="23" t="e">
        <f ca="1">INDEX(INDIRECT(_xlfn.CONCAT(INDIRECT("tblScalesMeasures_Selected[Table]"),"[","ProductId","]")),MATCH(tblProductScalesMeasures[[#This Row],[ID]],INDIRECT(_xlfn.CONCAT(INDIRECT("tblScalesMeasures_Selected[Table]"),"[","ID","]")),0))</f>
        <v>#N/A</v>
      </c>
      <c r="D122" s="30" t="e">
        <f ca="1">INDEX(INDIRECT(_xlfn.CONCAT(INDIRECT("tblScalesMeasures_Selected[Table]"),"[","OutputId","]")),MATCH(tblProductScalesMeasures[[#This Row],[ID]],INDIRECT(_xlfn.CONCAT(INDIRECT("tblScalesMeasures_Selected[Table]"),"[","ID","]")),0))</f>
        <v>#N/A</v>
      </c>
      <c r="E122" s="76" t="e">
        <f ca="1">INDEX(INDIRECT(_xlfn.CONCAT(INDIRECT("tblScalesMeasures_Selected[Table]"),"[","Alias","]")),MATCH(tblProductScalesMeasures[[#This Row],[ID]],INDIRECT(_xlfn.CONCAT(INDIRECT("tblScalesMeasures_Selected[Table]"),"[","ID","]")),0))</f>
        <v>#N/A</v>
      </c>
      <c r="F122" s="76" t="e">
        <f ca="1">INDEX(INDIRECT(_xlfn.CONCAT(INDIRECT("tblScalesMeasures_Selected[Table]"),"[","Parameter","]")),MATCH(tblProductScalesMeasures[[#This Row],[ID]],INDIRECT(_xlfn.CONCAT(INDIRECT("tblScalesMeasures_Selected[Table]"),"[","ID","]")),0))</f>
        <v>#N/A</v>
      </c>
      <c r="G122" s="76" t="e">
        <f ca="1">INDEX(INDIRECT(_xlfn.CONCAT(INDIRECT("tblScalesMeasures_Selected[Table]"),"[","Unit","]")),MATCH(tblProductScalesMeasures[[#This Row],[ID]],INDIRECT(_xlfn.CONCAT(INDIRECT("tblScalesMeasures_Selected[Table]"),"[","ID","]")),0))</f>
        <v>#N/A</v>
      </c>
      <c r="H122" s="77" t="e">
        <f ca="1">INDEX(INDIRECT(_xlfn.CONCAT(INDIRECT("tblScalesMeasures_Selected[Table]"),"[","Description","]")),MATCH(tblProductScalesMeasures[[#This Row],[ID]],INDIRECT(_xlfn.CONCAT(INDIRECT("tblScalesMeasures_Selected[Table]"),"[","ID","]")),0))</f>
        <v>#N/A</v>
      </c>
      <c r="I122" s="76" t="e">
        <f ca="1">INDEX(INDIRECT(_xlfn.CONCAT(INDIRECT("tblScalesMeasures_Selected[Table]"),"[","Min","]")),MATCH(tblProductScalesMeasures[[#This Row],[ID]],INDIRECT(_xlfn.CONCAT(INDIRECT("tblScalesMeasures_Selected[Table]"),"[","ID","]")),0))</f>
        <v>#N/A</v>
      </c>
      <c r="J122" s="76" t="e">
        <f ca="1">INDEX(INDIRECT(_xlfn.CONCAT(INDIRECT("tblScalesMeasures_Selected[Table]"),"[","Max","]")),MATCH(tblProductScalesMeasures[[#This Row],[ID]],INDIRECT(_xlfn.CONCAT(INDIRECT("tblScalesMeasures_Selected[Table]"),"[","ID","]")),0))</f>
        <v>#N/A</v>
      </c>
      <c r="K122" s="76" t="e">
        <f ca="1">INDEX(INDIRECT(_xlfn.CONCAT(INDIRECT("tblScalesMeasures_Selected[Table]"),"[","Nominal","]")),MATCH(tblProductScalesMeasures[[#This Row],[ID]],INDIRECT(_xlfn.CONCAT(INDIRECT("tblScalesMeasures_Selected[Table]"),"[","ID","]")),0))</f>
        <v>#N/A</v>
      </c>
      <c r="L122" s="76" t="e">
        <f ca="1">INDEX(INDIRECT(_xlfn.CONCAT(INDIRECT("tblScalesMeasures_Selected[Table]"),"[","Value","]")),MATCH(tblProductScalesMeasures[[#This Row],[ID]],INDIRECT(_xlfn.CONCAT(INDIRECT("tblScalesMeasures_Selected[Table]"),"[","ID","]")),0))</f>
        <v>#N/A</v>
      </c>
      <c r="S122" s="339"/>
      <c r="T122" s="184"/>
      <c r="U122" s="339"/>
      <c r="V122" s="175"/>
      <c r="W122" s="175"/>
      <c r="X122" s="175"/>
      <c r="Y122" s="76"/>
      <c r="Z122" s="175"/>
      <c r="AA122" s="175"/>
      <c r="AB122" s="175"/>
      <c r="AC122" s="175"/>
    </row>
    <row r="123" spans="2:29" s="43" customFormat="1">
      <c r="B123" s="23">
        <v>72</v>
      </c>
      <c r="C123" s="23" t="e">
        <f ca="1">INDEX(INDIRECT(_xlfn.CONCAT(INDIRECT("tblScalesMeasures_Selected[Table]"),"[","ProductId","]")),MATCH(tblProductScalesMeasures[[#This Row],[ID]],INDIRECT(_xlfn.CONCAT(INDIRECT("tblScalesMeasures_Selected[Table]"),"[","ID","]")),0))</f>
        <v>#N/A</v>
      </c>
      <c r="D123" s="30" t="e">
        <f ca="1">INDEX(INDIRECT(_xlfn.CONCAT(INDIRECT("tblScalesMeasures_Selected[Table]"),"[","OutputId","]")),MATCH(tblProductScalesMeasures[[#This Row],[ID]],INDIRECT(_xlfn.CONCAT(INDIRECT("tblScalesMeasures_Selected[Table]"),"[","ID","]")),0))</f>
        <v>#N/A</v>
      </c>
      <c r="E123" s="76" t="e">
        <f ca="1">INDEX(INDIRECT(_xlfn.CONCAT(INDIRECT("tblScalesMeasures_Selected[Table]"),"[","Alias","]")),MATCH(tblProductScalesMeasures[[#This Row],[ID]],INDIRECT(_xlfn.CONCAT(INDIRECT("tblScalesMeasures_Selected[Table]"),"[","ID","]")),0))</f>
        <v>#N/A</v>
      </c>
      <c r="F123" s="76" t="e">
        <f ca="1">INDEX(INDIRECT(_xlfn.CONCAT(INDIRECT("tblScalesMeasures_Selected[Table]"),"[","Parameter","]")),MATCH(tblProductScalesMeasures[[#This Row],[ID]],INDIRECT(_xlfn.CONCAT(INDIRECT("tblScalesMeasures_Selected[Table]"),"[","ID","]")),0))</f>
        <v>#N/A</v>
      </c>
      <c r="G123" s="76" t="e">
        <f ca="1">INDEX(INDIRECT(_xlfn.CONCAT(INDIRECT("tblScalesMeasures_Selected[Table]"),"[","Unit","]")),MATCH(tblProductScalesMeasures[[#This Row],[ID]],INDIRECT(_xlfn.CONCAT(INDIRECT("tblScalesMeasures_Selected[Table]"),"[","ID","]")),0))</f>
        <v>#N/A</v>
      </c>
      <c r="H123" s="77" t="e">
        <f ca="1">INDEX(INDIRECT(_xlfn.CONCAT(INDIRECT("tblScalesMeasures_Selected[Table]"),"[","Description","]")),MATCH(tblProductScalesMeasures[[#This Row],[ID]],INDIRECT(_xlfn.CONCAT(INDIRECT("tblScalesMeasures_Selected[Table]"),"[","ID","]")),0))</f>
        <v>#N/A</v>
      </c>
      <c r="I123" s="76" t="e">
        <f ca="1">INDEX(INDIRECT(_xlfn.CONCAT(INDIRECT("tblScalesMeasures_Selected[Table]"),"[","Min","]")),MATCH(tblProductScalesMeasures[[#This Row],[ID]],INDIRECT(_xlfn.CONCAT(INDIRECT("tblScalesMeasures_Selected[Table]"),"[","ID","]")),0))</f>
        <v>#N/A</v>
      </c>
      <c r="J123" s="76" t="e">
        <f ca="1">INDEX(INDIRECT(_xlfn.CONCAT(INDIRECT("tblScalesMeasures_Selected[Table]"),"[","Max","]")),MATCH(tblProductScalesMeasures[[#This Row],[ID]],INDIRECT(_xlfn.CONCAT(INDIRECT("tblScalesMeasures_Selected[Table]"),"[","ID","]")),0))</f>
        <v>#N/A</v>
      </c>
      <c r="K123" s="76" t="e">
        <f ca="1">INDEX(INDIRECT(_xlfn.CONCAT(INDIRECT("tblScalesMeasures_Selected[Table]"),"[","Nominal","]")),MATCH(tblProductScalesMeasures[[#This Row],[ID]],INDIRECT(_xlfn.CONCAT(INDIRECT("tblScalesMeasures_Selected[Table]"),"[","ID","]")),0))</f>
        <v>#N/A</v>
      </c>
      <c r="L123" s="76" t="e">
        <f ca="1">INDEX(INDIRECT(_xlfn.CONCAT(INDIRECT("tblScalesMeasures_Selected[Table]"),"[","Value","]")),MATCH(tblProductScalesMeasures[[#This Row],[ID]],INDIRECT(_xlfn.CONCAT(INDIRECT("tblScalesMeasures_Selected[Table]"),"[","ID","]")),0))</f>
        <v>#N/A</v>
      </c>
      <c r="S123" s="339"/>
      <c r="T123" s="184"/>
      <c r="U123" s="339"/>
      <c r="V123" s="175"/>
      <c r="W123" s="175"/>
      <c r="X123" s="175"/>
      <c r="Y123" s="76"/>
      <c r="Z123" s="175"/>
      <c r="AA123" s="175"/>
      <c r="AB123" s="175"/>
      <c r="AC123" s="175"/>
    </row>
    <row r="124" spans="2:29" s="43" customFormat="1">
      <c r="B124" s="23">
        <v>73</v>
      </c>
      <c r="C124" s="23" t="e">
        <f ca="1">INDEX(INDIRECT(_xlfn.CONCAT(INDIRECT("tblScalesMeasures_Selected[Table]"),"[","ProductId","]")),MATCH(tblProductScalesMeasures[[#This Row],[ID]],INDIRECT(_xlfn.CONCAT(INDIRECT("tblScalesMeasures_Selected[Table]"),"[","ID","]")),0))</f>
        <v>#N/A</v>
      </c>
      <c r="D124" s="30" t="e">
        <f ca="1">INDEX(INDIRECT(_xlfn.CONCAT(INDIRECT("tblScalesMeasures_Selected[Table]"),"[","OutputId","]")),MATCH(tblProductScalesMeasures[[#This Row],[ID]],INDIRECT(_xlfn.CONCAT(INDIRECT("tblScalesMeasures_Selected[Table]"),"[","ID","]")),0))</f>
        <v>#N/A</v>
      </c>
      <c r="E124" s="76" t="e">
        <f ca="1">INDEX(INDIRECT(_xlfn.CONCAT(INDIRECT("tblScalesMeasures_Selected[Table]"),"[","Alias","]")),MATCH(tblProductScalesMeasures[[#This Row],[ID]],INDIRECT(_xlfn.CONCAT(INDIRECT("tblScalesMeasures_Selected[Table]"),"[","ID","]")),0))</f>
        <v>#N/A</v>
      </c>
      <c r="F124" s="76" t="e">
        <f ca="1">INDEX(INDIRECT(_xlfn.CONCAT(INDIRECT("tblScalesMeasures_Selected[Table]"),"[","Parameter","]")),MATCH(tblProductScalesMeasures[[#This Row],[ID]],INDIRECT(_xlfn.CONCAT(INDIRECT("tblScalesMeasures_Selected[Table]"),"[","ID","]")),0))</f>
        <v>#N/A</v>
      </c>
      <c r="G124" s="76" t="e">
        <f ca="1">INDEX(INDIRECT(_xlfn.CONCAT(INDIRECT("tblScalesMeasures_Selected[Table]"),"[","Unit","]")),MATCH(tblProductScalesMeasures[[#This Row],[ID]],INDIRECT(_xlfn.CONCAT(INDIRECT("tblScalesMeasures_Selected[Table]"),"[","ID","]")),0))</f>
        <v>#N/A</v>
      </c>
      <c r="H124" s="77" t="e">
        <f ca="1">INDEX(INDIRECT(_xlfn.CONCAT(INDIRECT("tblScalesMeasures_Selected[Table]"),"[","Description","]")),MATCH(tblProductScalesMeasures[[#This Row],[ID]],INDIRECT(_xlfn.CONCAT(INDIRECT("tblScalesMeasures_Selected[Table]"),"[","ID","]")),0))</f>
        <v>#N/A</v>
      </c>
      <c r="I124" s="76" t="e">
        <f ca="1">INDEX(INDIRECT(_xlfn.CONCAT(INDIRECT("tblScalesMeasures_Selected[Table]"),"[","Min","]")),MATCH(tblProductScalesMeasures[[#This Row],[ID]],INDIRECT(_xlfn.CONCAT(INDIRECT("tblScalesMeasures_Selected[Table]"),"[","ID","]")),0))</f>
        <v>#N/A</v>
      </c>
      <c r="J124" s="76" t="e">
        <f ca="1">INDEX(INDIRECT(_xlfn.CONCAT(INDIRECT("tblScalesMeasures_Selected[Table]"),"[","Max","]")),MATCH(tblProductScalesMeasures[[#This Row],[ID]],INDIRECT(_xlfn.CONCAT(INDIRECT("tblScalesMeasures_Selected[Table]"),"[","ID","]")),0))</f>
        <v>#N/A</v>
      </c>
      <c r="K124" s="76" t="e">
        <f ca="1">INDEX(INDIRECT(_xlfn.CONCAT(INDIRECT("tblScalesMeasures_Selected[Table]"),"[","Nominal","]")),MATCH(tblProductScalesMeasures[[#This Row],[ID]],INDIRECT(_xlfn.CONCAT(INDIRECT("tblScalesMeasures_Selected[Table]"),"[","ID","]")),0))</f>
        <v>#N/A</v>
      </c>
      <c r="L124" s="76" t="e">
        <f ca="1">INDEX(INDIRECT(_xlfn.CONCAT(INDIRECT("tblScalesMeasures_Selected[Table]"),"[","Value","]")),MATCH(tblProductScalesMeasures[[#This Row],[ID]],INDIRECT(_xlfn.CONCAT(INDIRECT("tblScalesMeasures_Selected[Table]"),"[","ID","]")),0))</f>
        <v>#N/A</v>
      </c>
      <c r="S124" s="339"/>
      <c r="T124" s="184"/>
      <c r="U124" s="339"/>
      <c r="V124" s="175"/>
      <c r="Y124" s="76"/>
      <c r="AC124" s="175"/>
    </row>
    <row r="125" spans="2:29" s="43" customFormat="1">
      <c r="B125" s="23">
        <v>74</v>
      </c>
      <c r="C125" s="23" t="e">
        <f ca="1">INDEX(INDIRECT(_xlfn.CONCAT(INDIRECT("tblScalesMeasures_Selected[Table]"),"[","ProductId","]")),MATCH(tblProductScalesMeasures[[#This Row],[ID]],INDIRECT(_xlfn.CONCAT(INDIRECT("tblScalesMeasures_Selected[Table]"),"[","ID","]")),0))</f>
        <v>#N/A</v>
      </c>
      <c r="D125" s="30" t="e">
        <f ca="1">INDEX(INDIRECT(_xlfn.CONCAT(INDIRECT("tblScalesMeasures_Selected[Table]"),"[","OutputId","]")),MATCH(tblProductScalesMeasures[[#This Row],[ID]],INDIRECT(_xlfn.CONCAT(INDIRECT("tblScalesMeasures_Selected[Table]"),"[","ID","]")),0))</f>
        <v>#N/A</v>
      </c>
      <c r="E125" s="76" t="e">
        <f ca="1">INDEX(INDIRECT(_xlfn.CONCAT(INDIRECT("tblScalesMeasures_Selected[Table]"),"[","Alias","]")),MATCH(tblProductScalesMeasures[[#This Row],[ID]],INDIRECT(_xlfn.CONCAT(INDIRECT("tblScalesMeasures_Selected[Table]"),"[","ID","]")),0))</f>
        <v>#N/A</v>
      </c>
      <c r="F125" s="76" t="e">
        <f ca="1">INDEX(INDIRECT(_xlfn.CONCAT(INDIRECT("tblScalesMeasures_Selected[Table]"),"[","Parameter","]")),MATCH(tblProductScalesMeasures[[#This Row],[ID]],INDIRECT(_xlfn.CONCAT(INDIRECT("tblScalesMeasures_Selected[Table]"),"[","ID","]")),0))</f>
        <v>#N/A</v>
      </c>
      <c r="G125" s="76" t="e">
        <f ca="1">INDEX(INDIRECT(_xlfn.CONCAT(INDIRECT("tblScalesMeasures_Selected[Table]"),"[","Unit","]")),MATCH(tblProductScalesMeasures[[#This Row],[ID]],INDIRECT(_xlfn.CONCAT(INDIRECT("tblScalesMeasures_Selected[Table]"),"[","ID","]")),0))</f>
        <v>#N/A</v>
      </c>
      <c r="H125" s="77" t="e">
        <f ca="1">INDEX(INDIRECT(_xlfn.CONCAT(INDIRECT("tblScalesMeasures_Selected[Table]"),"[","Description","]")),MATCH(tblProductScalesMeasures[[#This Row],[ID]],INDIRECT(_xlfn.CONCAT(INDIRECT("tblScalesMeasures_Selected[Table]"),"[","ID","]")),0))</f>
        <v>#N/A</v>
      </c>
      <c r="I125" s="76" t="e">
        <f ca="1">INDEX(INDIRECT(_xlfn.CONCAT(INDIRECT("tblScalesMeasures_Selected[Table]"),"[","Min","]")),MATCH(tblProductScalesMeasures[[#This Row],[ID]],INDIRECT(_xlfn.CONCAT(INDIRECT("tblScalesMeasures_Selected[Table]"),"[","ID","]")),0))</f>
        <v>#N/A</v>
      </c>
      <c r="J125" s="76" t="e">
        <f ca="1">INDEX(INDIRECT(_xlfn.CONCAT(INDIRECT("tblScalesMeasures_Selected[Table]"),"[","Max","]")),MATCH(tblProductScalesMeasures[[#This Row],[ID]],INDIRECT(_xlfn.CONCAT(INDIRECT("tblScalesMeasures_Selected[Table]"),"[","ID","]")),0))</f>
        <v>#N/A</v>
      </c>
      <c r="K125" s="76" t="e">
        <f ca="1">INDEX(INDIRECT(_xlfn.CONCAT(INDIRECT("tblScalesMeasures_Selected[Table]"),"[","Nominal","]")),MATCH(tblProductScalesMeasures[[#This Row],[ID]],INDIRECT(_xlfn.CONCAT(INDIRECT("tblScalesMeasures_Selected[Table]"),"[","ID","]")),0))</f>
        <v>#N/A</v>
      </c>
      <c r="L125" s="76" t="e">
        <f ca="1">INDEX(INDIRECT(_xlfn.CONCAT(INDIRECT("tblScalesMeasures_Selected[Table]"),"[","Value","]")),MATCH(tblProductScalesMeasures[[#This Row],[ID]],INDIRECT(_xlfn.CONCAT(INDIRECT("tblScalesMeasures_Selected[Table]"),"[","ID","]")),0))</f>
        <v>#N/A</v>
      </c>
      <c r="S125" s="339"/>
      <c r="T125" s="184"/>
      <c r="U125" s="339"/>
      <c r="V125" s="175"/>
      <c r="Y125" s="76"/>
      <c r="AC125" s="175"/>
    </row>
    <row r="126" spans="2:29" s="43" customFormat="1">
      <c r="B126" s="23">
        <v>75</v>
      </c>
      <c r="C126" s="23" t="e">
        <f ca="1">INDEX(INDIRECT(_xlfn.CONCAT(INDIRECT("tblScalesMeasures_Selected[Table]"),"[","ProductId","]")),MATCH(tblProductScalesMeasures[[#This Row],[ID]],INDIRECT(_xlfn.CONCAT(INDIRECT("tblScalesMeasures_Selected[Table]"),"[","ID","]")),0))</f>
        <v>#N/A</v>
      </c>
      <c r="D126" s="30" t="e">
        <f ca="1">INDEX(INDIRECT(_xlfn.CONCAT(INDIRECT("tblScalesMeasures_Selected[Table]"),"[","OutputId","]")),MATCH(tblProductScalesMeasures[[#This Row],[ID]],INDIRECT(_xlfn.CONCAT(INDIRECT("tblScalesMeasures_Selected[Table]"),"[","ID","]")),0))</f>
        <v>#N/A</v>
      </c>
      <c r="E126" s="76" t="e">
        <f ca="1">INDEX(INDIRECT(_xlfn.CONCAT(INDIRECT("tblScalesMeasures_Selected[Table]"),"[","Alias","]")),MATCH(tblProductScalesMeasures[[#This Row],[ID]],INDIRECT(_xlfn.CONCAT(INDIRECT("tblScalesMeasures_Selected[Table]"),"[","ID","]")),0))</f>
        <v>#N/A</v>
      </c>
      <c r="F126" s="76" t="e">
        <f ca="1">INDEX(INDIRECT(_xlfn.CONCAT(INDIRECT("tblScalesMeasures_Selected[Table]"),"[","Parameter","]")),MATCH(tblProductScalesMeasures[[#This Row],[ID]],INDIRECT(_xlfn.CONCAT(INDIRECT("tblScalesMeasures_Selected[Table]"),"[","ID","]")),0))</f>
        <v>#N/A</v>
      </c>
      <c r="G126" s="76" t="e">
        <f ca="1">INDEX(INDIRECT(_xlfn.CONCAT(INDIRECT("tblScalesMeasures_Selected[Table]"),"[","Unit","]")),MATCH(tblProductScalesMeasures[[#This Row],[ID]],INDIRECT(_xlfn.CONCAT(INDIRECT("tblScalesMeasures_Selected[Table]"),"[","ID","]")),0))</f>
        <v>#N/A</v>
      </c>
      <c r="H126" s="77" t="e">
        <f ca="1">INDEX(INDIRECT(_xlfn.CONCAT(INDIRECT("tblScalesMeasures_Selected[Table]"),"[","Description","]")),MATCH(tblProductScalesMeasures[[#This Row],[ID]],INDIRECT(_xlfn.CONCAT(INDIRECT("tblScalesMeasures_Selected[Table]"),"[","ID","]")),0))</f>
        <v>#N/A</v>
      </c>
      <c r="I126" s="76" t="e">
        <f ca="1">INDEX(INDIRECT(_xlfn.CONCAT(INDIRECT("tblScalesMeasures_Selected[Table]"),"[","Min","]")),MATCH(tblProductScalesMeasures[[#This Row],[ID]],INDIRECT(_xlfn.CONCAT(INDIRECT("tblScalesMeasures_Selected[Table]"),"[","ID","]")),0))</f>
        <v>#N/A</v>
      </c>
      <c r="J126" s="76" t="e">
        <f ca="1">INDEX(INDIRECT(_xlfn.CONCAT(INDIRECT("tblScalesMeasures_Selected[Table]"),"[","Max","]")),MATCH(tblProductScalesMeasures[[#This Row],[ID]],INDIRECT(_xlfn.CONCAT(INDIRECT("tblScalesMeasures_Selected[Table]"),"[","ID","]")),0))</f>
        <v>#N/A</v>
      </c>
      <c r="K126" s="76" t="e">
        <f ca="1">INDEX(INDIRECT(_xlfn.CONCAT(INDIRECT("tblScalesMeasures_Selected[Table]"),"[","Nominal","]")),MATCH(tblProductScalesMeasures[[#This Row],[ID]],INDIRECT(_xlfn.CONCAT(INDIRECT("tblScalesMeasures_Selected[Table]"),"[","ID","]")),0))</f>
        <v>#N/A</v>
      </c>
      <c r="L126" s="76" t="e">
        <f ca="1">INDEX(INDIRECT(_xlfn.CONCAT(INDIRECT("tblScalesMeasures_Selected[Table]"),"[","Value","]")),MATCH(tblProductScalesMeasures[[#This Row],[ID]],INDIRECT(_xlfn.CONCAT(INDIRECT("tblScalesMeasures_Selected[Table]"),"[","ID","]")),0))</f>
        <v>#N/A</v>
      </c>
      <c r="S126" s="339"/>
      <c r="T126" s="184"/>
      <c r="U126" s="339"/>
      <c r="V126" s="175"/>
      <c r="Y126" s="76"/>
      <c r="AC126" s="175"/>
    </row>
    <row r="127" spans="2:29" s="43" customFormat="1">
      <c r="B127" s="23">
        <v>76</v>
      </c>
      <c r="C127" s="23" t="e">
        <f ca="1">INDEX(INDIRECT(_xlfn.CONCAT(INDIRECT("tblScalesMeasures_Selected[Table]"),"[","ProductId","]")),MATCH(tblProductScalesMeasures[[#This Row],[ID]],INDIRECT(_xlfn.CONCAT(INDIRECT("tblScalesMeasures_Selected[Table]"),"[","ID","]")),0))</f>
        <v>#N/A</v>
      </c>
      <c r="D127" s="30" t="e">
        <f ca="1">INDEX(INDIRECT(_xlfn.CONCAT(INDIRECT("tblScalesMeasures_Selected[Table]"),"[","OutputId","]")),MATCH(tblProductScalesMeasures[[#This Row],[ID]],INDIRECT(_xlfn.CONCAT(INDIRECT("tblScalesMeasures_Selected[Table]"),"[","ID","]")),0))</f>
        <v>#N/A</v>
      </c>
      <c r="E127" s="76" t="e">
        <f ca="1">INDEX(INDIRECT(_xlfn.CONCAT(INDIRECT("tblScalesMeasures_Selected[Table]"),"[","Alias","]")),MATCH(tblProductScalesMeasures[[#This Row],[ID]],INDIRECT(_xlfn.CONCAT(INDIRECT("tblScalesMeasures_Selected[Table]"),"[","ID","]")),0))</f>
        <v>#N/A</v>
      </c>
      <c r="F127" s="76" t="e">
        <f ca="1">INDEX(INDIRECT(_xlfn.CONCAT(INDIRECT("tblScalesMeasures_Selected[Table]"),"[","Parameter","]")),MATCH(tblProductScalesMeasures[[#This Row],[ID]],INDIRECT(_xlfn.CONCAT(INDIRECT("tblScalesMeasures_Selected[Table]"),"[","ID","]")),0))</f>
        <v>#N/A</v>
      </c>
      <c r="G127" s="76" t="e">
        <f ca="1">INDEX(INDIRECT(_xlfn.CONCAT(INDIRECT("tblScalesMeasures_Selected[Table]"),"[","Unit","]")),MATCH(tblProductScalesMeasures[[#This Row],[ID]],INDIRECT(_xlfn.CONCAT(INDIRECT("tblScalesMeasures_Selected[Table]"),"[","ID","]")),0))</f>
        <v>#N/A</v>
      </c>
      <c r="H127" s="77" t="e">
        <f ca="1">INDEX(INDIRECT(_xlfn.CONCAT(INDIRECT("tblScalesMeasures_Selected[Table]"),"[","Description","]")),MATCH(tblProductScalesMeasures[[#This Row],[ID]],INDIRECT(_xlfn.CONCAT(INDIRECT("tblScalesMeasures_Selected[Table]"),"[","ID","]")),0))</f>
        <v>#N/A</v>
      </c>
      <c r="I127" s="76" t="e">
        <f ca="1">INDEX(INDIRECT(_xlfn.CONCAT(INDIRECT("tblScalesMeasures_Selected[Table]"),"[","Min","]")),MATCH(tblProductScalesMeasures[[#This Row],[ID]],INDIRECT(_xlfn.CONCAT(INDIRECT("tblScalesMeasures_Selected[Table]"),"[","ID","]")),0))</f>
        <v>#N/A</v>
      </c>
      <c r="J127" s="76" t="e">
        <f ca="1">INDEX(INDIRECT(_xlfn.CONCAT(INDIRECT("tblScalesMeasures_Selected[Table]"),"[","Max","]")),MATCH(tblProductScalesMeasures[[#This Row],[ID]],INDIRECT(_xlfn.CONCAT(INDIRECT("tblScalesMeasures_Selected[Table]"),"[","ID","]")),0))</f>
        <v>#N/A</v>
      </c>
      <c r="K127" s="76" t="e">
        <f ca="1">INDEX(INDIRECT(_xlfn.CONCAT(INDIRECT("tblScalesMeasures_Selected[Table]"),"[","Nominal","]")),MATCH(tblProductScalesMeasures[[#This Row],[ID]],INDIRECT(_xlfn.CONCAT(INDIRECT("tblScalesMeasures_Selected[Table]"),"[","ID","]")),0))</f>
        <v>#N/A</v>
      </c>
      <c r="L127" s="76" t="e">
        <f ca="1">INDEX(INDIRECT(_xlfn.CONCAT(INDIRECT("tblScalesMeasures_Selected[Table]"),"[","Value","]")),MATCH(tblProductScalesMeasures[[#This Row],[ID]],INDIRECT(_xlfn.CONCAT(INDIRECT("tblScalesMeasures_Selected[Table]"),"[","ID","]")),0))</f>
        <v>#N/A</v>
      </c>
      <c r="S127" s="339"/>
      <c r="T127" s="184"/>
      <c r="U127" s="339"/>
      <c r="V127" s="175"/>
      <c r="Y127" s="76"/>
      <c r="AC127" s="175"/>
    </row>
    <row r="128" spans="2:29" s="43" customFormat="1">
      <c r="B128" s="23">
        <v>77</v>
      </c>
      <c r="C128" s="23" t="e">
        <f ca="1">INDEX(INDIRECT(_xlfn.CONCAT(INDIRECT("tblScalesMeasures_Selected[Table]"),"[","ProductId","]")),MATCH(tblProductScalesMeasures[[#This Row],[ID]],INDIRECT(_xlfn.CONCAT(INDIRECT("tblScalesMeasures_Selected[Table]"),"[","ID","]")),0))</f>
        <v>#N/A</v>
      </c>
      <c r="D128" s="30" t="e">
        <f ca="1">INDEX(INDIRECT(_xlfn.CONCAT(INDIRECT("tblScalesMeasures_Selected[Table]"),"[","OutputId","]")),MATCH(tblProductScalesMeasures[[#This Row],[ID]],INDIRECT(_xlfn.CONCAT(INDIRECT("tblScalesMeasures_Selected[Table]"),"[","ID","]")),0))</f>
        <v>#N/A</v>
      </c>
      <c r="E128" s="76" t="e">
        <f ca="1">INDEX(INDIRECT(_xlfn.CONCAT(INDIRECT("tblScalesMeasures_Selected[Table]"),"[","Alias","]")),MATCH(tblProductScalesMeasures[[#This Row],[ID]],INDIRECT(_xlfn.CONCAT(INDIRECT("tblScalesMeasures_Selected[Table]"),"[","ID","]")),0))</f>
        <v>#N/A</v>
      </c>
      <c r="F128" s="76" t="e">
        <f ca="1">INDEX(INDIRECT(_xlfn.CONCAT(INDIRECT("tblScalesMeasures_Selected[Table]"),"[","Parameter","]")),MATCH(tblProductScalesMeasures[[#This Row],[ID]],INDIRECT(_xlfn.CONCAT(INDIRECT("tblScalesMeasures_Selected[Table]"),"[","ID","]")),0))</f>
        <v>#N/A</v>
      </c>
      <c r="G128" s="76" t="e">
        <f ca="1">INDEX(INDIRECT(_xlfn.CONCAT(INDIRECT("tblScalesMeasures_Selected[Table]"),"[","Unit","]")),MATCH(tblProductScalesMeasures[[#This Row],[ID]],INDIRECT(_xlfn.CONCAT(INDIRECT("tblScalesMeasures_Selected[Table]"),"[","ID","]")),0))</f>
        <v>#N/A</v>
      </c>
      <c r="H128" s="77" t="e">
        <f ca="1">INDEX(INDIRECT(_xlfn.CONCAT(INDIRECT("tblScalesMeasures_Selected[Table]"),"[","Description","]")),MATCH(tblProductScalesMeasures[[#This Row],[ID]],INDIRECT(_xlfn.CONCAT(INDIRECT("tblScalesMeasures_Selected[Table]"),"[","ID","]")),0))</f>
        <v>#N/A</v>
      </c>
      <c r="I128" s="76" t="e">
        <f ca="1">INDEX(INDIRECT(_xlfn.CONCAT(INDIRECT("tblScalesMeasures_Selected[Table]"),"[","Min","]")),MATCH(tblProductScalesMeasures[[#This Row],[ID]],INDIRECT(_xlfn.CONCAT(INDIRECT("tblScalesMeasures_Selected[Table]"),"[","ID","]")),0))</f>
        <v>#N/A</v>
      </c>
      <c r="J128" s="76" t="e">
        <f ca="1">INDEX(INDIRECT(_xlfn.CONCAT(INDIRECT("tblScalesMeasures_Selected[Table]"),"[","Max","]")),MATCH(tblProductScalesMeasures[[#This Row],[ID]],INDIRECT(_xlfn.CONCAT(INDIRECT("tblScalesMeasures_Selected[Table]"),"[","ID","]")),0))</f>
        <v>#N/A</v>
      </c>
      <c r="K128" s="76" t="e">
        <f ca="1">INDEX(INDIRECT(_xlfn.CONCAT(INDIRECT("tblScalesMeasures_Selected[Table]"),"[","Nominal","]")),MATCH(tblProductScalesMeasures[[#This Row],[ID]],INDIRECT(_xlfn.CONCAT(INDIRECT("tblScalesMeasures_Selected[Table]"),"[","ID","]")),0))</f>
        <v>#N/A</v>
      </c>
      <c r="L128" s="76" t="e">
        <f ca="1">INDEX(INDIRECT(_xlfn.CONCAT(INDIRECT("tblScalesMeasures_Selected[Table]"),"[","Value","]")),MATCH(tblProductScalesMeasures[[#This Row],[ID]],INDIRECT(_xlfn.CONCAT(INDIRECT("tblScalesMeasures_Selected[Table]"),"[","ID","]")),0))</f>
        <v>#N/A</v>
      </c>
      <c r="S128" s="339"/>
      <c r="T128" s="184"/>
      <c r="U128" s="339"/>
      <c r="V128" s="175"/>
      <c r="Y128" s="76"/>
      <c r="AC128" s="175"/>
    </row>
    <row r="129" spans="2:29" s="43" customFormat="1">
      <c r="B129" s="23">
        <v>78</v>
      </c>
      <c r="C129" s="23" t="e">
        <f ca="1">INDEX(INDIRECT(_xlfn.CONCAT(INDIRECT("tblScalesMeasures_Selected[Table]"),"[","ProductId","]")),MATCH(tblProductScalesMeasures[[#This Row],[ID]],INDIRECT(_xlfn.CONCAT(INDIRECT("tblScalesMeasures_Selected[Table]"),"[","ID","]")),0))</f>
        <v>#N/A</v>
      </c>
      <c r="D129" s="30" t="e">
        <f ca="1">INDEX(INDIRECT(_xlfn.CONCAT(INDIRECT("tblScalesMeasures_Selected[Table]"),"[","OutputId","]")),MATCH(tblProductScalesMeasures[[#This Row],[ID]],INDIRECT(_xlfn.CONCAT(INDIRECT("tblScalesMeasures_Selected[Table]"),"[","ID","]")),0))</f>
        <v>#N/A</v>
      </c>
      <c r="E129" s="76" t="e">
        <f ca="1">INDEX(INDIRECT(_xlfn.CONCAT(INDIRECT("tblScalesMeasures_Selected[Table]"),"[","Alias","]")),MATCH(tblProductScalesMeasures[[#This Row],[ID]],INDIRECT(_xlfn.CONCAT(INDIRECT("tblScalesMeasures_Selected[Table]"),"[","ID","]")),0))</f>
        <v>#N/A</v>
      </c>
      <c r="F129" s="76" t="e">
        <f ca="1">INDEX(INDIRECT(_xlfn.CONCAT(INDIRECT("tblScalesMeasures_Selected[Table]"),"[","Parameter","]")),MATCH(tblProductScalesMeasures[[#This Row],[ID]],INDIRECT(_xlfn.CONCAT(INDIRECT("tblScalesMeasures_Selected[Table]"),"[","ID","]")),0))</f>
        <v>#N/A</v>
      </c>
      <c r="G129" s="76" t="e">
        <f ca="1">INDEX(INDIRECT(_xlfn.CONCAT(INDIRECT("tblScalesMeasures_Selected[Table]"),"[","Unit","]")),MATCH(tblProductScalesMeasures[[#This Row],[ID]],INDIRECT(_xlfn.CONCAT(INDIRECT("tblScalesMeasures_Selected[Table]"),"[","ID","]")),0))</f>
        <v>#N/A</v>
      </c>
      <c r="H129" s="77" t="e">
        <f ca="1">INDEX(INDIRECT(_xlfn.CONCAT(INDIRECT("tblScalesMeasures_Selected[Table]"),"[","Description","]")),MATCH(tblProductScalesMeasures[[#This Row],[ID]],INDIRECT(_xlfn.CONCAT(INDIRECT("tblScalesMeasures_Selected[Table]"),"[","ID","]")),0))</f>
        <v>#N/A</v>
      </c>
      <c r="I129" s="76" t="e">
        <f ca="1">INDEX(INDIRECT(_xlfn.CONCAT(INDIRECT("tblScalesMeasures_Selected[Table]"),"[","Min","]")),MATCH(tblProductScalesMeasures[[#This Row],[ID]],INDIRECT(_xlfn.CONCAT(INDIRECT("tblScalesMeasures_Selected[Table]"),"[","ID","]")),0))</f>
        <v>#N/A</v>
      </c>
      <c r="J129" s="76" t="e">
        <f ca="1">INDEX(INDIRECT(_xlfn.CONCAT(INDIRECT("tblScalesMeasures_Selected[Table]"),"[","Max","]")),MATCH(tblProductScalesMeasures[[#This Row],[ID]],INDIRECT(_xlfn.CONCAT(INDIRECT("tblScalesMeasures_Selected[Table]"),"[","ID","]")),0))</f>
        <v>#N/A</v>
      </c>
      <c r="K129" s="76" t="e">
        <f ca="1">INDEX(INDIRECT(_xlfn.CONCAT(INDIRECT("tblScalesMeasures_Selected[Table]"),"[","Nominal","]")),MATCH(tblProductScalesMeasures[[#This Row],[ID]],INDIRECT(_xlfn.CONCAT(INDIRECT("tblScalesMeasures_Selected[Table]"),"[","ID","]")),0))</f>
        <v>#N/A</v>
      </c>
      <c r="L129" s="76" t="e">
        <f ca="1">INDEX(INDIRECT(_xlfn.CONCAT(INDIRECT("tblScalesMeasures_Selected[Table]"),"[","Value","]")),MATCH(tblProductScalesMeasures[[#This Row],[ID]],INDIRECT(_xlfn.CONCAT(INDIRECT("tblScalesMeasures_Selected[Table]"),"[","ID","]")),0))</f>
        <v>#N/A</v>
      </c>
      <c r="S129" s="339"/>
      <c r="T129" s="184"/>
      <c r="U129" s="339"/>
      <c r="V129" s="175"/>
      <c r="Y129" s="76"/>
      <c r="AC129" s="175"/>
    </row>
    <row r="130" spans="2:29" s="43" customFormat="1">
      <c r="B130" s="182">
        <v>79</v>
      </c>
      <c r="C130" s="23" t="e">
        <f ca="1">INDEX(INDIRECT(_xlfn.CONCAT(INDIRECT("tblScalesMeasures_Selected[Table]"),"[","ProductId","]")),MATCH(tblProductScalesMeasures[[#This Row],[ID]],INDIRECT(_xlfn.CONCAT(INDIRECT("tblScalesMeasures_Selected[Table]"),"[","ID","]")),0))</f>
        <v>#N/A</v>
      </c>
      <c r="D130" s="30" t="e">
        <f ca="1">INDEX(INDIRECT(_xlfn.CONCAT(INDIRECT("tblScalesMeasures_Selected[Table]"),"[","OutputId","]")),MATCH(tblProductScalesMeasures[[#This Row],[ID]],INDIRECT(_xlfn.CONCAT(INDIRECT("tblScalesMeasures_Selected[Table]"),"[","ID","]")),0))</f>
        <v>#N/A</v>
      </c>
      <c r="E130" s="76" t="e">
        <f ca="1">INDEX(INDIRECT(_xlfn.CONCAT(INDIRECT("tblScalesMeasures_Selected[Table]"),"[","Alias","]")),MATCH(tblProductScalesMeasures[[#This Row],[ID]],INDIRECT(_xlfn.CONCAT(INDIRECT("tblScalesMeasures_Selected[Table]"),"[","ID","]")),0))</f>
        <v>#N/A</v>
      </c>
      <c r="F130" s="76" t="e">
        <f ca="1">INDEX(INDIRECT(_xlfn.CONCAT(INDIRECT("tblScalesMeasures_Selected[Table]"),"[","Parameter","]")),MATCH(tblProductScalesMeasures[[#This Row],[ID]],INDIRECT(_xlfn.CONCAT(INDIRECT("tblScalesMeasures_Selected[Table]"),"[","ID","]")),0))</f>
        <v>#N/A</v>
      </c>
      <c r="G130" s="76" t="e">
        <f ca="1">INDEX(INDIRECT(_xlfn.CONCAT(INDIRECT("tblScalesMeasures_Selected[Table]"),"[","Unit","]")),MATCH(tblProductScalesMeasures[[#This Row],[ID]],INDIRECT(_xlfn.CONCAT(INDIRECT("tblScalesMeasures_Selected[Table]"),"[","ID","]")),0))</f>
        <v>#N/A</v>
      </c>
      <c r="H130" s="77" t="e">
        <f ca="1">INDEX(INDIRECT(_xlfn.CONCAT(INDIRECT("tblScalesMeasures_Selected[Table]"),"[","Description","]")),MATCH(tblProductScalesMeasures[[#This Row],[ID]],INDIRECT(_xlfn.CONCAT(INDIRECT("tblScalesMeasures_Selected[Table]"),"[","ID","]")),0))</f>
        <v>#N/A</v>
      </c>
      <c r="I130" s="76" t="e">
        <f ca="1">INDEX(INDIRECT(_xlfn.CONCAT(INDIRECT("tblScalesMeasures_Selected[Table]"),"[","Min","]")),MATCH(tblProductScalesMeasures[[#This Row],[ID]],INDIRECT(_xlfn.CONCAT(INDIRECT("tblScalesMeasures_Selected[Table]"),"[","ID","]")),0))</f>
        <v>#N/A</v>
      </c>
      <c r="J130" s="76" t="e">
        <f ca="1">INDEX(INDIRECT(_xlfn.CONCAT(INDIRECT("tblScalesMeasures_Selected[Table]"),"[","Max","]")),MATCH(tblProductScalesMeasures[[#This Row],[ID]],INDIRECT(_xlfn.CONCAT(INDIRECT("tblScalesMeasures_Selected[Table]"),"[","ID","]")),0))</f>
        <v>#N/A</v>
      </c>
      <c r="K130" s="76" t="e">
        <f ca="1">INDEX(INDIRECT(_xlfn.CONCAT(INDIRECT("tblScalesMeasures_Selected[Table]"),"[","Nominal","]")),MATCH(tblProductScalesMeasures[[#This Row],[ID]],INDIRECT(_xlfn.CONCAT(INDIRECT("tblScalesMeasures_Selected[Table]"),"[","ID","]")),0))</f>
        <v>#N/A</v>
      </c>
      <c r="L130" s="76" t="e">
        <f ca="1">INDEX(INDIRECT(_xlfn.CONCAT(INDIRECT("tblScalesMeasures_Selected[Table]"),"[","Value","]")),MATCH(tblProductScalesMeasures[[#This Row],[ID]],INDIRECT(_xlfn.CONCAT(INDIRECT("tblScalesMeasures_Selected[Table]"),"[","ID","]")),0))</f>
        <v>#N/A</v>
      </c>
      <c r="S130" s="339"/>
      <c r="T130" s="184"/>
      <c r="U130" s="339"/>
      <c r="V130" s="175"/>
      <c r="W130" s="175"/>
      <c r="X130" s="175"/>
      <c r="Y130" s="76"/>
      <c r="Z130" s="175"/>
      <c r="AA130" s="175"/>
      <c r="AB130" s="175"/>
      <c r="AC130" s="175"/>
    </row>
    <row r="131" spans="2:29" s="43" customFormat="1">
      <c r="B131" s="182">
        <v>80</v>
      </c>
      <c r="C131" s="23" t="e">
        <f ca="1">INDEX(INDIRECT(_xlfn.CONCAT(INDIRECT("tblScalesMeasures_Selected[Table]"),"[","ProductId","]")),MATCH(tblProductScalesMeasures[[#This Row],[ID]],INDIRECT(_xlfn.CONCAT(INDIRECT("tblScalesMeasures_Selected[Table]"),"[","ID","]")),0))</f>
        <v>#N/A</v>
      </c>
      <c r="D131" s="30" t="e">
        <f ca="1">INDEX(INDIRECT(_xlfn.CONCAT(INDIRECT("tblScalesMeasures_Selected[Table]"),"[","OutputId","]")),MATCH(tblProductScalesMeasures[[#This Row],[ID]],INDIRECT(_xlfn.CONCAT(INDIRECT("tblScalesMeasures_Selected[Table]"),"[","ID","]")),0))</f>
        <v>#N/A</v>
      </c>
      <c r="E131" s="76" t="e">
        <f ca="1">INDEX(INDIRECT(_xlfn.CONCAT(INDIRECT("tblScalesMeasures_Selected[Table]"),"[","Alias","]")),MATCH(tblProductScalesMeasures[[#This Row],[ID]],INDIRECT(_xlfn.CONCAT(INDIRECT("tblScalesMeasures_Selected[Table]"),"[","ID","]")),0))</f>
        <v>#N/A</v>
      </c>
      <c r="F131" s="76" t="e">
        <f ca="1">INDEX(INDIRECT(_xlfn.CONCAT(INDIRECT("tblScalesMeasures_Selected[Table]"),"[","Parameter","]")),MATCH(tblProductScalesMeasures[[#This Row],[ID]],INDIRECT(_xlfn.CONCAT(INDIRECT("tblScalesMeasures_Selected[Table]"),"[","ID","]")),0))</f>
        <v>#N/A</v>
      </c>
      <c r="G131" s="76" t="e">
        <f ca="1">INDEX(INDIRECT(_xlfn.CONCAT(INDIRECT("tblScalesMeasures_Selected[Table]"),"[","Unit","]")),MATCH(tblProductScalesMeasures[[#This Row],[ID]],INDIRECT(_xlfn.CONCAT(INDIRECT("tblScalesMeasures_Selected[Table]"),"[","ID","]")),0))</f>
        <v>#N/A</v>
      </c>
      <c r="H131" s="77" t="e">
        <f ca="1">INDEX(INDIRECT(_xlfn.CONCAT(INDIRECT("tblScalesMeasures_Selected[Table]"),"[","Description","]")),MATCH(tblProductScalesMeasures[[#This Row],[ID]],INDIRECT(_xlfn.CONCAT(INDIRECT("tblScalesMeasures_Selected[Table]"),"[","ID","]")),0))</f>
        <v>#N/A</v>
      </c>
      <c r="I131" s="76" t="e">
        <f ca="1">INDEX(INDIRECT(_xlfn.CONCAT(INDIRECT("tblScalesMeasures_Selected[Table]"),"[","Min","]")),MATCH(tblProductScalesMeasures[[#This Row],[ID]],INDIRECT(_xlfn.CONCAT(INDIRECT("tblScalesMeasures_Selected[Table]"),"[","ID","]")),0))</f>
        <v>#N/A</v>
      </c>
      <c r="J131" s="76" t="e">
        <f ca="1">INDEX(INDIRECT(_xlfn.CONCAT(INDIRECT("tblScalesMeasures_Selected[Table]"),"[","Max","]")),MATCH(tblProductScalesMeasures[[#This Row],[ID]],INDIRECT(_xlfn.CONCAT(INDIRECT("tblScalesMeasures_Selected[Table]"),"[","ID","]")),0))</f>
        <v>#N/A</v>
      </c>
      <c r="K131" s="76" t="e">
        <f ca="1">INDEX(INDIRECT(_xlfn.CONCAT(INDIRECT("tblScalesMeasures_Selected[Table]"),"[","Nominal","]")),MATCH(tblProductScalesMeasures[[#This Row],[ID]],INDIRECT(_xlfn.CONCAT(INDIRECT("tblScalesMeasures_Selected[Table]"),"[","ID","]")),0))</f>
        <v>#N/A</v>
      </c>
      <c r="L131" s="76" t="e">
        <f ca="1">INDEX(INDIRECT(_xlfn.CONCAT(INDIRECT("tblScalesMeasures_Selected[Table]"),"[","Value","]")),MATCH(tblProductScalesMeasures[[#This Row],[ID]],INDIRECT(_xlfn.CONCAT(INDIRECT("tblScalesMeasures_Selected[Table]"),"[","ID","]")),0))</f>
        <v>#N/A</v>
      </c>
      <c r="S131" s="339"/>
      <c r="T131" s="184"/>
      <c r="U131" s="339"/>
      <c r="V131" s="175"/>
      <c r="W131" s="175"/>
      <c r="X131" s="175"/>
      <c r="Y131" s="76"/>
      <c r="Z131" s="175"/>
      <c r="AA131" s="175"/>
      <c r="AB131" s="175"/>
      <c r="AC131" s="175"/>
    </row>
    <row r="132" spans="2:29" s="43" customFormat="1">
      <c r="B132" s="23"/>
      <c r="C132" s="23"/>
      <c r="D132" s="23"/>
      <c r="L132" s="175"/>
      <c r="S132" s="187"/>
      <c r="T132" s="184"/>
      <c r="U132" s="187"/>
      <c r="V132" s="175"/>
      <c r="W132" s="175"/>
      <c r="X132" s="175"/>
      <c r="Y132" s="76"/>
      <c r="Z132" s="175"/>
      <c r="AA132" s="175"/>
      <c r="AB132" s="175"/>
      <c r="AC132" s="175"/>
    </row>
    <row r="133" spans="2:29" s="43" customFormat="1">
      <c r="B133" s="23"/>
      <c r="C133" s="23"/>
      <c r="D133" s="23"/>
      <c r="L133" s="175"/>
      <c r="S133" s="187"/>
      <c r="T133" s="184"/>
      <c r="U133" s="187"/>
      <c r="V133" s="175"/>
      <c r="W133" s="175"/>
      <c r="X133" s="175"/>
      <c r="Y133" s="76"/>
      <c r="Z133" s="175"/>
      <c r="AA133" s="175"/>
      <c r="AB133" s="175"/>
      <c r="AC133" s="175"/>
    </row>
    <row r="134" spans="2:29" s="43" customFormat="1">
      <c r="B134" s="23"/>
      <c r="C134" s="23"/>
      <c r="D134" s="23"/>
      <c r="L134" s="175"/>
      <c r="S134" s="187"/>
      <c r="T134" s="184"/>
      <c r="U134" s="187"/>
      <c r="V134" s="175"/>
      <c r="W134" s="175"/>
      <c r="X134" s="175"/>
      <c r="Y134" s="76"/>
      <c r="Z134" s="175"/>
      <c r="AA134" s="175"/>
      <c r="AB134" s="175"/>
      <c r="AC134" s="175"/>
    </row>
    <row r="135" spans="2:29" s="43" customFormat="1">
      <c r="B135" s="23"/>
      <c r="C135" s="23"/>
      <c r="D135" s="23"/>
      <c r="L135" s="175"/>
      <c r="S135" s="187"/>
      <c r="T135" s="184"/>
      <c r="U135" s="187"/>
      <c r="V135" s="175"/>
      <c r="W135" s="175"/>
      <c r="X135" s="175"/>
      <c r="Y135" s="76"/>
      <c r="Z135" s="175"/>
      <c r="AA135" s="175"/>
      <c r="AB135" s="175"/>
      <c r="AC135" s="175"/>
    </row>
    <row r="136" spans="2:29" s="43" customFormat="1">
      <c r="B136" s="23"/>
      <c r="C136" s="23"/>
      <c r="D136" s="23"/>
      <c r="L136" s="175"/>
      <c r="S136" s="187"/>
      <c r="T136" s="184"/>
      <c r="U136" s="187"/>
      <c r="V136" s="175"/>
      <c r="W136" s="175"/>
      <c r="X136" s="175"/>
      <c r="Y136" s="76"/>
      <c r="Z136" s="175"/>
      <c r="AA136" s="175"/>
      <c r="AB136" s="175"/>
      <c r="AC136" s="175"/>
    </row>
    <row r="137" spans="2:29" s="43" customFormat="1">
      <c r="B137" s="23"/>
      <c r="C137" s="23"/>
      <c r="D137" s="23"/>
      <c r="L137" s="175"/>
      <c r="S137" s="187"/>
      <c r="T137" s="184"/>
      <c r="U137" s="187"/>
      <c r="V137" s="175"/>
      <c r="W137" s="175"/>
      <c r="X137" s="175"/>
      <c r="Y137" s="76"/>
      <c r="Z137" s="175"/>
      <c r="AA137" s="175"/>
      <c r="AB137" s="175"/>
      <c r="AC137" s="175"/>
    </row>
    <row r="138" spans="2:29">
      <c r="S138" s="187"/>
      <c r="T138" s="184"/>
      <c r="U138" s="187"/>
      <c r="V138" s="175"/>
      <c r="W138" s="175"/>
      <c r="X138" s="175"/>
      <c r="Y138" s="76"/>
      <c r="Z138" s="175"/>
      <c r="AA138" s="175"/>
      <c r="AB138" s="175"/>
    </row>
    <row r="139" spans="2:29">
      <c r="S139" s="187"/>
      <c r="T139" s="184"/>
      <c r="U139" s="187"/>
      <c r="V139" s="175"/>
      <c r="W139" s="175"/>
      <c r="X139" s="175"/>
      <c r="Y139" s="76"/>
      <c r="Z139" s="175"/>
      <c r="AA139" s="175"/>
      <c r="AB139" s="175"/>
    </row>
    <row r="140" spans="2:29">
      <c r="E140" s="43"/>
      <c r="F140" s="43"/>
      <c r="G140" s="43"/>
      <c r="H140" s="43"/>
      <c r="I140" s="43"/>
      <c r="J140" s="43"/>
      <c r="K140" s="43"/>
      <c r="M140" s="43"/>
      <c r="N140" s="43"/>
      <c r="O140" s="43"/>
      <c r="P140" s="43"/>
      <c r="Q140" s="43"/>
      <c r="R140" s="43"/>
      <c r="S140" s="187"/>
      <c r="T140" s="184"/>
      <c r="U140" s="187"/>
      <c r="V140" s="175"/>
      <c r="W140" s="175"/>
      <c r="X140" s="175"/>
      <c r="Y140" s="76"/>
      <c r="Z140" s="175"/>
      <c r="AA140" s="175"/>
      <c r="AB140" s="175"/>
    </row>
    <row r="141" spans="2:29">
      <c r="E141" s="43"/>
      <c r="F141" s="43"/>
      <c r="G141" s="43"/>
      <c r="H141" s="43"/>
      <c r="I141" s="43"/>
      <c r="J141" s="43"/>
      <c r="K141" s="43"/>
      <c r="M141" s="43"/>
      <c r="N141" s="43"/>
      <c r="O141" s="43"/>
      <c r="P141" s="43"/>
      <c r="Q141" s="43"/>
      <c r="R141" s="43"/>
      <c r="S141" s="187"/>
      <c r="T141" s="184"/>
      <c r="U141" s="187"/>
      <c r="V141" s="175"/>
      <c r="W141" s="175"/>
      <c r="X141" s="175"/>
      <c r="Y141" s="76"/>
      <c r="Z141" s="175"/>
      <c r="AA141" s="175"/>
      <c r="AB141" s="175"/>
    </row>
    <row r="142" spans="2:29">
      <c r="E142" s="43"/>
      <c r="F142" s="43"/>
      <c r="G142" s="43"/>
      <c r="H142" s="43"/>
      <c r="I142" s="43"/>
      <c r="J142" s="43"/>
      <c r="K142" s="43"/>
      <c r="M142" s="43"/>
      <c r="N142" s="43"/>
      <c r="O142" s="43"/>
      <c r="P142" s="43"/>
      <c r="Q142" s="43"/>
      <c r="R142" s="43"/>
      <c r="S142" s="187"/>
      <c r="T142" s="184"/>
      <c r="U142" s="187"/>
      <c r="V142" s="175"/>
      <c r="W142" s="175"/>
      <c r="X142" s="175"/>
      <c r="Y142" s="76"/>
      <c r="Z142" s="175"/>
      <c r="AA142" s="175"/>
      <c r="AB142" s="175"/>
    </row>
    <row r="143" spans="2:29">
      <c r="E143" s="43"/>
      <c r="F143" s="43"/>
      <c r="G143" s="43"/>
      <c r="H143" s="43"/>
      <c r="I143" s="43"/>
      <c r="J143" s="43"/>
      <c r="K143" s="43"/>
      <c r="M143" s="43"/>
      <c r="N143" s="43"/>
      <c r="O143" s="43"/>
      <c r="P143" s="43"/>
      <c r="Q143" s="43"/>
      <c r="R143" s="43"/>
    </row>
    <row r="144" spans="2:29">
      <c r="E144" s="43"/>
      <c r="F144" s="43"/>
      <c r="G144" s="43"/>
      <c r="H144" s="43"/>
      <c r="I144" s="43"/>
      <c r="J144" s="43"/>
      <c r="K144" s="43"/>
      <c r="M144" s="43"/>
      <c r="N144" s="43"/>
      <c r="O144" s="43"/>
      <c r="P144" s="43"/>
      <c r="Q144" s="43"/>
      <c r="R144" s="43"/>
    </row>
    <row r="145" spans="5:28">
      <c r="E145" s="43"/>
      <c r="F145" s="43"/>
      <c r="G145" s="43"/>
      <c r="H145" s="43"/>
      <c r="I145" s="43"/>
      <c r="J145" s="43"/>
      <c r="K145" s="43"/>
      <c r="M145" s="43"/>
      <c r="N145" s="43"/>
      <c r="O145" s="43"/>
      <c r="P145" s="43"/>
      <c r="Q145" s="43"/>
      <c r="R145" s="43"/>
    </row>
    <row r="146" spans="5:28">
      <c r="E146" s="43"/>
      <c r="F146" s="43"/>
      <c r="G146" s="43"/>
      <c r="H146" s="43"/>
      <c r="I146" s="43"/>
      <c r="J146" s="43"/>
      <c r="K146" s="43"/>
      <c r="M146" s="43"/>
      <c r="N146" s="43"/>
      <c r="O146" s="43"/>
      <c r="P146" s="43"/>
      <c r="Q146" s="43"/>
      <c r="R146" s="43"/>
    </row>
    <row r="147" spans="5:28">
      <c r="E147" s="43"/>
      <c r="F147" s="43"/>
      <c r="G147" s="43"/>
      <c r="H147" s="43"/>
      <c r="I147" s="43"/>
      <c r="J147" s="43"/>
      <c r="K147" s="43"/>
      <c r="M147" s="43"/>
      <c r="N147" s="43"/>
      <c r="O147" s="43"/>
      <c r="P147" s="43"/>
      <c r="Q147" s="43"/>
      <c r="R147" s="43"/>
      <c r="S147" s="43"/>
      <c r="T147" s="43"/>
      <c r="U147" s="43"/>
      <c r="V147" s="43"/>
      <c r="W147" s="43"/>
      <c r="X147" s="43"/>
      <c r="Y147" s="43"/>
      <c r="Z147" s="43"/>
      <c r="AA147" s="43"/>
      <c r="AB147" s="43"/>
    </row>
    <row r="148" spans="5:28">
      <c r="E148" s="43"/>
      <c r="F148" s="43"/>
      <c r="G148" s="43"/>
      <c r="H148" s="43"/>
      <c r="I148" s="43"/>
      <c r="J148" s="43"/>
      <c r="K148" s="43"/>
      <c r="M148" s="43"/>
      <c r="N148" s="43"/>
      <c r="O148" s="43"/>
      <c r="P148" s="43"/>
      <c r="Q148" s="43"/>
      <c r="R148" s="43"/>
      <c r="S148" s="43"/>
      <c r="T148" s="43"/>
      <c r="U148" s="43"/>
      <c r="V148" s="43"/>
      <c r="W148" s="43"/>
      <c r="X148" s="43"/>
      <c r="Y148" s="43"/>
      <c r="Z148" s="43"/>
      <c r="AA148" s="43"/>
      <c r="AB148" s="43"/>
    </row>
    <row r="149" spans="5:28">
      <c r="E149" s="43"/>
      <c r="F149" s="43"/>
      <c r="G149" s="43"/>
      <c r="H149" s="43"/>
      <c r="I149" s="43"/>
      <c r="J149" s="43"/>
      <c r="K149" s="43"/>
      <c r="M149" s="43"/>
      <c r="N149" s="43"/>
      <c r="O149" s="43"/>
      <c r="P149" s="43"/>
      <c r="Q149" s="43"/>
      <c r="R149" s="43"/>
      <c r="S149" s="43"/>
      <c r="T149" s="43"/>
      <c r="U149" s="43"/>
      <c r="V149" s="43"/>
      <c r="W149" s="43"/>
      <c r="X149" s="43"/>
      <c r="Y149" s="43"/>
      <c r="Z149" s="43"/>
      <c r="AA149" s="43"/>
      <c r="AB149" s="43"/>
    </row>
    <row r="150" spans="5:28">
      <c r="E150" s="43"/>
      <c r="F150" s="43"/>
      <c r="G150" s="43"/>
      <c r="H150" s="43"/>
      <c r="I150" s="43"/>
      <c r="J150" s="43"/>
      <c r="K150" s="43"/>
      <c r="M150" s="43"/>
      <c r="N150" s="43"/>
      <c r="O150" s="43"/>
      <c r="P150" s="43"/>
      <c r="Q150" s="43"/>
      <c r="R150" s="43"/>
      <c r="S150" s="43"/>
      <c r="T150" s="43"/>
      <c r="U150" s="43"/>
      <c r="V150" s="43"/>
      <c r="W150" s="43"/>
      <c r="X150" s="43"/>
      <c r="Y150" s="43"/>
      <c r="Z150" s="43"/>
      <c r="AA150" s="43"/>
      <c r="AB150" s="43"/>
    </row>
    <row r="151" spans="5:28">
      <c r="E151" s="43"/>
      <c r="F151" s="43"/>
      <c r="G151" s="43"/>
      <c r="H151" s="43"/>
      <c r="I151" s="43"/>
      <c r="J151" s="43"/>
      <c r="K151" s="43"/>
      <c r="M151" s="43"/>
      <c r="N151" s="43"/>
      <c r="O151" s="43"/>
      <c r="P151" s="43"/>
      <c r="Q151" s="43"/>
      <c r="R151" s="43"/>
      <c r="S151" s="43"/>
      <c r="T151" s="43"/>
      <c r="U151" s="43"/>
      <c r="V151" s="43"/>
      <c r="W151" s="43"/>
      <c r="X151" s="43"/>
      <c r="Y151" s="43"/>
      <c r="Z151" s="43"/>
      <c r="AA151" s="43"/>
      <c r="AB151" s="43"/>
    </row>
    <row r="152" spans="5:28">
      <c r="E152" s="43"/>
      <c r="F152" s="43"/>
      <c r="G152" s="43"/>
      <c r="H152" s="43"/>
      <c r="I152" s="43"/>
      <c r="J152" s="43"/>
      <c r="K152" s="43"/>
      <c r="M152" s="43"/>
      <c r="N152" s="43"/>
      <c r="O152" s="43"/>
      <c r="P152" s="43"/>
      <c r="Q152" s="43"/>
      <c r="R152" s="43"/>
      <c r="S152" s="43"/>
      <c r="T152" s="43"/>
      <c r="U152" s="43"/>
      <c r="V152" s="43"/>
      <c r="W152" s="43"/>
      <c r="X152" s="43"/>
      <c r="Y152" s="43"/>
      <c r="Z152" s="43"/>
      <c r="AA152" s="43"/>
      <c r="AB152" s="43"/>
    </row>
    <row r="153" spans="5:28">
      <c r="E153" s="43"/>
      <c r="F153" s="43"/>
      <c r="G153" s="43"/>
      <c r="H153" s="43"/>
      <c r="I153" s="43"/>
      <c r="J153" s="43"/>
      <c r="K153" s="43"/>
      <c r="M153" s="43"/>
      <c r="N153" s="43"/>
      <c r="O153" s="43"/>
      <c r="P153" s="43"/>
      <c r="Q153" s="43"/>
      <c r="R153" s="43"/>
      <c r="S153" s="43"/>
      <c r="T153" s="43"/>
      <c r="U153" s="43"/>
      <c r="V153" s="43"/>
      <c r="W153" s="43"/>
      <c r="X153" s="43"/>
      <c r="Y153" s="43"/>
      <c r="Z153" s="43"/>
      <c r="AA153" s="43"/>
      <c r="AB153" s="43"/>
    </row>
    <row r="154" spans="5:28">
      <c r="E154" s="43"/>
      <c r="F154" s="43"/>
      <c r="G154" s="43"/>
      <c r="H154" s="43"/>
      <c r="I154" s="43"/>
      <c r="J154" s="43"/>
      <c r="K154" s="43"/>
      <c r="M154" s="43"/>
      <c r="N154" s="43"/>
      <c r="O154" s="43"/>
      <c r="P154" s="43"/>
      <c r="Q154" s="43"/>
      <c r="R154" s="43"/>
      <c r="S154" s="43"/>
      <c r="T154" s="43"/>
      <c r="U154" s="43"/>
      <c r="V154" s="43"/>
      <c r="W154" s="43"/>
      <c r="X154" s="43"/>
      <c r="Y154" s="43"/>
      <c r="Z154" s="43"/>
      <c r="AA154" s="43"/>
      <c r="AB154" s="43"/>
    </row>
    <row r="155" spans="5:28">
      <c r="E155" s="43"/>
      <c r="F155" s="43"/>
      <c r="G155" s="43"/>
      <c r="H155" s="43"/>
      <c r="I155" s="43"/>
      <c r="J155" s="43"/>
      <c r="K155" s="43"/>
      <c r="M155" s="43"/>
      <c r="N155" s="43"/>
      <c r="O155" s="43"/>
      <c r="P155" s="43"/>
      <c r="Q155" s="43"/>
      <c r="R155" s="43"/>
      <c r="S155" s="43"/>
      <c r="T155" s="43"/>
      <c r="U155" s="43"/>
      <c r="V155" s="43"/>
      <c r="W155" s="43"/>
      <c r="X155" s="43"/>
      <c r="Y155" s="43"/>
      <c r="Z155" s="43"/>
      <c r="AA155" s="43"/>
      <c r="AB155" s="43"/>
    </row>
    <row r="156" spans="5:28">
      <c r="E156" s="43"/>
      <c r="F156" s="43"/>
      <c r="G156" s="43"/>
      <c r="H156" s="43"/>
      <c r="I156" s="43"/>
      <c r="J156" s="43"/>
      <c r="K156" s="43"/>
      <c r="M156" s="43"/>
      <c r="N156" s="43"/>
      <c r="O156" s="43"/>
      <c r="P156" s="43"/>
      <c r="Q156" s="43"/>
      <c r="R156" s="43"/>
      <c r="S156" s="43"/>
      <c r="T156" s="43"/>
      <c r="U156" s="43"/>
      <c r="V156" s="43"/>
      <c r="W156" s="43"/>
      <c r="X156" s="43"/>
      <c r="Y156" s="43"/>
      <c r="Z156" s="43"/>
      <c r="AA156" s="43"/>
      <c r="AB156" s="43"/>
    </row>
    <row r="157" spans="5:28">
      <c r="E157" s="43"/>
      <c r="F157" s="43"/>
      <c r="G157" s="43"/>
      <c r="H157" s="43"/>
      <c r="I157" s="43"/>
      <c r="J157" s="43"/>
      <c r="K157" s="43"/>
      <c r="M157" s="43"/>
      <c r="N157" s="43"/>
      <c r="O157" s="43"/>
      <c r="P157" s="43"/>
      <c r="Q157" s="43"/>
      <c r="R157" s="43"/>
      <c r="S157" s="43"/>
      <c r="T157" s="43"/>
      <c r="U157" s="43"/>
      <c r="V157" s="43"/>
      <c r="W157" s="43"/>
      <c r="X157" s="43"/>
      <c r="Y157" s="43"/>
      <c r="Z157" s="43"/>
      <c r="AA157" s="43"/>
      <c r="AB157" s="43"/>
    </row>
    <row r="158" spans="5:28">
      <c r="E158" s="43"/>
      <c r="F158" s="43"/>
      <c r="G158" s="43"/>
      <c r="H158" s="43"/>
      <c r="I158" s="43"/>
      <c r="J158" s="43"/>
      <c r="K158" s="43"/>
      <c r="M158" s="43"/>
      <c r="N158" s="43"/>
      <c r="O158" s="43"/>
      <c r="P158" s="43"/>
      <c r="Q158" s="43"/>
      <c r="R158" s="43"/>
      <c r="S158" s="175"/>
      <c r="T158" s="175"/>
      <c r="U158" s="175"/>
      <c r="V158" s="175"/>
      <c r="W158" s="175"/>
      <c r="X158" s="175"/>
      <c r="Y158" s="175"/>
      <c r="Z158" s="175"/>
      <c r="AA158" s="175"/>
      <c r="AB158" s="175"/>
    </row>
    <row r="159" spans="5:28">
      <c r="E159" s="43"/>
      <c r="F159" s="43"/>
      <c r="G159" s="43"/>
      <c r="H159" s="43"/>
      <c r="I159" s="43"/>
      <c r="J159" s="43"/>
      <c r="K159" s="43"/>
      <c r="M159" s="43"/>
      <c r="N159" s="43"/>
      <c r="O159" s="43"/>
      <c r="P159" s="43"/>
      <c r="Q159" s="43"/>
      <c r="R159" s="43"/>
      <c r="S159" s="175"/>
      <c r="T159" s="175"/>
      <c r="U159" s="175"/>
      <c r="V159" s="175"/>
      <c r="W159" s="175"/>
      <c r="X159" s="175"/>
      <c r="Y159" s="175"/>
      <c r="Z159" s="175"/>
      <c r="AA159" s="175"/>
      <c r="AB159" s="175"/>
    </row>
    <row r="160" spans="5:28">
      <c r="E160" s="43"/>
      <c r="F160" s="43"/>
      <c r="G160" s="43"/>
      <c r="H160" s="43"/>
      <c r="I160" s="43"/>
      <c r="J160" s="43"/>
      <c r="K160" s="43"/>
      <c r="M160" s="43"/>
      <c r="N160" s="43"/>
      <c r="O160" s="43"/>
      <c r="P160" s="43"/>
      <c r="Q160" s="43"/>
      <c r="R160" s="43"/>
      <c r="S160" s="175"/>
      <c r="T160" s="175"/>
      <c r="U160" s="175"/>
      <c r="V160" s="175"/>
      <c r="W160" s="175"/>
      <c r="X160" s="175"/>
      <c r="Y160" s="175"/>
      <c r="Z160" s="175"/>
      <c r="AA160" s="175"/>
      <c r="AB160" s="175"/>
    </row>
    <row r="161" spans="5:28">
      <c r="E161" s="43"/>
      <c r="F161" s="43"/>
      <c r="G161" s="43"/>
      <c r="H161" s="43"/>
      <c r="I161" s="43"/>
      <c r="J161" s="43"/>
      <c r="K161" s="43"/>
      <c r="M161" s="43"/>
      <c r="N161" s="43"/>
      <c r="O161" s="43"/>
      <c r="P161" s="43"/>
      <c r="Q161" s="43"/>
      <c r="R161" s="43"/>
      <c r="S161" s="175"/>
      <c r="T161" s="175"/>
      <c r="U161" s="175"/>
      <c r="V161" s="175"/>
      <c r="W161" s="175"/>
      <c r="X161" s="175"/>
      <c r="Y161" s="175"/>
      <c r="Z161" s="175"/>
      <c r="AA161" s="175"/>
      <c r="AB161" s="175"/>
    </row>
    <row r="162" spans="5:28">
      <c r="E162" s="43"/>
      <c r="F162" s="43"/>
      <c r="G162" s="43"/>
      <c r="H162" s="43"/>
      <c r="I162" s="43"/>
      <c r="J162" s="43"/>
      <c r="K162" s="43"/>
      <c r="M162" s="43"/>
      <c r="N162" s="43"/>
      <c r="O162" s="43"/>
      <c r="P162" s="43"/>
      <c r="Q162" s="43"/>
      <c r="R162" s="43"/>
      <c r="S162" s="175"/>
      <c r="T162" s="175"/>
      <c r="U162" s="175"/>
      <c r="V162" s="175"/>
      <c r="W162" s="175"/>
      <c r="X162" s="175"/>
      <c r="Y162" s="175"/>
      <c r="Z162" s="175"/>
      <c r="AA162" s="175"/>
      <c r="AB162" s="175"/>
    </row>
    <row r="163" spans="5:28">
      <c r="E163" s="43"/>
      <c r="F163" s="43"/>
      <c r="G163" s="43"/>
      <c r="H163" s="43"/>
      <c r="I163" s="43"/>
      <c r="J163" s="43"/>
      <c r="K163" s="43"/>
      <c r="M163" s="43"/>
      <c r="N163" s="43"/>
      <c r="O163" s="43"/>
      <c r="P163" s="43"/>
      <c r="Q163" s="43"/>
      <c r="R163" s="43"/>
      <c r="S163" s="175"/>
      <c r="T163" s="175"/>
      <c r="U163" s="175"/>
      <c r="V163" s="175"/>
      <c r="W163" s="175"/>
      <c r="X163" s="175"/>
      <c r="Y163" s="175"/>
      <c r="Z163" s="175"/>
      <c r="AA163" s="175"/>
      <c r="AB163" s="175"/>
    </row>
    <row r="164" spans="5:28">
      <c r="E164" s="43"/>
      <c r="F164" s="43"/>
      <c r="G164" s="43"/>
      <c r="H164" s="43"/>
      <c r="I164" s="43"/>
      <c r="J164" s="43"/>
      <c r="K164" s="43"/>
      <c r="M164" s="43"/>
      <c r="N164" s="43"/>
      <c r="O164" s="43"/>
      <c r="P164" s="43"/>
      <c r="Q164" s="43"/>
      <c r="R164" s="43"/>
      <c r="S164" s="175"/>
      <c r="T164" s="175"/>
      <c r="U164" s="175"/>
      <c r="V164" s="175"/>
      <c r="W164" s="175"/>
      <c r="X164" s="175"/>
      <c r="Y164" s="175"/>
      <c r="Z164" s="175"/>
      <c r="AA164" s="175"/>
      <c r="AB164" s="175"/>
    </row>
    <row r="165" spans="5:28">
      <c r="E165" s="43"/>
      <c r="F165" s="43"/>
      <c r="G165" s="43"/>
      <c r="H165" s="43"/>
      <c r="I165" s="43"/>
      <c r="J165" s="43"/>
      <c r="K165" s="43"/>
      <c r="M165" s="43"/>
      <c r="N165" s="43"/>
      <c r="O165" s="43"/>
      <c r="P165" s="43"/>
      <c r="Q165" s="43"/>
      <c r="R165" s="43"/>
      <c r="S165" s="175"/>
      <c r="T165" s="175"/>
      <c r="U165" s="175"/>
      <c r="V165" s="175"/>
      <c r="W165" s="175"/>
      <c r="X165" s="175"/>
      <c r="Y165" s="175"/>
      <c r="Z165" s="175"/>
      <c r="AA165" s="175"/>
      <c r="AB165" s="175"/>
    </row>
    <row r="166" spans="5:28">
      <c r="E166" s="43"/>
      <c r="F166" s="43"/>
      <c r="G166" s="43"/>
      <c r="H166" s="43"/>
      <c r="I166" s="43"/>
      <c r="J166" s="43"/>
      <c r="K166" s="43"/>
      <c r="M166" s="43"/>
      <c r="N166" s="43"/>
      <c r="O166" s="43"/>
      <c r="P166" s="43"/>
      <c r="Q166" s="43"/>
      <c r="R166" s="43"/>
      <c r="S166" s="175"/>
      <c r="T166" s="175"/>
      <c r="U166" s="175"/>
      <c r="V166" s="175"/>
      <c r="W166" s="175"/>
      <c r="X166" s="175"/>
      <c r="Y166" s="175"/>
      <c r="Z166" s="175"/>
      <c r="AA166" s="175"/>
      <c r="AB166" s="175"/>
    </row>
    <row r="167" spans="5:28">
      <c r="E167" s="43"/>
      <c r="F167" s="43"/>
      <c r="G167" s="43"/>
      <c r="H167" s="43"/>
      <c r="I167" s="43"/>
      <c r="J167" s="43"/>
      <c r="K167" s="43"/>
      <c r="M167" s="43"/>
      <c r="N167" s="43"/>
      <c r="O167" s="43"/>
      <c r="P167" s="43"/>
      <c r="Q167" s="43"/>
      <c r="R167" s="43"/>
      <c r="S167" s="175"/>
      <c r="T167" s="175"/>
      <c r="U167" s="175"/>
      <c r="V167" s="175"/>
      <c r="W167" s="175"/>
      <c r="X167" s="175"/>
      <c r="Y167" s="175"/>
      <c r="Z167" s="175"/>
      <c r="AA167" s="175"/>
      <c r="AB167" s="175"/>
    </row>
    <row r="168" spans="5:28">
      <c r="E168" s="43"/>
      <c r="F168" s="43"/>
      <c r="G168" s="43"/>
      <c r="H168" s="43"/>
      <c r="I168" s="43"/>
      <c r="J168" s="43"/>
      <c r="K168" s="43"/>
      <c r="M168" s="43"/>
      <c r="N168" s="43"/>
      <c r="O168" s="43"/>
      <c r="P168" s="43"/>
      <c r="Q168" s="43"/>
      <c r="R168" s="43"/>
      <c r="S168" s="175"/>
      <c r="T168" s="175"/>
      <c r="U168" s="175"/>
      <c r="V168" s="175"/>
      <c r="W168" s="175"/>
      <c r="X168" s="175"/>
      <c r="Y168" s="175"/>
      <c r="Z168" s="175"/>
      <c r="AA168" s="175"/>
      <c r="AB168" s="175"/>
    </row>
    <row r="169" spans="5:28">
      <c r="E169" s="43"/>
      <c r="F169" s="43"/>
      <c r="G169" s="43"/>
      <c r="H169" s="43"/>
      <c r="I169" s="43"/>
      <c r="J169" s="43"/>
      <c r="K169" s="43"/>
      <c r="M169" s="43"/>
      <c r="N169" s="43"/>
      <c r="O169" s="43"/>
      <c r="P169" s="43"/>
      <c r="Q169" s="43"/>
      <c r="R169" s="43"/>
      <c r="S169" s="175"/>
      <c r="T169" s="175"/>
      <c r="U169" s="175"/>
      <c r="V169" s="175"/>
      <c r="W169" s="175"/>
      <c r="X169" s="175"/>
      <c r="Y169" s="175"/>
      <c r="Z169" s="175"/>
      <c r="AA169" s="175"/>
      <c r="AB169" s="175"/>
    </row>
    <row r="170" spans="5:28">
      <c r="E170" s="43"/>
      <c r="F170" s="43"/>
      <c r="G170" s="43"/>
      <c r="H170" s="43"/>
      <c r="I170" s="43"/>
      <c r="J170" s="43"/>
      <c r="K170" s="43"/>
      <c r="M170" s="43"/>
      <c r="N170" s="43"/>
      <c r="O170" s="43"/>
      <c r="P170" s="43"/>
      <c r="Q170" s="43"/>
      <c r="R170" s="43"/>
      <c r="S170" s="175"/>
      <c r="T170" s="175"/>
      <c r="U170" s="175"/>
      <c r="V170" s="175"/>
      <c r="W170" s="175"/>
      <c r="X170" s="175"/>
      <c r="Y170" s="175"/>
      <c r="Z170" s="175"/>
      <c r="AA170" s="175"/>
      <c r="AB170" s="175"/>
    </row>
    <row r="171" spans="5:28">
      <c r="E171" s="43"/>
      <c r="F171" s="43"/>
      <c r="G171" s="43"/>
      <c r="H171" s="43"/>
      <c r="I171" s="43"/>
      <c r="J171" s="43"/>
      <c r="K171" s="43"/>
      <c r="M171" s="43"/>
      <c r="N171" s="43"/>
      <c r="O171" s="43"/>
      <c r="P171" s="43"/>
      <c r="Q171" s="43"/>
      <c r="R171" s="43"/>
      <c r="S171" s="175"/>
      <c r="T171" s="175"/>
      <c r="U171" s="175"/>
      <c r="V171" s="175"/>
      <c r="W171" s="175"/>
      <c r="X171" s="175"/>
      <c r="Y171" s="175"/>
      <c r="Z171" s="175"/>
      <c r="AA171" s="175"/>
      <c r="AB171" s="175"/>
    </row>
    <row r="172" spans="5:28">
      <c r="E172" s="43"/>
      <c r="F172" s="43"/>
      <c r="G172" s="43"/>
      <c r="H172" s="43"/>
      <c r="I172" s="43"/>
      <c r="J172" s="43"/>
      <c r="K172" s="43"/>
      <c r="M172" s="43"/>
      <c r="N172" s="43"/>
      <c r="O172" s="43"/>
      <c r="P172" s="43"/>
      <c r="Q172" s="43"/>
      <c r="R172" s="43"/>
      <c r="S172" s="175"/>
      <c r="T172" s="175"/>
      <c r="U172" s="175"/>
      <c r="V172" s="175"/>
      <c r="W172" s="175"/>
      <c r="X172" s="175"/>
      <c r="Y172" s="175"/>
      <c r="Z172" s="175"/>
      <c r="AA172" s="175"/>
      <c r="AB172" s="175"/>
    </row>
    <row r="173" spans="5:28">
      <c r="E173" s="43"/>
      <c r="F173" s="43"/>
      <c r="G173" s="43"/>
      <c r="H173" s="43"/>
      <c r="I173" s="43"/>
      <c r="J173" s="43"/>
      <c r="K173" s="43"/>
      <c r="M173" s="43"/>
      <c r="N173" s="43"/>
      <c r="O173" s="43"/>
      <c r="P173" s="43"/>
      <c r="Q173" s="43"/>
      <c r="R173" s="43"/>
      <c r="S173" s="175"/>
      <c r="T173" s="175"/>
      <c r="U173" s="175"/>
      <c r="V173" s="175"/>
      <c r="W173" s="175"/>
      <c r="X173" s="175"/>
      <c r="Y173" s="175"/>
      <c r="Z173" s="175"/>
      <c r="AA173" s="175"/>
      <c r="AB173" s="175"/>
    </row>
    <row r="174" spans="5:28">
      <c r="E174" s="43"/>
      <c r="F174" s="43"/>
      <c r="G174" s="43"/>
      <c r="H174" s="43"/>
      <c r="I174" s="43"/>
      <c r="J174" s="43"/>
      <c r="K174" s="43"/>
      <c r="M174" s="43"/>
      <c r="N174" s="43"/>
      <c r="O174" s="43"/>
      <c r="P174" s="43"/>
      <c r="Q174" s="43"/>
      <c r="R174" s="43"/>
      <c r="S174" s="175"/>
      <c r="T174" s="175"/>
      <c r="U174" s="175"/>
      <c r="V174" s="175"/>
      <c r="W174" s="175"/>
      <c r="X174" s="175"/>
      <c r="Y174" s="175"/>
      <c r="Z174" s="175"/>
      <c r="AA174" s="175"/>
      <c r="AB174" s="175"/>
    </row>
    <row r="175" spans="5:28">
      <c r="E175" s="43"/>
      <c r="F175" s="43"/>
      <c r="G175" s="43"/>
      <c r="H175" s="43"/>
      <c r="I175" s="43"/>
      <c r="J175" s="43"/>
      <c r="K175" s="43"/>
      <c r="M175" s="43"/>
      <c r="N175" s="43"/>
      <c r="O175" s="43"/>
      <c r="P175" s="43"/>
      <c r="Q175" s="43"/>
      <c r="R175" s="43"/>
      <c r="S175" s="43"/>
      <c r="T175" s="43"/>
      <c r="U175" s="43"/>
      <c r="V175" s="43"/>
      <c r="W175" s="43"/>
      <c r="X175" s="43"/>
      <c r="Y175" s="43"/>
      <c r="Z175" s="43"/>
      <c r="AA175" s="43"/>
      <c r="AB175" s="43"/>
    </row>
    <row r="176" spans="5:28">
      <c r="E176" s="43"/>
      <c r="F176" s="43"/>
      <c r="G176" s="43"/>
      <c r="H176" s="43"/>
      <c r="I176" s="43"/>
      <c r="J176" s="43"/>
      <c r="K176" s="43"/>
      <c r="M176" s="43"/>
      <c r="N176" s="43"/>
      <c r="O176" s="43"/>
      <c r="P176" s="43"/>
      <c r="Q176" s="43"/>
      <c r="R176" s="43"/>
    </row>
    <row r="177" spans="5:18">
      <c r="E177" s="43"/>
      <c r="F177" s="43"/>
      <c r="G177" s="43"/>
      <c r="H177" s="43"/>
      <c r="I177" s="43"/>
      <c r="J177" s="43"/>
      <c r="K177" s="43"/>
      <c r="M177" s="43"/>
      <c r="N177" s="43"/>
      <c r="O177" s="43"/>
      <c r="P177" s="43"/>
      <c r="Q177" s="43"/>
      <c r="R177" s="43"/>
    </row>
  </sheetData>
  <mergeCells count="8">
    <mergeCell ref="B3:D3"/>
    <mergeCell ref="Z3:AA3"/>
    <mergeCell ref="Z45:AC47"/>
    <mergeCell ref="F3:J3"/>
    <mergeCell ref="AJ3:AK3"/>
    <mergeCell ref="U3:V3"/>
    <mergeCell ref="L3:P3"/>
    <mergeCell ref="H32:I32"/>
  </mergeCells>
  <phoneticPr fontId="11" type="noConversion"/>
  <dataValidations count="1">
    <dataValidation type="list" allowBlank="1" showInputMessage="1" showErrorMessage="1" sqref="C27" xr:uid="{CB43D7E2-DC2B-41CC-A172-7EF09C06C718}">
      <formula1>INDIRECT("tblUnitTypes[Product]")</formula1>
    </dataValidation>
  </dataValidations>
  <hyperlinks>
    <hyperlink ref="D6" r:id="rId1" xr:uid="{9653601C-549D-484A-BED1-0A41BCEBE37E}"/>
    <hyperlink ref="D5" r:id="rId2" xr:uid="{A02BA2B5-ED5F-459A-A6DE-9A5B5198C496}"/>
    <hyperlink ref="D8" r:id="rId3" xr:uid="{90422106-C4AF-4FAB-AB6F-5704A3D6191B}"/>
    <hyperlink ref="D7" r:id="rId4" xr:uid="{EACD816B-75D5-4EF7-9962-7E1C5CC6028B}"/>
    <hyperlink ref="D12" r:id="rId5" xr:uid="{2F7DE5A8-3A25-4CC0-94B3-AC634FB19D20}"/>
    <hyperlink ref="AK8" r:id="rId6" xr:uid="{0F075C50-735B-485A-B469-C461D5B28C8A}"/>
    <hyperlink ref="AK6" r:id="rId7" xr:uid="{2204BCDB-61EB-4513-8D1E-AC47A7418747}"/>
    <hyperlink ref="AK9" r:id="rId8" xr:uid="{E3BEA1A3-3F3E-4EF9-A478-D432C26A8D0A}"/>
    <hyperlink ref="AK10" r:id="rId9" xr:uid="{0C121182-22AC-4CAF-B4F4-1669457D2D34}"/>
    <hyperlink ref="AK11" r:id="rId10" xr:uid="{EB878D75-6D9D-4796-9513-E6BCD1807816}"/>
    <hyperlink ref="AK12" r:id="rId11" xr:uid="{4AC0A05C-4E50-45CB-B47C-105E4779BADE}"/>
    <hyperlink ref="AK13" r:id="rId12" xr:uid="{078C3DFA-6242-4510-B78A-0FD8C0ED37FF}"/>
    <hyperlink ref="AK14" r:id="rId13" xr:uid="{92099C17-8634-4535-B62A-26D7EA4AD46D}"/>
    <hyperlink ref="AK15" r:id="rId14" xr:uid="{9CC302C8-D1B5-4524-BAE1-278D68669E4E}"/>
    <hyperlink ref="AK7" r:id="rId15" xr:uid="{E55C93BC-DED7-4F8B-BD19-C0A4D1185938}"/>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4097" r:id="rId19" name="Button 1">
              <controlPr defaultSize="0" print="0" autoFill="0" autoPict="0" macro="[0]!ImportATEClasses">
                <anchor moveWithCells="1" sizeWithCells="1">
                  <from>
                    <xdr:col>1</xdr:col>
                    <xdr:colOff>28575</xdr:colOff>
                    <xdr:row>0</xdr:row>
                    <xdr:rowOff>180975</xdr:rowOff>
                  </from>
                  <to>
                    <xdr:col>2</xdr:col>
                    <xdr:colOff>0</xdr:colOff>
                    <xdr:row>2</xdr:row>
                    <xdr:rowOff>0</xdr:rowOff>
                  </to>
                </anchor>
              </controlPr>
            </control>
          </mc:Choice>
        </mc:AlternateContent>
      </controls>
    </mc:Choice>
  </mc:AlternateContent>
  <tableParts count="21">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F6B75-ADC6-4ED3-8C61-A01628EEF9E1}">
  <sheetPr codeName="Sheet12"/>
  <dimension ref="G3:AJ28"/>
  <sheetViews>
    <sheetView workbookViewId="0">
      <selection activeCell="M53" sqref="M53"/>
    </sheetView>
  </sheetViews>
  <sheetFormatPr defaultRowHeight="15"/>
  <sheetData>
    <row r="3" spans="7:35">
      <c r="G3" t="s">
        <v>247</v>
      </c>
      <c r="U3" t="s">
        <v>248</v>
      </c>
    </row>
    <row r="6" spans="7:35">
      <c r="AI6" t="s">
        <v>252</v>
      </c>
    </row>
    <row r="27" spans="7:36">
      <c r="G27" t="s">
        <v>249</v>
      </c>
    </row>
    <row r="28" spans="7:36">
      <c r="U28" t="s">
        <v>250</v>
      </c>
      <c r="AJ28" t="s">
        <v>533</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F7798-A467-487B-A84E-7A596CAF2D50}">
  <sheetPr codeName="Sheet2">
    <pageSetUpPr fitToPage="1"/>
  </sheetPr>
  <dimension ref="A1:J18"/>
  <sheetViews>
    <sheetView workbookViewId="0">
      <selection activeCell="J1" sqref="J1"/>
    </sheetView>
  </sheetViews>
  <sheetFormatPr defaultRowHeight="15"/>
  <cols>
    <col min="3" max="3" width="10.140625" bestFit="1" customWidth="1"/>
    <col min="10" max="10" width="10.140625" bestFit="1" customWidth="1"/>
  </cols>
  <sheetData>
    <row r="1" spans="1:10" ht="15.75" thickBot="1">
      <c r="A1" s="138" t="s">
        <v>192</v>
      </c>
      <c r="B1" s="138" t="s">
        <v>2</v>
      </c>
      <c r="C1" s="139" t="s">
        <v>3</v>
      </c>
      <c r="D1" s="664"/>
      <c r="E1" s="665"/>
      <c r="F1" s="666"/>
      <c r="G1" s="140" t="s">
        <v>193</v>
      </c>
      <c r="H1" s="141" t="s">
        <v>191</v>
      </c>
      <c r="I1" s="142" t="s">
        <v>0</v>
      </c>
      <c r="J1" s="143">
        <f>Test!D4</f>
        <v>44392</v>
      </c>
    </row>
    <row r="2" spans="1:10" ht="15.75" thickBot="1">
      <c r="A2" s="144" t="str">
        <f>Test!F4</f>
        <v>A</v>
      </c>
      <c r="B2" s="144">
        <f>Test!G4</f>
        <v>0</v>
      </c>
      <c r="C2" s="143">
        <f>Test!H4</f>
        <v>44830</v>
      </c>
      <c r="D2" s="667"/>
      <c r="E2" s="668"/>
      <c r="F2" s="669"/>
      <c r="G2" s="145" t="s">
        <v>194</v>
      </c>
      <c r="H2" s="146"/>
      <c r="I2" s="147" t="s">
        <v>195</v>
      </c>
      <c r="J2" s="146"/>
    </row>
    <row r="3" spans="1:10" ht="15.75" thickBot="1">
      <c r="A3" s="144">
        <f>Test!F5</f>
        <v>0</v>
      </c>
      <c r="B3" s="144">
        <f>Test!G5</f>
        <v>0</v>
      </c>
      <c r="C3" s="143">
        <f>Test!H5</f>
        <v>0</v>
      </c>
      <c r="D3" s="667"/>
      <c r="E3" s="668"/>
      <c r="F3" s="669"/>
      <c r="G3" s="673">
        <f>Test!C10</f>
        <v>82097</v>
      </c>
      <c r="H3" s="674"/>
      <c r="I3" s="674"/>
      <c r="J3" s="675"/>
    </row>
    <row r="4" spans="1:10" ht="15.75" thickBot="1">
      <c r="A4" s="144">
        <f>Test!F6</f>
        <v>0</v>
      </c>
      <c r="B4" s="144">
        <f>Test!G6</f>
        <v>0</v>
      </c>
      <c r="C4" s="143">
        <f>Test!H6</f>
        <v>0</v>
      </c>
      <c r="D4" s="670"/>
      <c r="E4" s="671"/>
      <c r="F4" s="672"/>
      <c r="G4" s="676"/>
      <c r="H4" s="677"/>
      <c r="I4" s="677"/>
      <c r="J4" s="678"/>
    </row>
    <row r="5" spans="1:10" ht="15.75" thickBot="1">
      <c r="A5" s="144">
        <f>Test!F7</f>
        <v>0</v>
      </c>
      <c r="B5" s="144">
        <f>Test!G7</f>
        <v>0</v>
      </c>
      <c r="C5" s="143">
        <f>Test!H7</f>
        <v>0</v>
      </c>
      <c r="D5" s="682" t="str">
        <f>Test!B7</f>
        <v>FIB35P/734 SSATS Final Test</v>
      </c>
      <c r="E5" s="683"/>
      <c r="F5" s="684"/>
      <c r="G5" s="676"/>
      <c r="H5" s="677"/>
      <c r="I5" s="677"/>
      <c r="J5" s="678"/>
    </row>
    <row r="6" spans="1:10" ht="15.75" thickBot="1">
      <c r="A6" s="144">
        <f>Test!F9</f>
        <v>0</v>
      </c>
      <c r="B6" s="144">
        <f>Test!G9</f>
        <v>0</v>
      </c>
      <c r="C6" s="143">
        <f>Test!H9</f>
        <v>0</v>
      </c>
      <c r="D6" s="685"/>
      <c r="E6" s="686"/>
      <c r="F6" s="687"/>
      <c r="G6" s="676"/>
      <c r="H6" s="677"/>
      <c r="I6" s="677"/>
      <c r="J6" s="678"/>
    </row>
    <row r="7" spans="1:10" ht="15.75" thickBot="1">
      <c r="A7" s="144">
        <f>Test!F10</f>
        <v>0</v>
      </c>
      <c r="B7" s="144">
        <f>Test!G10</f>
        <v>0</v>
      </c>
      <c r="C7" s="143">
        <f>Test!H10</f>
        <v>0</v>
      </c>
      <c r="D7" s="685"/>
      <c r="E7" s="686"/>
      <c r="F7" s="687"/>
      <c r="G7" s="676"/>
      <c r="H7" s="677"/>
      <c r="I7" s="677"/>
      <c r="J7" s="678"/>
    </row>
    <row r="8" spans="1:10" ht="15.75" thickBot="1">
      <c r="A8" s="148">
        <f>Test!F11</f>
        <v>0</v>
      </c>
      <c r="B8" s="148">
        <f>Test!G11</f>
        <v>0</v>
      </c>
      <c r="C8" s="149">
        <f>Test!H11</f>
        <v>0</v>
      </c>
      <c r="D8" s="688"/>
      <c r="E8" s="689"/>
      <c r="F8" s="690"/>
      <c r="G8" s="679"/>
      <c r="H8" s="680"/>
      <c r="I8" s="680"/>
      <c r="J8" s="681"/>
    </row>
    <row r="9" spans="1:10">
      <c r="A9" s="150"/>
      <c r="B9" s="151"/>
      <c r="C9" s="151"/>
      <c r="D9" s="151"/>
      <c r="E9" s="151"/>
      <c r="F9" s="151"/>
      <c r="G9" s="151"/>
      <c r="H9" s="151"/>
      <c r="I9" s="151"/>
      <c r="J9" s="151"/>
    </row>
    <row r="10" spans="1:10" ht="15.75" thickBot="1">
      <c r="A10" s="150"/>
      <c r="B10" s="151"/>
      <c r="C10" s="151"/>
      <c r="D10" s="151"/>
      <c r="E10" s="151"/>
      <c r="F10" s="151"/>
      <c r="G10" s="151"/>
      <c r="H10" s="151"/>
      <c r="I10" s="151"/>
      <c r="J10" s="151"/>
    </row>
    <row r="11" spans="1:10" ht="15.75" thickBot="1">
      <c r="A11" s="150"/>
      <c r="B11" s="691"/>
      <c r="C11" s="692"/>
      <c r="D11" s="692"/>
      <c r="E11" s="692"/>
      <c r="F11" s="692"/>
      <c r="G11" s="692"/>
      <c r="H11" s="692"/>
      <c r="I11" s="693"/>
      <c r="J11" s="151"/>
    </row>
    <row r="12" spans="1:10" ht="15.75" thickBot="1">
      <c r="A12" s="150"/>
      <c r="B12" s="152" t="s">
        <v>192</v>
      </c>
      <c r="C12" s="694" t="s">
        <v>11</v>
      </c>
      <c r="D12" s="695"/>
      <c r="E12" s="695"/>
      <c r="F12" s="695"/>
      <c r="G12" s="695"/>
      <c r="H12" s="695"/>
      <c r="I12" s="696"/>
      <c r="J12" s="151"/>
    </row>
    <row r="13" spans="1:10" ht="15.75" thickBot="1">
      <c r="A13" s="150"/>
      <c r="B13" s="153" t="s">
        <v>15</v>
      </c>
      <c r="C13" s="697" t="s">
        <v>234</v>
      </c>
      <c r="D13" s="698"/>
      <c r="E13" s="698"/>
      <c r="F13" s="698"/>
      <c r="G13" s="698"/>
      <c r="H13" s="698"/>
      <c r="I13" s="699"/>
      <c r="J13" s="151"/>
    </row>
    <row r="14" spans="1:10" ht="37.5" customHeight="1" thickBot="1">
      <c r="A14" s="150"/>
      <c r="B14" s="153"/>
      <c r="C14" s="658"/>
      <c r="D14" s="659"/>
      <c r="E14" s="659"/>
      <c r="F14" s="659"/>
      <c r="G14" s="659"/>
      <c r="H14" s="659"/>
      <c r="I14" s="660"/>
      <c r="J14" s="151"/>
    </row>
    <row r="15" spans="1:10" ht="33.75" customHeight="1" thickBot="1">
      <c r="A15" s="150"/>
      <c r="B15" s="153"/>
      <c r="C15" s="661"/>
      <c r="D15" s="662"/>
      <c r="E15" s="662"/>
      <c r="F15" s="662"/>
      <c r="G15" s="662"/>
      <c r="H15" s="662"/>
      <c r="I15" s="663"/>
      <c r="J15" s="151"/>
    </row>
    <row r="16" spans="1:10" ht="35.25" customHeight="1" thickBot="1">
      <c r="A16" s="150"/>
      <c r="B16" s="153"/>
      <c r="C16" s="661"/>
      <c r="D16" s="662"/>
      <c r="E16" s="662"/>
      <c r="F16" s="662"/>
      <c r="G16" s="662"/>
      <c r="H16" s="662"/>
      <c r="I16" s="663"/>
      <c r="J16" s="151"/>
    </row>
    <row r="18" spans="10:10">
      <c r="J18" s="175"/>
    </row>
  </sheetData>
  <mergeCells count="9">
    <mergeCell ref="C14:I14"/>
    <mergeCell ref="C15:I15"/>
    <mergeCell ref="C16:I16"/>
    <mergeCell ref="D1:F4"/>
    <mergeCell ref="G3:J8"/>
    <mergeCell ref="D5:F8"/>
    <mergeCell ref="B11:I11"/>
    <mergeCell ref="C12:I12"/>
    <mergeCell ref="C13:I13"/>
  </mergeCells>
  <pageMargins left="0.7" right="0.7" top="0.75" bottom="0.75" header="0.3" footer="0.3"/>
  <pageSetup paperSize="9" scale="94"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48</vt:i4>
      </vt:variant>
    </vt:vector>
  </HeadingPairs>
  <TitlesOfParts>
    <vt:vector size="54" baseType="lpstr">
      <vt:lpstr>Test</vt:lpstr>
      <vt:lpstr>Database</vt:lpstr>
      <vt:lpstr>SubRoutines</vt:lpstr>
      <vt:lpstr>ATE_Settings</vt:lpstr>
      <vt:lpstr>Diagrams</vt:lpstr>
      <vt:lpstr>DCC Sheet</vt:lpstr>
      <vt:lpstr>Acc_result</vt:lpstr>
      <vt:lpstr>comments</vt:lpstr>
      <vt:lpstr>database_overall_result</vt:lpstr>
      <vt:lpstr>Ext_result</vt:lpstr>
      <vt:lpstr>Fil_result</vt:lpstr>
      <vt:lpstr>first_cell</vt:lpstr>
      <vt:lpstr>Lens_1_Result</vt:lpstr>
      <vt:lpstr>Lens_2_Result</vt:lpstr>
      <vt:lpstr>modified_date</vt:lpstr>
      <vt:lpstr>modified_flag</vt:lpstr>
      <vt:lpstr>Outputs</vt:lpstr>
      <vt:lpstr>overall_result</vt:lpstr>
      <vt:lpstr>readback_result</vt:lpstr>
      <vt:lpstr>Results</vt:lpstr>
      <vt:lpstr>section_1</vt:lpstr>
      <vt:lpstr>section_1_body</vt:lpstr>
      <vt:lpstr>section_1_heading</vt:lpstr>
      <vt:lpstr>section_1_results</vt:lpstr>
      <vt:lpstr>section_2</vt:lpstr>
      <vt:lpstr>section_2_body</vt:lpstr>
      <vt:lpstr>section_2_heading</vt:lpstr>
      <vt:lpstr>section_2_results</vt:lpstr>
      <vt:lpstr>section_3</vt:lpstr>
      <vt:lpstr>section_3_body</vt:lpstr>
      <vt:lpstr>section_3_heading</vt:lpstr>
      <vt:lpstr>section_3_results</vt:lpstr>
      <vt:lpstr>section_4</vt:lpstr>
      <vt:lpstr>section_4_body</vt:lpstr>
      <vt:lpstr>section_4_heading</vt:lpstr>
      <vt:lpstr>section_4_results</vt:lpstr>
      <vt:lpstr>section_5</vt:lpstr>
      <vt:lpstr>section_5_body</vt:lpstr>
      <vt:lpstr>section_5_heading</vt:lpstr>
      <vt:lpstr>section_5_results</vt:lpstr>
      <vt:lpstr>section_6</vt:lpstr>
      <vt:lpstr>section_6_body</vt:lpstr>
      <vt:lpstr>section_6_heading</vt:lpstr>
      <vt:lpstr>section_6_results</vt:lpstr>
      <vt:lpstr>section_7</vt:lpstr>
      <vt:lpstr>section_7_body</vt:lpstr>
      <vt:lpstr>section_7_heading</vt:lpstr>
      <vt:lpstr>section_7_results</vt:lpstr>
      <vt:lpstr>select_test_dropdown</vt:lpstr>
      <vt:lpstr>serial_number</vt:lpstr>
      <vt:lpstr>Supp_result</vt:lpstr>
      <vt:lpstr>test_date</vt:lpstr>
      <vt:lpstr>tester_name</vt:lpstr>
      <vt:lpstr>unit_type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jsargeant@spellmanhv.co.uk</dc:creator>
  <cp:lastModifiedBy>Jack Sargeant</cp:lastModifiedBy>
  <cp:lastPrinted>2021-07-12T11:48:30Z</cp:lastPrinted>
  <dcterms:created xsi:type="dcterms:W3CDTF">2015-10-28T10:21:18Z</dcterms:created>
  <dcterms:modified xsi:type="dcterms:W3CDTF">2022-09-28T15:53:45Z</dcterms:modified>
</cp:coreProperties>
</file>