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15"/>
  <workbookPr/>
  <mc:AlternateContent xmlns:mc="http://schemas.openxmlformats.org/markup-compatibility/2006">
    <mc:Choice Requires="x15">
      <x15ac:absPath xmlns:x15ac="http://schemas.microsoft.com/office/spreadsheetml/2010/11/ac" url="C:\Users\KUNAL\Downloads\"/>
    </mc:Choice>
  </mc:AlternateContent>
  <xr:revisionPtr revIDLastSave="7" documentId="13_ncr:1_{6E356CFA-E32D-44DC-AB3C-F4996C76AE92}" xr6:coauthVersionLast="47" xr6:coauthVersionMax="47" xr10:uidLastSave="{007A0ED2-BA41-4FF9-A5DD-A2D25BB2B5B0}"/>
  <bookViews>
    <workbookView xWindow="-108" yWindow="-108" windowWidth="23256" windowHeight="12456" firstSheet="1" activeTab="1" xr2:uid="{00000000-000D-0000-FFFF-FFFF00000000}"/>
  </bookViews>
  <sheets>
    <sheet name="Q 1" sheetId="1" r:id="rId1"/>
    <sheet name="in plane 1 " sheetId="2" r:id="rId2"/>
    <sheet name="right angle to flange" sheetId="3" r:id="rId3"/>
    <sheet name="Plate girder" sheetId="4" r:id="rId4"/>
    <sheet name="Web angle connection 11.3" sheetId="5" r:id="rId5"/>
    <sheet name="seat angle connection " sheetId="9" r:id="rId6"/>
    <sheet name="Fcr calculation from tables" sheetId="10" r:id="rId7"/>
    <sheet name="11.5" sheetId="7" state="hidden" r:id="rId8"/>
    <sheet name="Web angle connection " sheetId="6"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0" l="1"/>
  <c r="F13" i="10" s="1"/>
  <c r="D12" i="10"/>
  <c r="F16" i="10"/>
  <c r="F17" i="10" s="1"/>
  <c r="F19" i="10" s="1"/>
  <c r="D18" i="10"/>
  <c r="G18" i="10" s="1"/>
  <c r="F22" i="10"/>
  <c r="F23" i="10" s="1"/>
  <c r="F25" i="10" s="1"/>
  <c r="D24" i="10"/>
  <c r="G24" i="10" s="1"/>
  <c r="E82" i="9"/>
  <c r="B82" i="9"/>
  <c r="E77" i="9"/>
  <c r="B77" i="9"/>
  <c r="F77" i="9" s="1"/>
  <c r="B71" i="9"/>
  <c r="B40" i="9"/>
  <c r="B50" i="9" s="1"/>
  <c r="B52" i="9" s="1"/>
  <c r="B62" i="9" s="1"/>
  <c r="B68" i="9" s="1"/>
  <c r="E71" i="9" s="1"/>
  <c r="B11" i="9"/>
  <c r="B13" i="9" s="1"/>
  <c r="B19" i="9"/>
  <c r="B18" i="9"/>
  <c r="B17" i="9"/>
  <c r="C16" i="9" s="1"/>
  <c r="H10" i="9"/>
  <c r="G10" i="9"/>
  <c r="H9" i="9"/>
  <c r="G9" i="9"/>
  <c r="H8" i="9"/>
  <c r="G8" i="9"/>
  <c r="H7" i="9"/>
  <c r="G7" i="9"/>
  <c r="H6" i="9"/>
  <c r="G6" i="9"/>
  <c r="H5" i="9"/>
  <c r="G5" i="9"/>
  <c r="H4" i="9"/>
  <c r="G4" i="9"/>
  <c r="H3" i="9"/>
  <c r="G3" i="9"/>
  <c r="B11" i="6"/>
  <c r="B64" i="5"/>
  <c r="B66" i="5" s="1"/>
  <c r="B68" i="5" s="1"/>
  <c r="B77" i="5"/>
  <c r="B78" i="5"/>
  <c r="B76" i="5"/>
  <c r="B54" i="5"/>
  <c r="Q28" i="2"/>
  <c r="Q27" i="2"/>
  <c r="Q26" i="2"/>
  <c r="Q25" i="2"/>
  <c r="Q24" i="2"/>
  <c r="W24" i="2" s="1"/>
  <c r="AB12" i="2"/>
  <c r="AB11" i="2"/>
  <c r="AB10" i="2"/>
  <c r="AB9" i="2"/>
  <c r="AB8" i="2"/>
  <c r="T9" i="2"/>
  <c r="T10" i="2"/>
  <c r="T11" i="2"/>
  <c r="T12" i="2"/>
  <c r="T8" i="2"/>
  <c r="Y12" i="2"/>
  <c r="Y11" i="2"/>
  <c r="Y10" i="2"/>
  <c r="Y9" i="2"/>
  <c r="Y8" i="2"/>
  <c r="Q9" i="2"/>
  <c r="Q10" i="2"/>
  <c r="Q11" i="2"/>
  <c r="Q12" i="2"/>
  <c r="Q8" i="2"/>
  <c r="B19" i="6"/>
  <c r="B18" i="6"/>
  <c r="B17" i="6"/>
  <c r="H10" i="6"/>
  <c r="G10" i="6"/>
  <c r="H9" i="6"/>
  <c r="G9" i="6"/>
  <c r="H8" i="6"/>
  <c r="G8" i="6"/>
  <c r="H7" i="6"/>
  <c r="G7" i="6"/>
  <c r="H6" i="6"/>
  <c r="G6" i="6"/>
  <c r="H5" i="6"/>
  <c r="G5" i="6"/>
  <c r="H4" i="6"/>
  <c r="G4" i="6"/>
  <c r="H3" i="6"/>
  <c r="G3" i="6"/>
  <c r="C75" i="5"/>
  <c r="B82" i="5" s="1"/>
  <c r="B84" i="5" s="1"/>
  <c r="B45" i="5"/>
  <c r="B49" i="5" s="1"/>
  <c r="B56" i="5" s="1"/>
  <c r="C35" i="5"/>
  <c r="B19" i="5"/>
  <c r="B18" i="5"/>
  <c r="B17" i="5"/>
  <c r="B11" i="5"/>
  <c r="B13" i="5" s="1"/>
  <c r="H3" i="5"/>
  <c r="H4" i="5"/>
  <c r="H5" i="5"/>
  <c r="H6" i="5"/>
  <c r="H7" i="5"/>
  <c r="H8" i="5"/>
  <c r="H9" i="5"/>
  <c r="H10" i="5"/>
  <c r="G10" i="5"/>
  <c r="G6" i="5"/>
  <c r="G7" i="5"/>
  <c r="G8" i="5"/>
  <c r="G9" i="5"/>
  <c r="G5" i="5"/>
  <c r="G4" i="5"/>
  <c r="G3" i="5"/>
  <c r="R37" i="4"/>
  <c r="Q37" i="4"/>
  <c r="K37" i="4"/>
  <c r="G37" i="4" s="1"/>
  <c r="H37" i="4" s="1"/>
  <c r="F37" i="4"/>
  <c r="R36" i="4"/>
  <c r="Q36" i="4"/>
  <c r="K36" i="4"/>
  <c r="F36" i="4"/>
  <c r="R35" i="4"/>
  <c r="Q35" i="4"/>
  <c r="K35" i="4"/>
  <c r="G35" i="4" s="1"/>
  <c r="H35" i="4" s="1"/>
  <c r="F35" i="4"/>
  <c r="Q34" i="4"/>
  <c r="O34" i="4"/>
  <c r="R34" i="4" s="1"/>
  <c r="K34" i="4"/>
  <c r="S34" i="4" s="1"/>
  <c r="T34" i="4" s="1"/>
  <c r="G34" i="4"/>
  <c r="H34" i="4" s="1"/>
  <c r="F34" i="4"/>
  <c r="R33" i="4"/>
  <c r="Q33" i="4"/>
  <c r="K33" i="4"/>
  <c r="G33" i="4" s="1"/>
  <c r="H33" i="4" s="1"/>
  <c r="F33" i="4"/>
  <c r="R32" i="4"/>
  <c r="Q32" i="4"/>
  <c r="K32" i="4"/>
  <c r="S32" i="4" s="1"/>
  <c r="T32" i="4" s="1"/>
  <c r="G32" i="4"/>
  <c r="H32" i="4" s="1"/>
  <c r="F32" i="4"/>
  <c r="Q31" i="4"/>
  <c r="O31" i="4"/>
  <c r="R31" i="4" s="1"/>
  <c r="K31" i="4"/>
  <c r="S31" i="4" s="1"/>
  <c r="T31" i="4" s="1"/>
  <c r="F31" i="4"/>
  <c r="Q30" i="4"/>
  <c r="O30" i="4"/>
  <c r="R30" i="4" s="1"/>
  <c r="K30" i="4"/>
  <c r="S30" i="4" s="1"/>
  <c r="T30" i="4" s="1"/>
  <c r="G30" i="4"/>
  <c r="H30" i="4" s="1"/>
  <c r="F30" i="4"/>
  <c r="Q29" i="4"/>
  <c r="O29" i="4"/>
  <c r="R29" i="4" s="1"/>
  <c r="K29" i="4"/>
  <c r="S29" i="4" s="1"/>
  <c r="T29" i="4" s="1"/>
  <c r="F29" i="4"/>
  <c r="I25" i="4"/>
  <c r="E25" i="4"/>
  <c r="G25" i="4" s="1"/>
  <c r="L25" i="4" s="1"/>
  <c r="I24" i="4"/>
  <c r="E24" i="4"/>
  <c r="V23" i="4"/>
  <c r="V24" i="4" s="1"/>
  <c r="I23" i="4"/>
  <c r="E23" i="4"/>
  <c r="I22" i="4"/>
  <c r="E22" i="4"/>
  <c r="I21" i="4"/>
  <c r="E21" i="4"/>
  <c r="I20" i="4"/>
  <c r="E20" i="4"/>
  <c r="G20" i="4" s="1"/>
  <c r="L20" i="4" s="1"/>
  <c r="I19" i="4"/>
  <c r="E19" i="4"/>
  <c r="I18" i="4"/>
  <c r="E18" i="4"/>
  <c r="I17" i="4"/>
  <c r="E17" i="4"/>
  <c r="F11" i="4"/>
  <c r="K11" i="4" s="1"/>
  <c r="L11" i="4" s="1"/>
  <c r="B11" i="4"/>
  <c r="C11" i="4" s="1"/>
  <c r="F10" i="4"/>
  <c r="K10" i="4" s="1"/>
  <c r="L10" i="4" s="1"/>
  <c r="F9" i="4"/>
  <c r="K9" i="4" s="1"/>
  <c r="L9" i="4" s="1"/>
  <c r="F8" i="4"/>
  <c r="K8" i="4" s="1"/>
  <c r="L8" i="4" s="1"/>
  <c r="F7" i="4"/>
  <c r="K7" i="4" s="1"/>
  <c r="L7" i="4" s="1"/>
  <c r="F6" i="4"/>
  <c r="K6" i="4" s="1"/>
  <c r="L6" i="4" s="1"/>
  <c r="G17" i="4" l="1"/>
  <c r="L17" i="4" s="1"/>
  <c r="F17" i="4"/>
  <c r="K17" i="4"/>
  <c r="G18" i="4"/>
  <c r="L18" i="4" s="1"/>
  <c r="F18" i="4"/>
  <c r="K18" i="4"/>
  <c r="G19" i="4"/>
  <c r="L19" i="4" s="1"/>
  <c r="F19" i="4"/>
  <c r="K19" i="4"/>
  <c r="G21" i="4"/>
  <c r="L21" i="4" s="1"/>
  <c r="F21" i="4"/>
  <c r="K21" i="4"/>
  <c r="G22" i="4"/>
  <c r="L22" i="4" s="1"/>
  <c r="F22" i="4"/>
  <c r="K22" i="4"/>
  <c r="G23" i="4"/>
  <c r="L23" i="4" s="1"/>
  <c r="F23" i="4"/>
  <c r="K23" i="4"/>
  <c r="C35" i="4" s="1"/>
  <c r="F24" i="4"/>
  <c r="K24" i="4" s="1"/>
  <c r="G24" i="4"/>
  <c r="L24" i="4" s="1"/>
  <c r="G36" i="4"/>
  <c r="H36" i="4" s="1"/>
  <c r="S36" i="4"/>
  <c r="T36" i="4" s="1"/>
  <c r="C16" i="5"/>
  <c r="B24" i="5" s="1"/>
  <c r="F82" i="9"/>
  <c r="F12" i="10"/>
  <c r="J12" i="10" s="1"/>
  <c r="M12" i="10"/>
  <c r="K12" i="10"/>
  <c r="L12" i="10"/>
  <c r="F24" i="10"/>
  <c r="J24" i="10" s="1"/>
  <c r="F18" i="10"/>
  <c r="J18" i="10" s="1"/>
  <c r="E18" i="10"/>
  <c r="E24" i="10"/>
  <c r="E12" i="10"/>
  <c r="G12" i="10"/>
  <c r="F71" i="9"/>
  <c r="F50" i="9"/>
  <c r="B24" i="9"/>
  <c r="B26" i="9" s="1"/>
  <c r="C28" i="9" s="1"/>
  <c r="B31" i="9" s="1"/>
  <c r="B13" i="6"/>
  <c r="B85" i="5"/>
  <c r="B87" i="5"/>
  <c r="E84" i="5"/>
  <c r="Q13" i="2"/>
  <c r="Y13" i="2"/>
  <c r="Q14" i="2" s="1"/>
  <c r="C16" i="6"/>
  <c r="B24" i="6" s="1"/>
  <c r="B26" i="6" s="1"/>
  <c r="B26" i="5"/>
  <c r="C28" i="5" s="1"/>
  <c r="C30" i="4"/>
  <c r="B30" i="4"/>
  <c r="I30" i="4"/>
  <c r="M30" i="4" s="1"/>
  <c r="I36" i="4"/>
  <c r="M36" i="4" s="1"/>
  <c r="C36" i="4"/>
  <c r="B36" i="4"/>
  <c r="I29" i="4"/>
  <c r="M29" i="4" s="1"/>
  <c r="C29" i="4"/>
  <c r="B29" i="4"/>
  <c r="C33" i="4"/>
  <c r="B33" i="4"/>
  <c r="I33" i="4"/>
  <c r="M33" i="4" s="1"/>
  <c r="B34" i="4"/>
  <c r="I34" i="4"/>
  <c r="M34" i="4" s="1"/>
  <c r="C34" i="4"/>
  <c r="I35" i="4"/>
  <c r="M35" i="4" s="1"/>
  <c r="F20" i="4"/>
  <c r="K20" i="4" s="1"/>
  <c r="F25" i="4"/>
  <c r="K25" i="4" s="1"/>
  <c r="G29" i="4"/>
  <c r="H29" i="4" s="1"/>
  <c r="C31" i="4"/>
  <c r="B35" i="4"/>
  <c r="G31" i="4"/>
  <c r="H31" i="4" s="1"/>
  <c r="S33" i="4"/>
  <c r="T33" i="4" s="1"/>
  <c r="S35" i="4"/>
  <c r="T35" i="4" s="1"/>
  <c r="S37" i="4"/>
  <c r="T37" i="4" s="1"/>
  <c r="Z9" i="2" l="1"/>
  <c r="AA9" i="2"/>
  <c r="AC9" i="2" s="1"/>
  <c r="Z10" i="2"/>
  <c r="AA10" i="2"/>
  <c r="AC10" i="2" s="1"/>
  <c r="Z11" i="2"/>
  <c r="AA11" i="2"/>
  <c r="AC11" i="2" s="1"/>
  <c r="Z12" i="2"/>
  <c r="AA12" i="2"/>
  <c r="AC12" i="2" s="1"/>
  <c r="AA8" i="2"/>
  <c r="Z8" i="2"/>
  <c r="C28" i="6"/>
  <c r="B31" i="6" s="1"/>
  <c r="L24" i="10"/>
  <c r="M24" i="10"/>
  <c r="K24" i="10"/>
  <c r="I31" i="4"/>
  <c r="M31" i="4" s="1"/>
  <c r="B31" i="4"/>
  <c r="L18" i="10"/>
  <c r="M18" i="10"/>
  <c r="K18" i="10"/>
  <c r="S9" i="2"/>
  <c r="R27" i="2"/>
  <c r="R9" i="2"/>
  <c r="S10" i="2"/>
  <c r="S26" i="2"/>
  <c r="R10" i="2"/>
  <c r="R26" i="2"/>
  <c r="R28" i="2"/>
  <c r="S27" i="2"/>
  <c r="S11" i="2"/>
  <c r="S8" i="2"/>
  <c r="R11" i="2"/>
  <c r="U11" i="2" s="1"/>
  <c r="S25" i="2"/>
  <c r="S24" i="2"/>
  <c r="R24" i="2"/>
  <c r="S28" i="2"/>
  <c r="S12" i="2"/>
  <c r="R25" i="2"/>
  <c r="U25" i="2" s="1"/>
  <c r="R12" i="2"/>
  <c r="R8" i="2"/>
  <c r="D56" i="5"/>
  <c r="B40" i="5"/>
  <c r="B32" i="4"/>
  <c r="I32" i="4"/>
  <c r="M32" i="4" s="1"/>
  <c r="C32" i="4"/>
  <c r="C37" i="4"/>
  <c r="B37" i="4"/>
  <c r="I37" i="4"/>
  <c r="M37" i="4" s="1"/>
  <c r="U12" i="2" l="1"/>
  <c r="U8" i="2"/>
  <c r="U26" i="2"/>
  <c r="U10" i="2"/>
  <c r="AC8" i="2"/>
  <c r="U9" i="2"/>
  <c r="U24" i="2"/>
  <c r="U27" i="2"/>
  <c r="U28" i="2"/>
  <c r="C127" i="3"/>
  <c r="C123" i="3"/>
  <c r="C113" i="3"/>
  <c r="C125" i="3" s="1"/>
  <c r="C129" i="3" s="1"/>
  <c r="C100" i="3"/>
  <c r="C13" i="3"/>
  <c r="C99" i="3" s="1"/>
  <c r="C90" i="3"/>
  <c r="F107" i="3" s="1"/>
  <c r="C84" i="3"/>
  <c r="C83" i="3"/>
  <c r="C82" i="3"/>
  <c r="C81" i="3"/>
  <c r="C80" i="3"/>
  <c r="C75" i="3"/>
  <c r="C77" i="3" s="1"/>
  <c r="C50" i="3"/>
  <c r="C52" i="3" s="1"/>
  <c r="C55" i="3"/>
  <c r="C48" i="3"/>
  <c r="C66" i="3" s="1"/>
  <c r="C37" i="3"/>
  <c r="C28" i="3"/>
  <c r="C30" i="3"/>
  <c r="C32" i="3" s="1"/>
  <c r="C116" i="3" s="1"/>
  <c r="E129" i="3" s="1"/>
  <c r="C22" i="3"/>
  <c r="C20" i="3"/>
  <c r="C50" i="2"/>
  <c r="C26" i="2"/>
  <c r="C58" i="2"/>
  <c r="C54" i="2"/>
  <c r="C33" i="2"/>
  <c r="C20" i="2"/>
  <c r="C31" i="2" s="1"/>
  <c r="C40" i="1"/>
  <c r="G35" i="1"/>
  <c r="C35" i="1"/>
  <c r="C43" i="1" s="1"/>
  <c r="C45" i="1" s="1"/>
  <c r="C48" i="1" s="1"/>
  <c r="C18" i="1"/>
  <c r="C29" i="1" s="1"/>
  <c r="C19" i="1"/>
  <c r="C28" i="1" s="1"/>
  <c r="C26" i="1"/>
  <c r="C120" i="3" l="1"/>
  <c r="C60" i="2"/>
  <c r="Q20" i="2" s="1"/>
  <c r="C98" i="3"/>
  <c r="C103" i="3" s="1"/>
  <c r="C105" i="3" s="1"/>
  <c r="C107" i="3" s="1"/>
  <c r="H107" i="3" s="1"/>
  <c r="C86" i="3"/>
  <c r="C88" i="3" s="1"/>
  <c r="C60" i="3"/>
  <c r="C35" i="3"/>
  <c r="C39" i="3" s="1"/>
  <c r="C45" i="3" s="1"/>
  <c r="C56" i="3"/>
  <c r="C57" i="3"/>
  <c r="C58" i="3"/>
  <c r="C59" i="3"/>
  <c r="C32" i="2"/>
  <c r="C35" i="2" s="1"/>
  <c r="C38" i="1"/>
  <c r="C37" i="1"/>
  <c r="C92" i="3" l="1"/>
  <c r="C62" i="3"/>
  <c r="C37" i="2"/>
  <c r="C40" i="2" s="1"/>
  <c r="C64" i="3" l="1"/>
  <c r="C68" i="3" s="1"/>
  <c r="C64" i="2"/>
  <c r="C66" i="2" s="1"/>
  <c r="Q18" i="2"/>
  <c r="Q16" i="2"/>
  <c r="Q21" i="2"/>
</calcChain>
</file>

<file path=xl/sharedStrings.xml><?xml version="1.0" encoding="utf-8"?>
<sst xmlns="http://schemas.openxmlformats.org/spreadsheetml/2006/main" count="570" uniqueCount="303">
  <si>
    <t>A simply supported beam MB400 @ 61.6 kg/m has an effective span of 5 m. Find 
(i) the design bending strength of the beam 
(ii) the design shear strength of the beam 
(iii) the intensity of udl
that the beam may carry under service condition 
(iv) the maximum deflection. Assume that the beam is laterally supported. The grade of the steel is E250.</t>
  </si>
  <si>
    <t>Section properties</t>
  </si>
  <si>
    <t>Iz</t>
  </si>
  <si>
    <r>
      <t>cm</t>
    </r>
    <r>
      <rPr>
        <vertAlign val="superscript"/>
        <sz val="12"/>
        <color theme="1"/>
        <rFont val="Times New Roman"/>
        <family val="1"/>
      </rPr>
      <t>4</t>
    </r>
  </si>
  <si>
    <t>Zez</t>
  </si>
  <si>
    <r>
      <t>cm</t>
    </r>
    <r>
      <rPr>
        <vertAlign val="superscript"/>
        <sz val="12"/>
        <color theme="1"/>
        <rFont val="Times New Roman"/>
        <family val="1"/>
      </rPr>
      <t>3</t>
    </r>
  </si>
  <si>
    <t>Zpz</t>
  </si>
  <si>
    <t>bf</t>
  </si>
  <si>
    <t>cm</t>
  </si>
  <si>
    <t>tf</t>
  </si>
  <si>
    <t>D</t>
  </si>
  <si>
    <t>tw</t>
  </si>
  <si>
    <t>d</t>
  </si>
  <si>
    <t>b</t>
  </si>
  <si>
    <t>Effective span</t>
  </si>
  <si>
    <t>m</t>
  </si>
  <si>
    <t>Factor of safety</t>
  </si>
  <si>
    <t>γm0</t>
  </si>
  <si>
    <t>γf</t>
  </si>
  <si>
    <t>fy</t>
  </si>
  <si>
    <r>
      <t>∈ = (250/fy)</t>
    </r>
    <r>
      <rPr>
        <b/>
        <vertAlign val="superscript"/>
        <sz val="11"/>
        <color theme="1"/>
        <rFont val="Times New Roman"/>
        <family val="1"/>
      </rPr>
      <t>0.5</t>
    </r>
  </si>
  <si>
    <t>b/tf</t>
  </si>
  <si>
    <t>&lt;9.4∈</t>
  </si>
  <si>
    <t>d/tw</t>
  </si>
  <si>
    <t>&lt;84∈</t>
  </si>
  <si>
    <t>The section is plastic.</t>
  </si>
  <si>
    <t>Bb</t>
  </si>
  <si>
    <t>Md=Bb*Zpz*fy/(γm0)</t>
  </si>
  <si>
    <t>kNm</t>
  </si>
  <si>
    <t>&lt;1.2*Zez*fy/(γm0)</t>
  </si>
  <si>
    <t>Thefore,</t>
  </si>
  <si>
    <t>Md</t>
  </si>
  <si>
    <t>Vd = Vn/(γm0) = (Av*fy/√3)/γm0</t>
  </si>
  <si>
    <t>N</t>
  </si>
  <si>
    <r>
      <t>Md = (wu * l</t>
    </r>
    <r>
      <rPr>
        <vertAlign val="superscript"/>
        <sz val="11"/>
        <color theme="1"/>
        <rFont val="Times New Roman"/>
        <family val="1"/>
      </rPr>
      <t>2</t>
    </r>
    <r>
      <rPr>
        <sz val="11"/>
        <color theme="1"/>
        <rFont val="Times New Roman"/>
        <family val="1"/>
      </rPr>
      <t>)/8</t>
    </r>
  </si>
  <si>
    <t>Therefore, Wu</t>
  </si>
  <si>
    <t>kN/m</t>
  </si>
  <si>
    <t>Therefore, Intensity of load in working condition, w= wu/γf</t>
  </si>
  <si>
    <t>Maximum deflection</t>
  </si>
  <si>
    <r>
      <t>δmax =Kwl</t>
    </r>
    <r>
      <rPr>
        <vertAlign val="superscript"/>
        <sz val="11"/>
        <color theme="1"/>
        <rFont val="Times New Roman"/>
        <family val="1"/>
      </rPr>
      <t>3</t>
    </r>
    <r>
      <rPr>
        <sz val="11"/>
        <color theme="1"/>
        <rFont val="Times New Roman"/>
        <family val="1"/>
      </rPr>
      <t>/EIz</t>
    </r>
  </si>
  <si>
    <t>mm</t>
  </si>
  <si>
    <t xml:space="preserve"> </t>
  </si>
  <si>
    <r>
      <t>Determine the safe load P that can be carried by the joint shown in Fig. The bolts used are 20 mm diameter of grade 4.6. The thickness of the flange of I-section is 9.1 mm and that of bracket plate 10 mm.
For Fe410 steel : fu = 410 Mpa
For bolts bolts of grade 4.6: fub = 400 MPa
Partial safety factor for the material of bolt: γmb = 1.25
Anb = stress area of 20 mm diameter bolt = 245 mm</t>
    </r>
    <r>
      <rPr>
        <vertAlign val="superscript"/>
        <sz val="12"/>
        <color theme="1"/>
        <rFont val="Times New Roman"/>
        <family val="1"/>
      </rPr>
      <t>2</t>
    </r>
  </si>
  <si>
    <t>Pex/R2</t>
  </si>
  <si>
    <t>Pey/r2</t>
  </si>
  <si>
    <t>x</t>
  </si>
  <si>
    <t>y</t>
  </si>
  <si>
    <r>
      <t>R</t>
    </r>
    <r>
      <rPr>
        <vertAlign val="superscript"/>
        <sz val="11"/>
        <color theme="1"/>
        <rFont val="Times New Roman"/>
        <family val="1"/>
      </rPr>
      <t>2</t>
    </r>
  </si>
  <si>
    <r>
      <rPr>
        <sz val="11"/>
        <color theme="1"/>
        <rFont val="Symbol"/>
        <family val="1"/>
        <charset val="2"/>
      </rPr>
      <t>s</t>
    </r>
    <r>
      <rPr>
        <sz val="11"/>
        <color theme="1"/>
        <rFont val="Times New Roman"/>
        <family val="1"/>
      </rPr>
      <t>x</t>
    </r>
  </si>
  <si>
    <r>
      <rPr>
        <sz val="11"/>
        <color theme="1"/>
        <rFont val="Symbol"/>
        <family val="1"/>
        <charset val="2"/>
      </rPr>
      <t>s</t>
    </r>
    <r>
      <rPr>
        <sz val="11"/>
        <color theme="1"/>
        <rFont val="Times New Roman"/>
        <family val="1"/>
      </rPr>
      <t>y</t>
    </r>
  </si>
  <si>
    <r>
      <rPr>
        <sz val="11"/>
        <color theme="1"/>
        <rFont val="Symbol"/>
        <family val="1"/>
        <charset val="2"/>
      </rPr>
      <t>s</t>
    </r>
    <r>
      <rPr>
        <sz val="11"/>
        <color theme="1"/>
        <rFont val="Times New Roman"/>
        <family val="1"/>
      </rPr>
      <t>y</t>
    </r>
    <r>
      <rPr>
        <sz val="11"/>
        <color theme="1"/>
        <rFont val="Times New Roman"/>
        <family val="1"/>
        <charset val="2"/>
      </rPr>
      <t>1</t>
    </r>
  </si>
  <si>
    <t>Y</t>
  </si>
  <si>
    <t>Solution:</t>
  </si>
  <si>
    <t>Given</t>
  </si>
  <si>
    <t>Dia of bolt (d)</t>
  </si>
  <si>
    <t>pitch (p)</t>
  </si>
  <si>
    <t>SUM r2</t>
  </si>
  <si>
    <t>edge distance (e)</t>
  </si>
  <si>
    <t>eccentricity (e0)</t>
  </si>
  <si>
    <t>fu</t>
  </si>
  <si>
    <t>MPa</t>
  </si>
  <si>
    <t>fub</t>
  </si>
  <si>
    <t>γmb</t>
  </si>
  <si>
    <t>dia of hole (do)</t>
  </si>
  <si>
    <t>t</t>
  </si>
  <si>
    <t>Anb</t>
  </si>
  <si>
    <r>
      <t>mm</t>
    </r>
    <r>
      <rPr>
        <vertAlign val="superscript"/>
        <sz val="11"/>
        <color theme="1"/>
        <rFont val="Times New Roman"/>
        <family val="1"/>
      </rPr>
      <t>2</t>
    </r>
  </si>
  <si>
    <t>Strength of the bolt in single shear</t>
  </si>
  <si>
    <t>Vdsb = Anb * (fub/√3*γm0)</t>
  </si>
  <si>
    <t>KN</t>
  </si>
  <si>
    <t>Strength of the bolt in bearing,</t>
  </si>
  <si>
    <t>kb is least of</t>
  </si>
  <si>
    <t>e/3do</t>
  </si>
  <si>
    <t>P/3do-0.25</t>
  </si>
  <si>
    <t>fub/fu</t>
  </si>
  <si>
    <t xml:space="preserve">Therefore, kb is </t>
  </si>
  <si>
    <t>Vdpb=2.5*kb*d*t*fu/γmb</t>
  </si>
  <si>
    <t xml:space="preserve">Therefore, strength of bolt is </t>
  </si>
  <si>
    <t>Vsd</t>
  </si>
  <si>
    <t>Let P1 be the factored load</t>
  </si>
  <si>
    <t>Service load is P = P1/1.5</t>
  </si>
  <si>
    <t>The bolt which is stressed maximum is A.</t>
  </si>
  <si>
    <t>Total number of bolts in the joint (n)</t>
  </si>
  <si>
    <t>The direct force, F1 = P1/n</t>
  </si>
  <si>
    <t>P1/10</t>
  </si>
  <si>
    <t>F1 interms of P1</t>
  </si>
  <si>
    <r>
      <t>The force in the bolt due to torque, F2=P1*e0*rn/Σr</t>
    </r>
    <r>
      <rPr>
        <vertAlign val="superscript"/>
        <sz val="11"/>
        <color theme="1"/>
        <rFont val="Times New Roman"/>
        <family val="1"/>
      </rPr>
      <t>2</t>
    </r>
  </si>
  <si>
    <t>rn</t>
  </si>
  <si>
    <t>Σr2</t>
  </si>
  <si>
    <t>Cos θ</t>
  </si>
  <si>
    <t>F2 in terms of P1</t>
  </si>
  <si>
    <t>Equate resultant force of F1 and F2 with Vsd</t>
  </si>
  <si>
    <t>P1</t>
  </si>
  <si>
    <t>Therefore, P</t>
  </si>
  <si>
    <t>Design a connection for a bracket using M20 bolt and property class 4.6 to carry a factored vertical load of 200KN acting at 300 mm from the face of the column. The grade of the steel is E250 (the thickness of the bracket, t = 12 mm) and the bracket is connected by 2 angles of angle 100*100 *10.</t>
  </si>
  <si>
    <t>P</t>
  </si>
  <si>
    <t>e1</t>
  </si>
  <si>
    <t>e2</t>
  </si>
  <si>
    <t>ultimate strength of bolt (fub)</t>
  </si>
  <si>
    <t xml:space="preserve">dia of bolt </t>
  </si>
  <si>
    <t>dia of hole</t>
  </si>
  <si>
    <t>γm1</t>
  </si>
  <si>
    <t>thickness of angle</t>
  </si>
  <si>
    <t xml:space="preserve">mm </t>
  </si>
  <si>
    <t>The moment due to eccentricity,</t>
  </si>
  <si>
    <t>M = Pe</t>
  </si>
  <si>
    <t>KNm</t>
  </si>
  <si>
    <t>Yeild strength of bolt (fyb)</t>
  </si>
  <si>
    <t>Design of bolt "A"</t>
  </si>
  <si>
    <t xml:space="preserve">Bolts A are subjected to single shear and the assuming shear plane lies in the shank of bolts </t>
  </si>
  <si>
    <t>For 20 mm bolt, Asb</t>
  </si>
  <si>
    <r>
      <t>mm</t>
    </r>
    <r>
      <rPr>
        <vertAlign val="superscript"/>
        <sz val="12"/>
        <color theme="1"/>
        <rFont val="Times New Roman"/>
        <family val="1"/>
      </rPr>
      <t>2</t>
    </r>
  </si>
  <si>
    <t>Vnsb = Anb*(fub/√3)</t>
  </si>
  <si>
    <t>Vdsb = Vnsb/γm0</t>
  </si>
  <si>
    <t>Tension capacity</t>
  </si>
  <si>
    <t>Tdbg = fyb*Asb/γm0</t>
  </si>
  <si>
    <t>Tdbn = 0.9*fub*Anb/γmb</t>
  </si>
  <si>
    <t>Therefore Tdb =</t>
  </si>
  <si>
    <t>Assumed. Pitch of bolt(p)</t>
  </si>
  <si>
    <t>edge distance</t>
  </si>
  <si>
    <t>number of vertical lines of bolt (m)</t>
  </si>
  <si>
    <t>Therefore number of bolts will be n = (6M/mpVdsb)^0.5</t>
  </si>
  <si>
    <t>Round of bolts (n)</t>
  </si>
  <si>
    <t>The total number of bolts in both the planes (N)</t>
  </si>
  <si>
    <t>Therefore the depth of bracket is h</t>
  </si>
  <si>
    <t>the neutral axis will be at h/7 from the bottom of bracket</t>
  </si>
  <si>
    <t>round of neutral axis</t>
  </si>
  <si>
    <t>y1</t>
  </si>
  <si>
    <t>y2</t>
  </si>
  <si>
    <t>y3</t>
  </si>
  <si>
    <t>y4</t>
  </si>
  <si>
    <t>y5</t>
  </si>
  <si>
    <t>y6</t>
  </si>
  <si>
    <r>
      <t>Σy</t>
    </r>
    <r>
      <rPr>
        <vertAlign val="superscript"/>
        <sz val="12"/>
        <color theme="1"/>
        <rFont val="Times New Roman"/>
        <family val="1"/>
      </rPr>
      <t>2</t>
    </r>
  </si>
  <si>
    <t>Tension in bolt, Tb = P*e*yn/Σy2</t>
  </si>
  <si>
    <t>Shear force in each bolt, Vsb = P/N</t>
  </si>
  <si>
    <r>
      <t>check for interaction equation, (Vsb/Vdb)</t>
    </r>
    <r>
      <rPr>
        <vertAlign val="superscript"/>
        <sz val="12"/>
        <color theme="1"/>
        <rFont val="Times New Roman"/>
        <family val="1"/>
      </rPr>
      <t>2</t>
    </r>
    <r>
      <rPr>
        <sz val="12"/>
        <color theme="1"/>
        <rFont val="Times New Roman"/>
        <family val="1"/>
      </rPr>
      <t>+(Tb/Tdb)</t>
    </r>
    <r>
      <rPr>
        <vertAlign val="superscript"/>
        <sz val="12"/>
        <color theme="1"/>
        <rFont val="Times New Roman"/>
        <family val="1"/>
      </rPr>
      <t>2</t>
    </r>
    <r>
      <rPr>
        <sz val="12"/>
        <color theme="1"/>
        <rFont val="Times New Roman"/>
        <family val="1"/>
      </rPr>
      <t>&lt; 1</t>
    </r>
  </si>
  <si>
    <t>Therefore the above equation satifies but it is much less than 1. There is a scope of reducing the number of bolts.</t>
  </si>
  <si>
    <t xml:space="preserve">Assume reduced bolts are </t>
  </si>
  <si>
    <t xml:space="preserve">Therefore, h will be </t>
  </si>
  <si>
    <t>the neutral axis, h/7</t>
  </si>
  <si>
    <t>round off neutral axis</t>
  </si>
  <si>
    <r>
      <t>Tension in bolt, Tb = P*e*yn/Σy</t>
    </r>
    <r>
      <rPr>
        <vertAlign val="superscript"/>
        <sz val="12"/>
        <color theme="1"/>
        <rFont val="Times New Roman"/>
        <family val="1"/>
      </rPr>
      <t>2</t>
    </r>
  </si>
  <si>
    <t>Check for bearing</t>
  </si>
  <si>
    <t xml:space="preserve">Therefore, kb = </t>
  </si>
  <si>
    <t>Vnpb = 2.5*kb*d*t*fu</t>
  </si>
  <si>
    <t>Vdpb = Vnpb/γm0</t>
  </si>
  <si>
    <t>&gt;</t>
  </si>
  <si>
    <t>Design of bolts ‘B’</t>
  </si>
  <si>
    <t>These bolts are subjected to direct shear and twisting.</t>
  </si>
  <si>
    <t xml:space="preserve">The twisting moment, M </t>
  </si>
  <si>
    <t>As these bolts are in double shear</t>
  </si>
  <si>
    <t>Vdsb = 2*Vdsb1</t>
  </si>
  <si>
    <t>Since there is only one vertical line of bolts, m =</t>
  </si>
  <si>
    <t>therefore, number of bolt will be n=(6M/mpVdsb)^0.5</t>
  </si>
  <si>
    <t>Round of bolts</t>
  </si>
  <si>
    <t>V1x = M*r/Σr2</t>
  </si>
  <si>
    <t>V1y = P/n</t>
  </si>
  <si>
    <t>V1 = (V1x2+V1y2)0.5</t>
  </si>
  <si>
    <t>&lt;</t>
  </si>
  <si>
    <t>Q1</t>
  </si>
  <si>
    <t>The plate girder  is required to carry a factored shear of 2800 kN for d 1500 mm and tw 15mm. 
(a) Assuming that tension field action is not utilized in the design, determine
	whether intermediate stiffeners are necessary. Assume f, = 250 N-mm.
b) How thick must the web be in order that this same load may be carried without the need for intermediate stiffeners?</t>
  </si>
  <si>
    <t>From Table</t>
  </si>
  <si>
    <t>c</t>
  </si>
  <si>
    <t>c/d</t>
  </si>
  <si>
    <t>d/t</t>
  </si>
  <si>
    <t>d/t 1</t>
  </si>
  <si>
    <t>d/t 2</t>
  </si>
  <si>
    <t>tb 1</t>
  </si>
  <si>
    <t>tb2</t>
  </si>
  <si>
    <t>tb</t>
  </si>
  <si>
    <t>Vn(KN)</t>
  </si>
  <si>
    <t>inf</t>
  </si>
  <si>
    <t>Q2</t>
  </si>
  <si>
    <t>Design a welded plate girder for a simply supported bridge deck beam with clear span of 20 m, subjected to the following:
Dead load including self weight = 20 kN/m
Imposed load = 10 kN/m
Moving loads = 450 kN</t>
  </si>
  <si>
    <t>if d/tw =67 tmin is 19.4mm section is plastic compact section and can be consider as rolled section</t>
  </si>
  <si>
    <t>L m</t>
  </si>
  <si>
    <t>DL</t>
  </si>
  <si>
    <t>IL</t>
  </si>
  <si>
    <t>Fac. UDL</t>
  </si>
  <si>
    <t>BM UDL</t>
  </si>
  <si>
    <t>SF UDL</t>
  </si>
  <si>
    <t>Ra</t>
  </si>
  <si>
    <t>BM Ra</t>
  </si>
  <si>
    <t>SF Ra</t>
  </si>
  <si>
    <t>Max. BM</t>
  </si>
  <si>
    <t>Max. SF</t>
  </si>
  <si>
    <t>opt. depth of girder</t>
  </si>
  <si>
    <t>opt. tw</t>
  </si>
  <si>
    <t>Zp</t>
  </si>
  <si>
    <t>af</t>
  </si>
  <si>
    <t>af/tf</t>
  </si>
  <si>
    <t xml:space="preserve">assume B </t>
  </si>
  <si>
    <t>Vn</t>
  </si>
  <si>
    <t>I</t>
  </si>
  <si>
    <t>I/y/2</t>
  </si>
  <si>
    <t>Design a web-angle connection for a beam MB350 @ 52.4 kg/m which transfers a factored end shear of 200 kN to the flange of the column HB 300 @ 63 kg/m. Use M20 bolts of product Grade C and property class 5.6. fub = 500 Mpa</t>
  </si>
  <si>
    <t>Dia. Of bolt</t>
  </si>
  <si>
    <t>Hole dia</t>
  </si>
  <si>
    <t>Asb</t>
  </si>
  <si>
    <t>Step 1</t>
  </si>
  <si>
    <t>Design of Bolt A in shear</t>
  </si>
  <si>
    <t>The bolts are in double shear. As shoun in fig 11.9</t>
  </si>
  <si>
    <r>
      <t>Vu</t>
    </r>
    <r>
      <rPr>
        <i/>
        <vertAlign val="subscript"/>
        <sz val="12"/>
        <color rgb="FF000000"/>
        <rFont val="Times New Roman"/>
        <family val="1"/>
      </rPr>
      <t>b</t>
    </r>
    <r>
      <rPr>
        <i/>
        <sz val="12"/>
        <color rgb="FF000000"/>
        <rFont val="Times New Roman"/>
        <family val="1"/>
      </rPr>
      <t xml:space="preserve"> </t>
    </r>
    <r>
      <rPr>
        <sz val="12"/>
        <color rgb="FF000000"/>
        <rFont val="Times New Roman"/>
        <family val="1"/>
      </rPr>
      <t>= the nominal shear capacity of a bolt is</t>
    </r>
  </si>
  <si>
    <t>Dia. Of hole</t>
  </si>
  <si>
    <t xml:space="preserve">Max. Pitch </t>
  </si>
  <si>
    <t>Max. edge distance</t>
  </si>
  <si>
    <t>Pitch provided</t>
  </si>
  <si>
    <t xml:space="preserve">Vub = </t>
  </si>
  <si>
    <t>Edge provided</t>
  </si>
  <si>
    <t>Load</t>
  </si>
  <si>
    <t xml:space="preserve">Vdsb = </t>
  </si>
  <si>
    <t>Design of Bolt A in bearing</t>
  </si>
  <si>
    <t>Kb</t>
  </si>
  <si>
    <t>The thickness of the web of the beam =  mm</t>
  </si>
  <si>
    <t>Vnpb = 2.5kb dtfu</t>
  </si>
  <si>
    <t xml:space="preserve">Vdpb = </t>
  </si>
  <si>
    <t xml:space="preserve">The design strength of the bolt, Vdb = </t>
  </si>
  <si>
    <t xml:space="preserve">e1 = </t>
  </si>
  <si>
    <t>From bolt arrengnemt</t>
  </si>
  <si>
    <t xml:space="preserve">gauge = </t>
  </si>
  <si>
    <t>Using 2 ∠ 90 90 × 8, e1 = 50 mm (gauge for 90 mm leg, Appendix A)
The twisting moment, M = 200 × 50/1,000 = 10 kNm
For a single vertical line of bolts, m = 1</t>
  </si>
  <si>
    <t xml:space="preserve">Twisting Moment = </t>
  </si>
  <si>
    <t>number of bolt</t>
  </si>
  <si>
    <t>bolt</t>
  </si>
  <si>
    <t>4 bolt may be provided in single line</t>
  </si>
  <si>
    <t>Four bolts may be provided as shown in Figure 11.12.</t>
  </si>
  <si>
    <t xml:space="preserve">ri^2 = </t>
  </si>
  <si>
    <t>mm2</t>
  </si>
  <si>
    <t>from fig. 11.12</t>
  </si>
  <si>
    <t xml:space="preserve">twisting force in single bolt is = </t>
  </si>
  <si>
    <t xml:space="preserve">force in bolt due to direct shaer = </t>
  </si>
  <si>
    <t>combined effict of twisting and direct shear</t>
  </si>
  <si>
    <t xml:space="preserve">&lt; </t>
  </si>
  <si>
    <t>ok</t>
  </si>
  <si>
    <t>Step 2</t>
  </si>
  <si>
    <t>Design of Bolt B</t>
  </si>
  <si>
    <t>Us 22mm bolt</t>
  </si>
  <si>
    <t>These bolts are in single shear.</t>
  </si>
  <si>
    <t xml:space="preserve">Number of bolt = </t>
  </si>
  <si>
    <t xml:space="preserve">say bolt provided </t>
  </si>
  <si>
    <t>Four bolts are provided, 2 in each leg of angle as shown in Figure 11.13.</t>
  </si>
  <si>
    <t>edge provided</t>
  </si>
  <si>
    <t>pitch provided</t>
  </si>
  <si>
    <t xml:space="preserve">Kb = </t>
  </si>
  <si>
    <t xml:space="preserve">thickness of plate </t>
  </si>
  <si>
    <t xml:space="preserve">Vnpb = </t>
  </si>
  <si>
    <t>OK</t>
  </si>
  <si>
    <t>Bolt value</t>
  </si>
  <si>
    <t>Not OK</t>
  </si>
  <si>
    <t>Design a seat-angle connection between a beam MB300and column SC 200 for a reaction of beam 100 KN using M20 bolts of property class 4.6. fub = 400 Mpa and fu 410 MPa and fy 250</t>
  </si>
  <si>
    <t>use 20 mm bolt</t>
  </si>
  <si>
    <t>Design of Bolts in shear</t>
  </si>
  <si>
    <t>e</t>
  </si>
  <si>
    <t>ISMB 300</t>
  </si>
  <si>
    <t>radius of fillet or root</t>
  </si>
  <si>
    <t>depth of section</t>
  </si>
  <si>
    <t xml:space="preserve">
The thickness of the fl ange of the column SC200 = 15 mm
The bolts connecting the seat-angle to the column are in single shear</t>
  </si>
  <si>
    <t>angle 150x 75 x 12</t>
  </si>
  <si>
    <t>ra</t>
  </si>
  <si>
    <t xml:space="preserve">Number of bolt required = </t>
  </si>
  <si>
    <t>Width of ISMB 300</t>
  </si>
  <si>
    <t xml:space="preserve">Therefore, </t>
  </si>
  <si>
    <t xml:space="preserve">length of angle </t>
  </si>
  <si>
    <t>length of bearing required at root line of beam = R/(tw.fyw/ γm0)</t>
  </si>
  <si>
    <t xml:space="preserve">Assume end clearance of beam from face of column as 5 mm and tolerance of 5 mm.  </t>
  </si>
  <si>
    <t>Required length of outstanding leg</t>
  </si>
  <si>
    <t>Length of bearing on cleat (b1 = b - (Tf+r))</t>
  </si>
  <si>
    <t xml:space="preserve">From 150 x 75 x 12, distance from the end of bearing on cleat to root angle (A to B) in fig </t>
  </si>
  <si>
    <t>b2 = b1 + g - (t+ra)</t>
  </si>
  <si>
    <t>where g is clearance and tolerance</t>
  </si>
  <si>
    <t>ra is root radius of angle</t>
  </si>
  <si>
    <t>ta is thickmess of angle</t>
  </si>
  <si>
    <t>b2 = b1 + 5 + 5 - (t+ra)</t>
  </si>
  <si>
    <t>Assume uniformly distributed load over bearing length b1</t>
  </si>
  <si>
    <t>Moment at root of angle</t>
  </si>
  <si>
    <t>R*(b2/b1)*(b2/2)</t>
  </si>
  <si>
    <t>Nm</t>
  </si>
  <si>
    <t>Moment capacity</t>
  </si>
  <si>
    <t>1.2 * Z * Fy / γm0</t>
  </si>
  <si>
    <t>Therefore, provide 150 x 75 x 12 mm seating angle</t>
  </si>
  <si>
    <t>Shear capacity of outstanding leg of cleat</t>
  </si>
  <si>
    <t>wtfy/(sqrt3 x γm0)</t>
  </si>
  <si>
    <t>Shear strength of beam</t>
  </si>
  <si>
    <t>Vd = Av x fyw /(sqrt3 *1.1)</t>
  </si>
  <si>
    <t>Ques</t>
  </si>
  <si>
    <t>fcr</t>
  </si>
  <si>
    <t>KL/R</t>
  </si>
  <si>
    <t>phi LT</t>
  </si>
  <si>
    <t>XLT</t>
  </si>
  <si>
    <t>fbd</t>
  </si>
  <si>
    <t>Design a stiffened seat connection to transfer a factored end shear of 400 kN from a beam MB550
@ 104 kg/m to a column HB 450 @ 87.2 kg/m using M16 bolts of product Grade C and the
property class 4.6.</t>
  </si>
  <si>
    <t>ISMB 550</t>
  </si>
  <si>
    <t>Area</t>
  </si>
  <si>
    <t>width of flange</t>
  </si>
  <si>
    <t>web thickness</t>
  </si>
  <si>
    <t>flange thickness</t>
  </si>
  <si>
    <t>Radius of fillet</t>
  </si>
  <si>
    <t>Design a seat-angle connection for a beam MB350 @ 52.4 kg/m which transfers a factored end shear of 200 kN to the flange of the column HB 300 @ 63 kg/m. Use M20 bolts of product Grade C and property class 4.6. fub = 400 Mpa</t>
  </si>
  <si>
    <t>use 22mm bolt</t>
  </si>
  <si>
    <t>The bolts are in single shear. As shoun in fig 11.10</t>
  </si>
  <si>
    <t>∠ 130 130 × 16 may be used as seat-angle as in Example 10.5.
The thickness of the fl ange of the column HB300 @ 63 kg/m = 10.6 mm
The bolts connecting the seat-angle to the column are in single shear</t>
  </si>
  <si>
    <t>Width of ISMB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</si>
</sst>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5">
    <font>
      <sz val="11"/>
      <color theme="1"/>
      <name val="Calibri"/>
      <family val="2"/>
      <scheme val="minor"/>
    </font>
    <font>
      <b/>
      <sz val="11"/>
      <color theme="1"/>
      <name val="Times New Roman"/>
      <family val="1"/>
    </font>
    <font>
      <sz val="11"/>
      <color theme="1"/>
      <name val="Times New Roman"/>
      <family val="1"/>
    </font>
    <font>
      <vertAlign val="superscript"/>
      <sz val="11"/>
      <color theme="1"/>
      <name val="Times New Roman"/>
      <family val="1"/>
    </font>
    <font>
      <b/>
      <sz val="12"/>
      <color theme="1"/>
      <name val="Times New Roman"/>
      <family val="1"/>
    </font>
    <font>
      <sz val="12"/>
      <color theme="1"/>
      <name val="Times New Roman"/>
      <family val="1"/>
    </font>
    <font>
      <vertAlign val="superscript"/>
      <sz val="12"/>
      <color theme="1"/>
      <name val="Times New Roman"/>
      <family val="1"/>
    </font>
    <font>
      <b/>
      <vertAlign val="superscript"/>
      <sz val="11"/>
      <color theme="1"/>
      <name val="Times New Roman"/>
      <family val="1"/>
    </font>
    <font>
      <sz val="8"/>
      <name val="Calibri"/>
      <family val="2"/>
      <scheme val="minor"/>
    </font>
    <font>
      <sz val="14"/>
      <color theme="1"/>
      <name val="Times New Roman"/>
      <family val="1"/>
    </font>
    <font>
      <i/>
      <vertAlign val="subscript"/>
      <sz val="12"/>
      <color rgb="FF000000"/>
      <name val="Times New Roman"/>
      <family val="1"/>
    </font>
    <font>
      <i/>
      <sz val="12"/>
      <color rgb="FF000000"/>
      <name val="Times New Roman"/>
      <family val="1"/>
    </font>
    <font>
      <sz val="12"/>
      <color rgb="FF000000"/>
      <name val="Times New Roman"/>
      <family val="1"/>
    </font>
    <font>
      <sz val="11"/>
      <color theme="1"/>
      <name val="Symbol"/>
      <family val="1"/>
      <charset val="2"/>
    </font>
    <font>
      <sz val="11"/>
      <color theme="1"/>
      <name val="Times New Roman"/>
      <family val="1"/>
      <charset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30">
    <xf numFmtId="0" fontId="0" fillId="0" borderId="0" xfId="0"/>
    <xf numFmtId="0" fontId="2" fillId="0" borderId="0" xfId="0" applyFont="1"/>
    <xf numFmtId="0" fontId="2"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5" fillId="0" borderId="0" xfId="0" applyFont="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2" fillId="0" borderId="0" xfId="0" applyFont="1" applyAlignment="1">
      <alignment horizont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xf numFmtId="0" fontId="1" fillId="0" borderId="1" xfId="0" applyFont="1" applyBorder="1" applyAlignment="1">
      <alignment horizontal="center" vertical="center"/>
    </xf>
    <xf numFmtId="0" fontId="2" fillId="0" borderId="1" xfId="0" applyFont="1" applyBorder="1" applyAlignment="1">
      <alignment horizontal="center"/>
    </xf>
    <xf numFmtId="0" fontId="1" fillId="0" borderId="1" xfId="0" applyFont="1" applyBorder="1" applyAlignment="1">
      <alignment horizontal="center" vertical="center" wrapText="1"/>
    </xf>
    <xf numFmtId="2" fontId="2" fillId="0" borderId="0" xfId="0" applyNumberFormat="1" applyFont="1" applyAlignment="1">
      <alignment horizontal="center"/>
    </xf>
    <xf numFmtId="2" fontId="2" fillId="0" borderId="1" xfId="0" applyNumberFormat="1" applyFont="1" applyBorder="1" applyAlignment="1">
      <alignment horizontal="center"/>
    </xf>
    <xf numFmtId="0" fontId="2" fillId="0" borderId="1" xfId="0" applyFont="1" applyBorder="1" applyAlignment="1">
      <alignment wrapText="1"/>
    </xf>
    <xf numFmtId="0" fontId="1" fillId="0" borderId="1" xfId="0" applyFont="1" applyBorder="1"/>
    <xf numFmtId="164" fontId="2" fillId="2" borderId="1" xfId="0" applyNumberFormat="1" applyFont="1" applyFill="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5" fontId="2" fillId="0" borderId="0" xfId="0" applyNumberFormat="1" applyFont="1" applyAlignment="1">
      <alignment horizontal="center" vertical="center"/>
    </xf>
    <xf numFmtId="2" fontId="2" fillId="0" borderId="0" xfId="0" applyNumberFormat="1" applyFont="1" applyAlignment="1">
      <alignment horizontal="center" vertical="center"/>
    </xf>
    <xf numFmtId="2" fontId="2" fillId="0" borderId="1" xfId="0" applyNumberFormat="1" applyFont="1" applyBorder="1" applyAlignment="1">
      <alignment horizontal="center" vertical="center"/>
    </xf>
    <xf numFmtId="0" fontId="5" fillId="0" borderId="0" xfId="0" applyFont="1" applyAlignment="1">
      <alignment vertical="top" wrapText="1"/>
    </xf>
    <xf numFmtId="0" fontId="2" fillId="2" borderId="5" xfId="0" applyFont="1" applyFill="1" applyBorder="1"/>
    <xf numFmtId="0" fontId="2" fillId="2" borderId="0" xfId="0" applyFont="1" applyFill="1"/>
    <xf numFmtId="0" fontId="2" fillId="2" borderId="14" xfId="0" applyFont="1" applyFill="1" applyBorder="1" applyAlignment="1">
      <alignment horizontal="center"/>
    </xf>
    <xf numFmtId="2" fontId="2" fillId="2" borderId="16" xfId="0" applyNumberFormat="1" applyFont="1" applyFill="1" applyBorder="1" applyAlignment="1">
      <alignment horizontal="center"/>
    </xf>
    <xf numFmtId="0" fontId="5" fillId="2" borderId="5" xfId="0" applyFont="1" applyFill="1" applyBorder="1"/>
    <xf numFmtId="0" fontId="5" fillId="0" borderId="0" xfId="0" applyFont="1" applyAlignment="1">
      <alignment horizontal="center" vertical="top" wrapText="1"/>
    </xf>
    <xf numFmtId="2" fontId="5" fillId="0" borderId="0" xfId="0" applyNumberFormat="1" applyFont="1" applyAlignment="1">
      <alignment horizontal="center" vertical="center"/>
    </xf>
    <xf numFmtId="0" fontId="4" fillId="2" borderId="5" xfId="0" applyFont="1" applyFill="1" applyBorder="1"/>
    <xf numFmtId="0" fontId="5" fillId="0" borderId="1" xfId="0" applyFont="1" applyBorder="1" applyAlignment="1">
      <alignment horizontal="center" vertical="top" wrapText="1"/>
    </xf>
    <xf numFmtId="0" fontId="5" fillId="2" borderId="1" xfId="0" applyFont="1" applyFill="1" applyBorder="1"/>
    <xf numFmtId="2" fontId="5" fillId="0" borderId="0" xfId="0" applyNumberFormat="1" applyFont="1"/>
    <xf numFmtId="1" fontId="5" fillId="0" borderId="0" xfId="0" applyNumberFormat="1" applyFont="1" applyAlignment="1">
      <alignment horizontal="center" vertical="center"/>
    </xf>
    <xf numFmtId="2" fontId="5" fillId="0" borderId="0" xfId="0" applyNumberFormat="1" applyFont="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xf>
    <xf numFmtId="0" fontId="5" fillId="0" borderId="1" xfId="0" applyFont="1" applyBorder="1" applyAlignment="1">
      <alignment horizontal="center"/>
    </xf>
    <xf numFmtId="164" fontId="5" fillId="0" borderId="1" xfId="0" applyNumberFormat="1" applyFont="1" applyBorder="1" applyAlignment="1">
      <alignment horizontal="center"/>
    </xf>
    <xf numFmtId="0" fontId="5" fillId="0" borderId="1" xfId="0" applyFont="1" applyBorder="1"/>
    <xf numFmtId="2" fontId="5" fillId="0" borderId="1" xfId="0" applyNumberFormat="1" applyFont="1" applyBorder="1" applyAlignment="1">
      <alignment horizontal="center" vertical="center"/>
    </xf>
    <xf numFmtId="2" fontId="5" fillId="0" borderId="1" xfId="0" applyNumberFormat="1" applyFont="1" applyBorder="1" applyAlignment="1">
      <alignment horizontal="center"/>
    </xf>
    <xf numFmtId="2" fontId="5" fillId="0" borderId="1" xfId="0" applyNumberFormat="1" applyFont="1" applyBorder="1"/>
    <xf numFmtId="0" fontId="2" fillId="3" borderId="0" xfId="0" applyFont="1" applyFill="1"/>
    <xf numFmtId="0" fontId="9" fillId="0" borderId="1" xfId="0" applyFont="1" applyBorder="1" applyAlignment="1">
      <alignment horizontal="center" vertical="center"/>
    </xf>
    <xf numFmtId="0" fontId="2" fillId="3" borderId="1" xfId="0" applyFont="1" applyFill="1" applyBorder="1"/>
    <xf numFmtId="0" fontId="9" fillId="3" borderId="1" xfId="0" applyFont="1" applyFill="1" applyBorder="1" applyAlignment="1">
      <alignment horizontal="center" vertical="center"/>
    </xf>
    <xf numFmtId="2" fontId="9" fillId="3" borderId="1" xfId="0" applyNumberFormat="1" applyFont="1" applyFill="1" applyBorder="1" applyAlignment="1">
      <alignment horizontal="center" vertical="center"/>
    </xf>
    <xf numFmtId="0" fontId="2" fillId="3" borderId="0" xfId="0" applyFont="1" applyFill="1" applyAlignment="1">
      <alignment horizontal="center" vertical="center"/>
    </xf>
    <xf numFmtId="0" fontId="9" fillId="3" borderId="0" xfId="0" applyFont="1" applyFill="1"/>
    <xf numFmtId="0" fontId="9" fillId="3" borderId="0" xfId="0" applyFont="1" applyFill="1" applyAlignment="1">
      <alignment horizontal="center" vertical="center"/>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2" fontId="9" fillId="4" borderId="1" xfId="0" applyNumberFormat="1" applyFont="1" applyFill="1" applyBorder="1" applyAlignment="1">
      <alignment horizontal="center" vertical="center"/>
    </xf>
    <xf numFmtId="2" fontId="9" fillId="5" borderId="1" xfId="0" applyNumberFormat="1" applyFont="1" applyFill="1" applyBorder="1" applyAlignment="1">
      <alignment horizontal="center" vertical="center"/>
    </xf>
    <xf numFmtId="1" fontId="5" fillId="0" borderId="1" xfId="0" applyNumberFormat="1" applyFont="1" applyBorder="1" applyAlignment="1">
      <alignment horizontal="center" vertical="center"/>
    </xf>
    <xf numFmtId="0" fontId="5" fillId="0" borderId="4" xfId="0" applyFont="1" applyBorder="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center" vertical="center" wrapText="1"/>
    </xf>
    <xf numFmtId="0" fontId="5"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5" borderId="0" xfId="0" applyFont="1" applyFill="1" applyAlignment="1">
      <alignment horizontal="center" vertical="center"/>
    </xf>
    <xf numFmtId="0" fontId="14" fillId="0" borderId="0" xfId="0" applyFont="1"/>
    <xf numFmtId="0" fontId="2" fillId="2" borderId="0" xfId="0" applyFont="1" applyFill="1" applyAlignment="1">
      <alignment horizontal="center"/>
    </xf>
    <xf numFmtId="0" fontId="2" fillId="6" borderId="0" xfId="0" applyFont="1" applyFill="1"/>
    <xf numFmtId="166" fontId="2" fillId="6" borderId="0" xfId="0" applyNumberFormat="1" applyFont="1" applyFill="1" applyAlignment="1">
      <alignment horizontal="center" vertical="center"/>
    </xf>
    <xf numFmtId="0" fontId="2" fillId="7" borderId="0" xfId="0" applyFont="1" applyFill="1"/>
    <xf numFmtId="165" fontId="2"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2" fontId="5" fillId="7" borderId="0" xfId="0" applyNumberFormat="1" applyFont="1" applyFill="1" applyAlignment="1">
      <alignment horizontal="center" vertical="center"/>
    </xf>
    <xf numFmtId="0" fontId="5" fillId="7" borderId="0" xfId="0" applyFont="1" applyFill="1" applyAlignment="1">
      <alignment horizontal="center" vertical="center" wrapText="1"/>
    </xf>
    <xf numFmtId="0" fontId="2" fillId="2" borderId="1" xfId="0" applyFont="1" applyFill="1" applyBorder="1" applyAlignment="1">
      <alignment horizontal="center" vertical="center"/>
    </xf>
    <xf numFmtId="0" fontId="5" fillId="0" borderId="19"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 fillId="0" borderId="1" xfId="0" applyFont="1" applyBorder="1" applyAlignment="1">
      <alignment horizontal="left" vertical="top" wrapText="1"/>
    </xf>
    <xf numFmtId="0" fontId="4" fillId="0" borderId="1" xfId="0" applyFont="1" applyBorder="1" applyAlignment="1">
      <alignment horizontal="center"/>
    </xf>
    <xf numFmtId="0" fontId="2" fillId="0" borderId="0" xfId="0" applyFont="1" applyAlignment="1">
      <alignment horizontal="left"/>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5" fillId="0" borderId="1" xfId="0" applyFont="1" applyBorder="1" applyAlignment="1">
      <alignment horizontal="left" vertical="top" wrapText="1"/>
    </xf>
    <xf numFmtId="0" fontId="5" fillId="0" borderId="1" xfId="0" applyFont="1" applyBorder="1" applyAlignment="1">
      <alignment horizontal="center" vertical="center"/>
    </xf>
    <xf numFmtId="0" fontId="5" fillId="0" borderId="1" xfId="0" applyFont="1" applyBorder="1" applyAlignment="1">
      <alignment horizontal="center" vertical="top" wrapText="1"/>
    </xf>
    <xf numFmtId="0" fontId="9" fillId="0" borderId="1" xfId="0" applyFont="1" applyBorder="1" applyAlignment="1">
      <alignment horizont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19" xfId="0" applyFont="1" applyBorder="1" applyAlignment="1">
      <alignment horizontal="center"/>
    </xf>
    <xf numFmtId="0" fontId="2" fillId="3" borderId="20" xfId="0" applyFont="1" applyFill="1" applyBorder="1" applyAlignment="1">
      <alignment horizontal="left" wrapText="1"/>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0" xfId="0" applyFont="1" applyFill="1" applyAlignment="1">
      <alignment horizontal="left"/>
    </xf>
    <xf numFmtId="0" fontId="2" fillId="3" borderId="23" xfId="0" applyFont="1" applyFill="1" applyBorder="1" applyAlignment="1">
      <alignment horizontal="left"/>
    </xf>
    <xf numFmtId="0" fontId="2" fillId="3" borderId="24" xfId="0" applyFont="1" applyFill="1" applyBorder="1" applyAlignment="1">
      <alignment horizontal="left"/>
    </xf>
    <xf numFmtId="0" fontId="5" fillId="0" borderId="0" xfId="0" applyFont="1" applyAlignment="1">
      <alignment horizontal="center" vertical="center"/>
    </xf>
    <xf numFmtId="0" fontId="5" fillId="0" borderId="0" xfId="0" applyFont="1" applyAlignment="1">
      <alignment horizontal="center" vertical="center" wrapText="1"/>
    </xf>
    <xf numFmtId="0" fontId="5" fillId="2" borderId="0" xfId="0" applyFont="1" applyFill="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JPG"/><Relationship Id="rId6" Type="http://schemas.openxmlformats.org/officeDocument/2006/relationships/image" Target="../media/image14.JP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4.JPG"/><Relationship Id="rId1" Type="http://schemas.openxmlformats.org/officeDocument/2006/relationships/image" Target="../media/image9.JP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9.JPG"/><Relationship Id="rId5" Type="http://schemas.openxmlformats.org/officeDocument/2006/relationships/image" Target="../media/image19.png"/><Relationship Id="rId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7</xdr:col>
      <xdr:colOff>26572</xdr:colOff>
      <xdr:row>9</xdr:row>
      <xdr:rowOff>152400</xdr:rowOff>
    </xdr:from>
    <xdr:to>
      <xdr:col>10</xdr:col>
      <xdr:colOff>365760</xdr:colOff>
      <xdr:row>22</xdr:row>
      <xdr:rowOff>129540</xdr:rowOff>
    </xdr:to>
    <xdr:pic>
      <xdr:nvPicPr>
        <xdr:cNvPr id="2" name="Picture 1">
          <a:extLst>
            <a:ext uri="{FF2B5EF4-FFF2-40B4-BE49-F238E27FC236}">
              <a16:creationId xmlns:a16="http://schemas.microsoft.com/office/drawing/2014/main" id="{013491E9-B0A5-4E36-8EC2-B0B265E92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93772" y="1264920"/>
          <a:ext cx="2167988"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411329</xdr:colOff>
      <xdr:row>0</xdr:row>
      <xdr:rowOff>137160</xdr:rowOff>
    </xdr:from>
    <xdr:to>
      <xdr:col>11</xdr:col>
      <xdr:colOff>317834</xdr:colOff>
      <xdr:row>13</xdr:row>
      <xdr:rowOff>28575</xdr:rowOff>
    </xdr:to>
    <xdr:pic>
      <xdr:nvPicPr>
        <xdr:cNvPr id="3" name="Picture 2">
          <a:extLst>
            <a:ext uri="{FF2B5EF4-FFF2-40B4-BE49-F238E27FC236}">
              <a16:creationId xmlns:a16="http://schemas.microsoft.com/office/drawing/2014/main" id="{FF9987F0-7509-4225-9AD3-6AF32890BD5F}"/>
            </a:ext>
            <a:ext uri="{147F2762-F138-4A5C-976F-8EAC2B608ADB}">
              <a16:predDERef xmlns:a16="http://schemas.microsoft.com/office/drawing/2014/main" pred="{013491E9-B0A5-4E36-8EC2-B0B265E929A2}"/>
            </a:ext>
          </a:extLst>
        </xdr:cNvPr>
        <xdr:cNvPicPr>
          <a:picLocks noChangeAspect="1"/>
        </xdr:cNvPicPr>
      </xdr:nvPicPr>
      <xdr:blipFill>
        <a:blip xmlns:r="http://schemas.openxmlformats.org/officeDocument/2006/relationships" r:embed="rId2"/>
        <a:stretch>
          <a:fillRect/>
        </a:stretch>
      </xdr:blipFill>
      <xdr:spPr>
        <a:xfrm>
          <a:off x="5269079" y="137160"/>
          <a:ext cx="3449805" cy="2234565"/>
        </a:xfrm>
        <a:prstGeom prst="rect">
          <a:avLst/>
        </a:prstGeom>
      </xdr:spPr>
    </xdr:pic>
    <xdr:clientData/>
  </xdr:twoCellAnchor>
  <xdr:twoCellAnchor editAs="oneCell">
    <xdr:from>
      <xdr:col>5</xdr:col>
      <xdr:colOff>457200</xdr:colOff>
      <xdr:row>48</xdr:row>
      <xdr:rowOff>91440</xdr:rowOff>
    </xdr:from>
    <xdr:to>
      <xdr:col>14</xdr:col>
      <xdr:colOff>190952</xdr:colOff>
      <xdr:row>52</xdr:row>
      <xdr:rowOff>83883</xdr:rowOff>
    </xdr:to>
    <xdr:pic>
      <xdr:nvPicPr>
        <xdr:cNvPr id="4" name="Picture 3">
          <a:extLst>
            <a:ext uri="{FF2B5EF4-FFF2-40B4-BE49-F238E27FC236}">
              <a16:creationId xmlns:a16="http://schemas.microsoft.com/office/drawing/2014/main" id="{E6CB0BD7-5D56-4B8C-A310-AA9221154491}"/>
            </a:ext>
          </a:extLst>
        </xdr:cNvPr>
        <xdr:cNvPicPr>
          <a:picLocks noChangeAspect="1"/>
        </xdr:cNvPicPr>
      </xdr:nvPicPr>
      <xdr:blipFill>
        <a:blip xmlns:r="http://schemas.openxmlformats.org/officeDocument/2006/relationships" r:embed="rId3"/>
        <a:stretch>
          <a:fillRect/>
        </a:stretch>
      </xdr:blipFill>
      <xdr:spPr>
        <a:xfrm>
          <a:off x="5463540" y="9044940"/>
          <a:ext cx="5220152" cy="731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22860</xdr:colOff>
      <xdr:row>5</xdr:row>
      <xdr:rowOff>152400</xdr:rowOff>
    </xdr:from>
    <xdr:to>
      <xdr:col>15</xdr:col>
      <xdr:colOff>220980</xdr:colOff>
      <xdr:row>15</xdr:row>
      <xdr:rowOff>60960</xdr:rowOff>
    </xdr:to>
    <xdr:pic>
      <xdr:nvPicPr>
        <xdr:cNvPr id="2" name="Picture 1">
          <a:extLst>
            <a:ext uri="{FF2B5EF4-FFF2-40B4-BE49-F238E27FC236}">
              <a16:creationId xmlns:a16="http://schemas.microsoft.com/office/drawing/2014/main" id="{F5FB8F4C-42E2-4848-8DBD-8F12CD1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4440" y="1158240"/>
          <a:ext cx="511302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121920</xdr:colOff>
      <xdr:row>22</xdr:row>
      <xdr:rowOff>0</xdr:rowOff>
    </xdr:from>
    <xdr:to>
      <xdr:col>15</xdr:col>
      <xdr:colOff>325929</xdr:colOff>
      <xdr:row>30</xdr:row>
      <xdr:rowOff>160020</xdr:rowOff>
    </xdr:to>
    <xdr:pic>
      <xdr:nvPicPr>
        <xdr:cNvPr id="3" name="Picture 2">
          <a:extLst>
            <a:ext uri="{FF2B5EF4-FFF2-40B4-BE49-F238E27FC236}">
              <a16:creationId xmlns:a16="http://schemas.microsoft.com/office/drawing/2014/main" id="{BE9DF7F0-D982-4B99-90FB-002D7FD0E5F5}"/>
            </a:ext>
          </a:extLst>
        </xdr:cNvPr>
        <xdr:cNvPicPr>
          <a:picLocks noChangeAspect="1"/>
        </xdr:cNvPicPr>
      </xdr:nvPicPr>
      <xdr:blipFill>
        <a:blip xmlns:r="http://schemas.openxmlformats.org/officeDocument/2006/relationships" r:embed="rId2"/>
        <a:stretch>
          <a:fillRect/>
        </a:stretch>
      </xdr:blipFill>
      <xdr:spPr>
        <a:xfrm>
          <a:off x="5143500" y="3398520"/>
          <a:ext cx="5118909" cy="1836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2</xdr:row>
      <xdr:rowOff>0</xdr:rowOff>
    </xdr:from>
    <xdr:to>
      <xdr:col>18</xdr:col>
      <xdr:colOff>204191</xdr:colOff>
      <xdr:row>3</xdr:row>
      <xdr:rowOff>78956</xdr:rowOff>
    </xdr:to>
    <xdr:sp macro="" textlink="">
      <xdr:nvSpPr>
        <xdr:cNvPr id="2" name="Rectangle 1">
          <a:extLst>
            <a:ext uri="{FF2B5EF4-FFF2-40B4-BE49-F238E27FC236}">
              <a16:creationId xmlns:a16="http://schemas.microsoft.com/office/drawing/2014/main" id="{614AB768-A63B-410E-AAC7-5F32428A2111}"/>
            </a:ext>
          </a:extLst>
        </xdr:cNvPr>
        <xdr:cNvSpPr/>
      </xdr:nvSpPr>
      <xdr:spPr>
        <a:xfrm>
          <a:off x="6134100" y="381000"/>
          <a:ext cx="1690091" cy="2694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16</xdr:col>
      <xdr:colOff>663820</xdr:colOff>
      <xdr:row>3</xdr:row>
      <xdr:rowOff>78956</xdr:rowOff>
    </xdr:from>
    <xdr:to>
      <xdr:col>17</xdr:col>
      <xdr:colOff>336493</xdr:colOff>
      <xdr:row>18</xdr:row>
      <xdr:rowOff>0</xdr:rowOff>
    </xdr:to>
    <xdr:sp macro="" textlink="">
      <xdr:nvSpPr>
        <xdr:cNvPr id="3" name="Rectangle 2">
          <a:extLst>
            <a:ext uri="{FF2B5EF4-FFF2-40B4-BE49-F238E27FC236}">
              <a16:creationId xmlns:a16="http://schemas.microsoft.com/office/drawing/2014/main" id="{5DC01843-2C43-4D6C-BCA6-92640D6AC487}"/>
            </a:ext>
          </a:extLst>
        </xdr:cNvPr>
        <xdr:cNvSpPr/>
      </xdr:nvSpPr>
      <xdr:spPr>
        <a:xfrm>
          <a:off x="6797920" y="650456"/>
          <a:ext cx="367998" cy="23499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16</xdr:col>
      <xdr:colOff>0</xdr:colOff>
      <xdr:row>17</xdr:row>
      <xdr:rowOff>210579</xdr:rowOff>
    </xdr:from>
    <xdr:to>
      <xdr:col>18</xdr:col>
      <xdr:colOff>204191</xdr:colOff>
      <xdr:row>18</xdr:row>
      <xdr:rowOff>0</xdr:rowOff>
    </xdr:to>
    <xdr:sp macro="" textlink="">
      <xdr:nvSpPr>
        <xdr:cNvPr id="4" name="Rectangle 3">
          <a:extLst>
            <a:ext uri="{FF2B5EF4-FFF2-40B4-BE49-F238E27FC236}">
              <a16:creationId xmlns:a16="http://schemas.microsoft.com/office/drawing/2014/main" id="{8E702617-B751-4D41-A2F7-B29396108EBB}"/>
            </a:ext>
          </a:extLst>
        </xdr:cNvPr>
        <xdr:cNvSpPr/>
      </xdr:nvSpPr>
      <xdr:spPr>
        <a:xfrm>
          <a:off x="6134100" y="2972829"/>
          <a:ext cx="1690091" cy="27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xdr:from>
      <xdr:col>16</xdr:col>
      <xdr:colOff>0</xdr:colOff>
      <xdr:row>16</xdr:row>
      <xdr:rowOff>210579</xdr:rowOff>
    </xdr:from>
    <xdr:to>
      <xdr:col>18</xdr:col>
      <xdr:colOff>204191</xdr:colOff>
      <xdr:row>17</xdr:row>
      <xdr:rowOff>232668</xdr:rowOff>
    </xdr:to>
    <xdr:sp macro="" textlink="">
      <xdr:nvSpPr>
        <xdr:cNvPr id="5" name="Rectangle 4">
          <a:extLst>
            <a:ext uri="{FF2B5EF4-FFF2-40B4-BE49-F238E27FC236}">
              <a16:creationId xmlns:a16="http://schemas.microsoft.com/office/drawing/2014/main" id="{5870D92E-5BEC-43F8-9406-3BFC85FB5819}"/>
            </a:ext>
          </a:extLst>
        </xdr:cNvPr>
        <xdr:cNvSpPr/>
      </xdr:nvSpPr>
      <xdr:spPr>
        <a:xfrm>
          <a:off x="6134100" y="2734704"/>
          <a:ext cx="1690091" cy="2602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CA"/>
        </a:p>
      </xdr:txBody>
    </xdr:sp>
    <xdr:clientData/>
  </xdr:twoCellAnchor>
  <xdr:twoCellAnchor editAs="oneCell">
    <xdr:from>
      <xdr:col>18</xdr:col>
      <xdr:colOff>405847</xdr:colOff>
      <xdr:row>4</xdr:row>
      <xdr:rowOff>41413</xdr:rowOff>
    </xdr:from>
    <xdr:to>
      <xdr:col>25</xdr:col>
      <xdr:colOff>523817</xdr:colOff>
      <xdr:row>13</xdr:row>
      <xdr:rowOff>4790</xdr:rowOff>
    </xdr:to>
    <xdr:pic>
      <xdr:nvPicPr>
        <xdr:cNvPr id="6" name="Picture 5">
          <a:extLst>
            <a:ext uri="{FF2B5EF4-FFF2-40B4-BE49-F238E27FC236}">
              <a16:creationId xmlns:a16="http://schemas.microsoft.com/office/drawing/2014/main" id="{24199ADC-95B0-4A97-AF22-C47C640BF44D}"/>
            </a:ext>
          </a:extLst>
        </xdr:cNvPr>
        <xdr:cNvPicPr>
          <a:picLocks noChangeAspect="1"/>
        </xdr:cNvPicPr>
      </xdr:nvPicPr>
      <xdr:blipFill>
        <a:blip xmlns:r="http://schemas.openxmlformats.org/officeDocument/2006/relationships" r:embed="rId1"/>
        <a:stretch>
          <a:fillRect/>
        </a:stretch>
      </xdr:blipFill>
      <xdr:spPr>
        <a:xfrm>
          <a:off x="8025847" y="803413"/>
          <a:ext cx="5518645" cy="1677877"/>
        </a:xfrm>
        <a:prstGeom prst="rect">
          <a:avLst/>
        </a:prstGeom>
      </xdr:spPr>
    </xdr:pic>
    <xdr:clientData/>
  </xdr:twoCellAnchor>
  <xdr:twoCellAnchor editAs="oneCell">
    <xdr:from>
      <xdr:col>27</xdr:col>
      <xdr:colOff>399841</xdr:colOff>
      <xdr:row>0</xdr:row>
      <xdr:rowOff>18841</xdr:rowOff>
    </xdr:from>
    <xdr:to>
      <xdr:col>42</xdr:col>
      <xdr:colOff>140423</xdr:colOff>
      <xdr:row>25</xdr:row>
      <xdr:rowOff>168167</xdr:rowOff>
    </xdr:to>
    <xdr:pic>
      <xdr:nvPicPr>
        <xdr:cNvPr id="7" name="Picture 6">
          <a:extLst>
            <a:ext uri="{FF2B5EF4-FFF2-40B4-BE49-F238E27FC236}">
              <a16:creationId xmlns:a16="http://schemas.microsoft.com/office/drawing/2014/main" id="{F8037595-C68D-4976-8DE7-96D7C2BE3DDF}"/>
            </a:ext>
          </a:extLst>
        </xdr:cNvPr>
        <xdr:cNvPicPr>
          <a:picLocks noChangeAspect="1"/>
        </xdr:cNvPicPr>
      </xdr:nvPicPr>
      <xdr:blipFill>
        <a:blip xmlns:r="http://schemas.openxmlformats.org/officeDocument/2006/relationships" r:embed="rId2"/>
        <a:stretch>
          <a:fillRect/>
        </a:stretch>
      </xdr:blipFill>
      <xdr:spPr>
        <a:xfrm>
          <a:off x="14639716" y="18841"/>
          <a:ext cx="8684557" cy="4930876"/>
        </a:xfrm>
        <a:prstGeom prst="rect">
          <a:avLst/>
        </a:prstGeom>
      </xdr:spPr>
    </xdr:pic>
    <xdr:clientData/>
  </xdr:twoCellAnchor>
  <xdr:twoCellAnchor editAs="oneCell">
    <xdr:from>
      <xdr:col>28</xdr:col>
      <xdr:colOff>47100</xdr:colOff>
      <xdr:row>26</xdr:row>
      <xdr:rowOff>85830</xdr:rowOff>
    </xdr:from>
    <xdr:to>
      <xdr:col>42</xdr:col>
      <xdr:colOff>300685</xdr:colOff>
      <xdr:row>49</xdr:row>
      <xdr:rowOff>2844</xdr:rowOff>
    </xdr:to>
    <xdr:pic>
      <xdr:nvPicPr>
        <xdr:cNvPr id="8" name="Picture 7">
          <a:extLst>
            <a:ext uri="{FF2B5EF4-FFF2-40B4-BE49-F238E27FC236}">
              <a16:creationId xmlns:a16="http://schemas.microsoft.com/office/drawing/2014/main" id="{0A84213A-CD28-4747-9578-68EA345DDC29}"/>
            </a:ext>
          </a:extLst>
        </xdr:cNvPr>
        <xdr:cNvPicPr>
          <a:picLocks noChangeAspect="1"/>
        </xdr:cNvPicPr>
      </xdr:nvPicPr>
      <xdr:blipFill>
        <a:blip xmlns:r="http://schemas.openxmlformats.org/officeDocument/2006/relationships" r:embed="rId3"/>
        <a:stretch>
          <a:fillRect/>
        </a:stretch>
      </xdr:blipFill>
      <xdr:spPr>
        <a:xfrm>
          <a:off x="14696550" y="4943580"/>
          <a:ext cx="8787985" cy="40603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144557</xdr:colOff>
      <xdr:row>79</xdr:row>
      <xdr:rowOff>112058</xdr:rowOff>
    </xdr:to>
    <xdr:grpSp>
      <xdr:nvGrpSpPr>
        <xdr:cNvPr id="18" name="Group 17">
          <a:extLst>
            <a:ext uri="{FF2B5EF4-FFF2-40B4-BE49-F238E27FC236}">
              <a16:creationId xmlns:a16="http://schemas.microsoft.com/office/drawing/2014/main" id="{3D388A49-231C-410E-B4A5-B5E6349ED079}"/>
            </a:ext>
          </a:extLst>
        </xdr:cNvPr>
        <xdr:cNvGrpSpPr/>
      </xdr:nvGrpSpPr>
      <xdr:grpSpPr>
        <a:xfrm>
          <a:off x="0" y="0"/>
          <a:ext cx="16584707" cy="16952258"/>
          <a:chOff x="0" y="0"/>
          <a:chExt cx="16538763" cy="17817352"/>
        </a:xfrm>
      </xdr:grpSpPr>
      <xdr:pic>
        <xdr:nvPicPr>
          <xdr:cNvPr id="7" name="Picture 6" descr="A picture containing text&#10;&#10;Description automatically generated">
            <a:extLst>
              <a:ext uri="{FF2B5EF4-FFF2-40B4-BE49-F238E27FC236}">
                <a16:creationId xmlns:a16="http://schemas.microsoft.com/office/drawing/2014/main" id="{2F5D299A-E130-40AE-83C8-ECCB7D4C1A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7630" y="2000919"/>
            <a:ext cx="1940080" cy="553110"/>
          </a:xfrm>
          <a:prstGeom prst="rect">
            <a:avLst/>
          </a:prstGeom>
        </xdr:spPr>
      </xdr:pic>
      <xdr:grpSp>
        <xdr:nvGrpSpPr>
          <xdr:cNvPr id="17" name="Group 16">
            <a:extLst>
              <a:ext uri="{FF2B5EF4-FFF2-40B4-BE49-F238E27FC236}">
                <a16:creationId xmlns:a16="http://schemas.microsoft.com/office/drawing/2014/main" id="{5AAF08E0-32AE-4E39-B2DC-D5B0364EC3D3}"/>
              </a:ext>
            </a:extLst>
          </xdr:cNvPr>
          <xdr:cNvGrpSpPr/>
        </xdr:nvGrpSpPr>
        <xdr:grpSpPr>
          <a:xfrm>
            <a:off x="0" y="0"/>
            <a:ext cx="16538763" cy="17817352"/>
            <a:chOff x="0" y="0"/>
            <a:chExt cx="16538763" cy="17817352"/>
          </a:xfrm>
        </xdr:grpSpPr>
        <xdr:grpSp>
          <xdr:nvGrpSpPr>
            <xdr:cNvPr id="16" name="Group 15">
              <a:extLst>
                <a:ext uri="{FF2B5EF4-FFF2-40B4-BE49-F238E27FC236}">
                  <a16:creationId xmlns:a16="http://schemas.microsoft.com/office/drawing/2014/main" id="{4945B501-5F60-44D3-A3A9-6978D8460911}"/>
                </a:ext>
              </a:extLst>
            </xdr:cNvPr>
            <xdr:cNvGrpSpPr/>
          </xdr:nvGrpSpPr>
          <xdr:grpSpPr>
            <a:xfrm>
              <a:off x="0" y="0"/>
              <a:ext cx="16538763" cy="11679968"/>
              <a:chOff x="0" y="0"/>
              <a:chExt cx="16538763" cy="11679968"/>
            </a:xfrm>
          </xdr:grpSpPr>
          <xdr:grpSp>
            <xdr:nvGrpSpPr>
              <xdr:cNvPr id="15" name="Group 14">
                <a:extLst>
                  <a:ext uri="{FF2B5EF4-FFF2-40B4-BE49-F238E27FC236}">
                    <a16:creationId xmlns:a16="http://schemas.microsoft.com/office/drawing/2014/main" id="{B1788BA7-4DFA-472E-A08D-31E79A89BCD7}"/>
                  </a:ext>
                </a:extLst>
              </xdr:cNvPr>
              <xdr:cNvGrpSpPr/>
            </xdr:nvGrpSpPr>
            <xdr:grpSpPr>
              <a:xfrm>
                <a:off x="1" y="0"/>
                <a:ext cx="16538762" cy="10686297"/>
                <a:chOff x="1" y="0"/>
                <a:chExt cx="16538762" cy="10686297"/>
              </a:xfrm>
            </xdr:grpSpPr>
            <xdr:pic>
              <xdr:nvPicPr>
                <xdr:cNvPr id="9" name="Picture 8">
                  <a:extLst>
                    <a:ext uri="{FF2B5EF4-FFF2-40B4-BE49-F238E27FC236}">
                      <a16:creationId xmlns:a16="http://schemas.microsoft.com/office/drawing/2014/main" id="{23CB466F-785F-4C01-94CE-EF6AD01E7459}"/>
                    </a:ext>
                  </a:extLst>
                </xdr:cNvPr>
                <xdr:cNvPicPr>
                  <a:picLocks noChangeAspect="1"/>
                </xdr:cNvPicPr>
              </xdr:nvPicPr>
              <xdr:blipFill>
                <a:blip xmlns:r="http://schemas.openxmlformats.org/officeDocument/2006/relationships" r:embed="rId2"/>
                <a:stretch>
                  <a:fillRect/>
                </a:stretch>
              </xdr:blipFill>
              <xdr:spPr>
                <a:xfrm>
                  <a:off x="2196353" y="8314765"/>
                  <a:ext cx="1028844" cy="647790"/>
                </a:xfrm>
                <a:prstGeom prst="rect">
                  <a:avLst/>
                </a:prstGeom>
              </xdr:spPr>
            </xdr:pic>
            <xdr:grpSp>
              <xdr:nvGrpSpPr>
                <xdr:cNvPr id="14" name="Group 13">
                  <a:extLst>
                    <a:ext uri="{FF2B5EF4-FFF2-40B4-BE49-F238E27FC236}">
                      <a16:creationId xmlns:a16="http://schemas.microsoft.com/office/drawing/2014/main" id="{B7DD9973-D21B-47F5-AC90-868F426BB144}"/>
                    </a:ext>
                  </a:extLst>
                </xdr:cNvPr>
                <xdr:cNvGrpSpPr/>
              </xdr:nvGrpSpPr>
              <xdr:grpSpPr>
                <a:xfrm>
                  <a:off x="1" y="0"/>
                  <a:ext cx="16538762" cy="10686297"/>
                  <a:chOff x="1" y="0"/>
                  <a:chExt cx="16538762" cy="10686297"/>
                </a:xfrm>
              </xdr:grpSpPr>
              <xdr:grpSp>
                <xdr:nvGrpSpPr>
                  <xdr:cNvPr id="13" name="Group 12">
                    <a:extLst>
                      <a:ext uri="{FF2B5EF4-FFF2-40B4-BE49-F238E27FC236}">
                        <a16:creationId xmlns:a16="http://schemas.microsoft.com/office/drawing/2014/main" id="{9A279533-AA6A-466B-8274-F563830C62EA}"/>
                      </a:ext>
                    </a:extLst>
                  </xdr:cNvPr>
                  <xdr:cNvGrpSpPr/>
                </xdr:nvGrpSpPr>
                <xdr:grpSpPr>
                  <a:xfrm>
                    <a:off x="1" y="0"/>
                    <a:ext cx="16538762" cy="4650441"/>
                    <a:chOff x="1" y="0"/>
                    <a:chExt cx="16538762" cy="4650441"/>
                  </a:xfrm>
                </xdr:grpSpPr>
                <xdr:grpSp>
                  <xdr:nvGrpSpPr>
                    <xdr:cNvPr id="6" name="Group 5">
                      <a:extLst>
                        <a:ext uri="{FF2B5EF4-FFF2-40B4-BE49-F238E27FC236}">
                          <a16:creationId xmlns:a16="http://schemas.microsoft.com/office/drawing/2014/main" id="{B616AEB3-5259-43C0-9896-E1BBD5E4608F}"/>
                        </a:ext>
                      </a:extLst>
                    </xdr:cNvPr>
                    <xdr:cNvGrpSpPr/>
                  </xdr:nvGrpSpPr>
                  <xdr:grpSpPr>
                    <a:xfrm>
                      <a:off x="9365317" y="0"/>
                      <a:ext cx="7173446" cy="2335241"/>
                      <a:chOff x="4619625" y="400050"/>
                      <a:chExt cx="11601451" cy="2628275"/>
                    </a:xfrm>
                  </xdr:grpSpPr>
                  <xdr:grpSp>
                    <xdr:nvGrpSpPr>
                      <xdr:cNvPr id="4" name="Group 3">
                        <a:extLst>
                          <a:ext uri="{FF2B5EF4-FFF2-40B4-BE49-F238E27FC236}">
                            <a16:creationId xmlns:a16="http://schemas.microsoft.com/office/drawing/2014/main" id="{51840DD2-636E-4A78-88D3-9792F9087A41}"/>
                          </a:ext>
                        </a:extLst>
                      </xdr:cNvPr>
                      <xdr:cNvGrpSpPr/>
                    </xdr:nvGrpSpPr>
                    <xdr:grpSpPr>
                      <a:xfrm>
                        <a:off x="4619625" y="400050"/>
                        <a:ext cx="7972884" cy="2353003"/>
                        <a:chOff x="4619625" y="400050"/>
                        <a:chExt cx="7972884" cy="2353003"/>
                      </a:xfrm>
                    </xdr:grpSpPr>
                    <xdr:pic>
                      <xdr:nvPicPr>
                        <xdr:cNvPr id="2" name="Picture 1">
                          <a:extLst>
                            <a:ext uri="{FF2B5EF4-FFF2-40B4-BE49-F238E27FC236}">
                              <a16:creationId xmlns:a16="http://schemas.microsoft.com/office/drawing/2014/main" id="{35E76ACD-64EA-44AA-B9ED-C31AF4E56F76}"/>
                            </a:ext>
                          </a:extLst>
                        </xdr:cNvPr>
                        <xdr:cNvPicPr>
                          <a:picLocks noChangeAspect="1"/>
                        </xdr:cNvPicPr>
                      </xdr:nvPicPr>
                      <xdr:blipFill>
                        <a:blip xmlns:r="http://schemas.openxmlformats.org/officeDocument/2006/relationships" r:embed="rId3"/>
                        <a:stretch>
                          <a:fillRect/>
                        </a:stretch>
                      </xdr:blipFill>
                      <xdr:spPr>
                        <a:xfrm>
                          <a:off x="4619625" y="400050"/>
                          <a:ext cx="4744112" cy="2353003"/>
                        </a:xfrm>
                        <a:prstGeom prst="rect">
                          <a:avLst/>
                        </a:prstGeom>
                      </xdr:spPr>
                    </xdr:pic>
                    <xdr:pic>
                      <xdr:nvPicPr>
                        <xdr:cNvPr id="3" name="Picture 2">
                          <a:extLst>
                            <a:ext uri="{FF2B5EF4-FFF2-40B4-BE49-F238E27FC236}">
                              <a16:creationId xmlns:a16="http://schemas.microsoft.com/office/drawing/2014/main" id="{7F26DB7E-B68E-437A-8252-DF95FF808C61}"/>
                            </a:ext>
                          </a:extLst>
                        </xdr:cNvPr>
                        <xdr:cNvPicPr>
                          <a:picLocks noChangeAspect="1"/>
                        </xdr:cNvPicPr>
                      </xdr:nvPicPr>
                      <xdr:blipFill>
                        <a:blip xmlns:r="http://schemas.openxmlformats.org/officeDocument/2006/relationships" r:embed="rId4"/>
                        <a:stretch>
                          <a:fillRect/>
                        </a:stretch>
                      </xdr:blipFill>
                      <xdr:spPr>
                        <a:xfrm>
                          <a:off x="9305925" y="447675"/>
                          <a:ext cx="3286584" cy="2200582"/>
                        </a:xfrm>
                        <a:prstGeom prst="rect">
                          <a:avLst/>
                        </a:prstGeom>
                      </xdr:spPr>
                    </xdr:pic>
                  </xdr:grpSp>
                  <xdr:pic>
                    <xdr:nvPicPr>
                      <xdr:cNvPr id="5" name="Picture 4">
                        <a:extLst>
                          <a:ext uri="{FF2B5EF4-FFF2-40B4-BE49-F238E27FC236}">
                            <a16:creationId xmlns:a16="http://schemas.microsoft.com/office/drawing/2014/main" id="{61F50222-5BAE-481A-A73C-4457AC4D9F51}"/>
                          </a:ext>
                        </a:extLst>
                      </xdr:cNvPr>
                      <xdr:cNvPicPr>
                        <a:picLocks noChangeAspect="1"/>
                      </xdr:cNvPicPr>
                    </xdr:nvPicPr>
                    <xdr:blipFill>
                      <a:blip xmlns:r="http://schemas.openxmlformats.org/officeDocument/2006/relationships" r:embed="rId5"/>
                      <a:stretch>
                        <a:fillRect/>
                      </a:stretch>
                    </xdr:blipFill>
                    <xdr:spPr>
                      <a:xfrm>
                        <a:off x="12582526" y="419101"/>
                        <a:ext cx="3638550" cy="2609224"/>
                      </a:xfrm>
                      <a:prstGeom prst="rect">
                        <a:avLst/>
                      </a:prstGeom>
                    </xdr:spPr>
                  </xdr:pic>
                </xdr:grpSp>
                <xdr:pic>
                  <xdr:nvPicPr>
                    <xdr:cNvPr id="8" name="Picture 7">
                      <a:extLst>
                        <a:ext uri="{FF2B5EF4-FFF2-40B4-BE49-F238E27FC236}">
                          <a16:creationId xmlns:a16="http://schemas.microsoft.com/office/drawing/2014/main" id="{BA00B474-97DC-4263-8E02-FD67AA1A544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 y="3843618"/>
                      <a:ext cx="1927412" cy="806823"/>
                    </a:xfrm>
                    <a:prstGeom prst="rect">
                      <a:avLst/>
                    </a:prstGeom>
                  </xdr:spPr>
                </xdr:pic>
              </xdr:grpSp>
              <xdr:pic>
                <xdr:nvPicPr>
                  <xdr:cNvPr id="10" name="Picture 9">
                    <a:extLst>
                      <a:ext uri="{FF2B5EF4-FFF2-40B4-BE49-F238E27FC236}">
                        <a16:creationId xmlns:a16="http://schemas.microsoft.com/office/drawing/2014/main" id="{F4099512-084D-4D44-ABB2-CEDC3D720B85}"/>
                      </a:ext>
                    </a:extLst>
                  </xdr:cNvPr>
                  <xdr:cNvPicPr>
                    <a:picLocks noChangeAspect="1"/>
                  </xdr:cNvPicPr>
                </xdr:nvPicPr>
                <xdr:blipFill>
                  <a:blip xmlns:r="http://schemas.openxmlformats.org/officeDocument/2006/relationships" r:embed="rId7"/>
                  <a:stretch>
                    <a:fillRect/>
                  </a:stretch>
                </xdr:blipFill>
                <xdr:spPr>
                  <a:xfrm>
                    <a:off x="6230472" y="8057030"/>
                    <a:ext cx="4324954" cy="2629267"/>
                  </a:xfrm>
                  <a:prstGeom prst="rect">
                    <a:avLst/>
                  </a:prstGeom>
                </xdr:spPr>
              </xdr:pic>
            </xdr:grpSp>
          </xdr:grpSp>
          <xdr:pic>
            <xdr:nvPicPr>
              <xdr:cNvPr id="11" name="Picture 10">
                <a:extLst>
                  <a:ext uri="{FF2B5EF4-FFF2-40B4-BE49-F238E27FC236}">
                    <a16:creationId xmlns:a16="http://schemas.microsoft.com/office/drawing/2014/main" id="{9752429C-EA76-4D71-AD84-460E19033AE3}"/>
                  </a:ext>
                </a:extLst>
              </xdr:cNvPr>
              <xdr:cNvPicPr>
                <a:picLocks noChangeAspect="1"/>
              </xdr:cNvPicPr>
            </xdr:nvPicPr>
            <xdr:blipFill>
              <a:blip xmlns:r="http://schemas.openxmlformats.org/officeDocument/2006/relationships" r:embed="rId8"/>
              <a:stretch>
                <a:fillRect/>
              </a:stretch>
            </xdr:blipFill>
            <xdr:spPr>
              <a:xfrm>
                <a:off x="0" y="11127441"/>
                <a:ext cx="2151529" cy="552527"/>
              </a:xfrm>
              <a:prstGeom prst="rect">
                <a:avLst/>
              </a:prstGeom>
            </xdr:spPr>
          </xdr:pic>
        </xdr:grpSp>
        <xdr:pic>
          <xdr:nvPicPr>
            <xdr:cNvPr id="12" name="Picture 11">
              <a:extLst>
                <a:ext uri="{FF2B5EF4-FFF2-40B4-BE49-F238E27FC236}">
                  <a16:creationId xmlns:a16="http://schemas.microsoft.com/office/drawing/2014/main" id="{A0D41FF2-82B7-4684-8F7C-2466BA5D932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9647" y="17010529"/>
              <a:ext cx="1927412" cy="806823"/>
            </a:xfrm>
            <a:prstGeom prst="rect">
              <a:avLst/>
            </a:prstGeom>
          </xdr:spPr>
        </xdr:pic>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83821</xdr:colOff>
      <xdr:row>7</xdr:row>
      <xdr:rowOff>30996</xdr:rowOff>
    </xdr:from>
    <xdr:to>
      <xdr:col>1</xdr:col>
      <xdr:colOff>1492201</xdr:colOff>
      <xdr:row>20</xdr:row>
      <xdr:rowOff>59788</xdr:rowOff>
    </xdr:to>
    <xdr:grpSp>
      <xdr:nvGrpSpPr>
        <xdr:cNvPr id="3" name="Group 2">
          <a:extLst>
            <a:ext uri="{FF2B5EF4-FFF2-40B4-BE49-F238E27FC236}">
              <a16:creationId xmlns:a16="http://schemas.microsoft.com/office/drawing/2014/main" id="{DBA5AD35-9F2E-45C1-A217-5E356088A1F6}"/>
            </a:ext>
          </a:extLst>
        </xdr:cNvPr>
        <xdr:cNvGrpSpPr/>
      </xdr:nvGrpSpPr>
      <xdr:grpSpPr>
        <a:xfrm>
          <a:off x="83821" y="1774071"/>
          <a:ext cx="3961080" cy="2505292"/>
          <a:chOff x="1" y="1824207"/>
          <a:chExt cx="3697953" cy="2629943"/>
        </a:xfrm>
      </xdr:grpSpPr>
      <xdr:pic>
        <xdr:nvPicPr>
          <xdr:cNvPr id="9" name="Picture 8" descr="A picture containing text&#10;&#10;Description automatically generated">
            <a:extLst>
              <a:ext uri="{FF2B5EF4-FFF2-40B4-BE49-F238E27FC236}">
                <a16:creationId xmlns:a16="http://schemas.microsoft.com/office/drawing/2014/main" id="{82483E34-685E-48D0-9BD7-2FE1026649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485" y="1824207"/>
            <a:ext cx="1945469" cy="549023"/>
          </a:xfrm>
          <a:prstGeom prst="rect">
            <a:avLst/>
          </a:prstGeom>
        </xdr:spPr>
      </xdr:pic>
      <xdr:pic>
        <xdr:nvPicPr>
          <xdr:cNvPr id="6" name="Picture 5">
            <a:extLst>
              <a:ext uri="{FF2B5EF4-FFF2-40B4-BE49-F238E27FC236}">
                <a16:creationId xmlns:a16="http://schemas.microsoft.com/office/drawing/2014/main" id="{F5F0A434-AC9F-4BF4-8E13-683D401296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3653289"/>
            <a:ext cx="1932766" cy="800861"/>
          </a:xfrm>
          <a:prstGeom prst="rect">
            <a:avLst/>
          </a:prstGeom>
        </xdr:spPr>
      </xdr:pic>
    </xdr:grpSp>
    <xdr:clientData/>
  </xdr:twoCellAnchor>
  <xdr:twoCellAnchor editAs="oneCell">
    <xdr:from>
      <xdr:col>9</xdr:col>
      <xdr:colOff>0</xdr:colOff>
      <xdr:row>11</xdr:row>
      <xdr:rowOff>45720</xdr:rowOff>
    </xdr:from>
    <xdr:to>
      <xdr:col>15</xdr:col>
      <xdr:colOff>449512</xdr:colOff>
      <xdr:row>25</xdr:row>
      <xdr:rowOff>45720</xdr:rowOff>
    </xdr:to>
    <xdr:pic>
      <xdr:nvPicPr>
        <xdr:cNvPr id="2" name="Picture 1">
          <a:extLst>
            <a:ext uri="{FF2B5EF4-FFF2-40B4-BE49-F238E27FC236}">
              <a16:creationId xmlns:a16="http://schemas.microsoft.com/office/drawing/2014/main" id="{55FFDBFD-C9D2-4751-84A0-35598D11A429}"/>
            </a:ext>
          </a:extLst>
        </xdr:cNvPr>
        <xdr:cNvPicPr>
          <a:picLocks noChangeAspect="1"/>
        </xdr:cNvPicPr>
      </xdr:nvPicPr>
      <xdr:blipFill>
        <a:blip xmlns:r="http://schemas.openxmlformats.org/officeDocument/2006/relationships" r:embed="rId3"/>
        <a:stretch>
          <a:fillRect/>
        </a:stretch>
      </xdr:blipFill>
      <xdr:spPr>
        <a:xfrm>
          <a:off x="10546080" y="2613660"/>
          <a:ext cx="4198552" cy="32689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374346</xdr:colOff>
      <xdr:row>6</xdr:row>
      <xdr:rowOff>83820</xdr:rowOff>
    </xdr:from>
    <xdr:to>
      <xdr:col>13</xdr:col>
      <xdr:colOff>426992</xdr:colOff>
      <xdr:row>10</xdr:row>
      <xdr:rowOff>76200</xdr:rowOff>
    </xdr:to>
    <xdr:pic>
      <xdr:nvPicPr>
        <xdr:cNvPr id="2" name="Picture 1">
          <a:extLst>
            <a:ext uri="{FF2B5EF4-FFF2-40B4-BE49-F238E27FC236}">
              <a16:creationId xmlns:a16="http://schemas.microsoft.com/office/drawing/2014/main" id="{53FABA4C-EC59-45EB-A677-EEC746083FE9}"/>
            </a:ext>
          </a:extLst>
        </xdr:cNvPr>
        <xdr:cNvPicPr>
          <a:picLocks noChangeAspect="1"/>
        </xdr:cNvPicPr>
      </xdr:nvPicPr>
      <xdr:blipFill>
        <a:blip xmlns:r="http://schemas.openxmlformats.org/officeDocument/2006/relationships" r:embed="rId1"/>
        <a:stretch>
          <a:fillRect/>
        </a:stretch>
      </xdr:blipFill>
      <xdr:spPr>
        <a:xfrm>
          <a:off x="5091126" y="1143000"/>
          <a:ext cx="3710246" cy="6934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516032</xdr:colOff>
      <xdr:row>41</xdr:row>
      <xdr:rowOff>105012</xdr:rowOff>
    </xdr:to>
    <xdr:grpSp>
      <xdr:nvGrpSpPr>
        <xdr:cNvPr id="23" name="Group 22">
          <a:extLst>
            <a:ext uri="{FF2B5EF4-FFF2-40B4-BE49-F238E27FC236}">
              <a16:creationId xmlns:a16="http://schemas.microsoft.com/office/drawing/2014/main" id="{505D5510-5E7B-4FDA-B738-1C8ACEEF2EDF}"/>
            </a:ext>
          </a:extLst>
        </xdr:cNvPr>
        <xdr:cNvGrpSpPr/>
      </xdr:nvGrpSpPr>
      <xdr:grpSpPr>
        <a:xfrm>
          <a:off x="1" y="0"/>
          <a:ext cx="14165356" cy="8829912"/>
          <a:chOff x="1" y="0"/>
          <a:chExt cx="14165356" cy="9201387"/>
        </a:xfrm>
      </xdr:grpSpPr>
      <xdr:grpSp>
        <xdr:nvGrpSpPr>
          <xdr:cNvPr id="22" name="Group 21">
            <a:extLst>
              <a:ext uri="{FF2B5EF4-FFF2-40B4-BE49-F238E27FC236}">
                <a16:creationId xmlns:a16="http://schemas.microsoft.com/office/drawing/2014/main" id="{4815D6F5-7D1A-4D27-8A67-824148F16D55}"/>
              </a:ext>
            </a:extLst>
          </xdr:cNvPr>
          <xdr:cNvGrpSpPr/>
        </xdr:nvGrpSpPr>
        <xdr:grpSpPr>
          <a:xfrm>
            <a:off x="1" y="0"/>
            <a:ext cx="14165356" cy="4454150"/>
            <a:chOff x="1" y="0"/>
            <a:chExt cx="14165356" cy="4454150"/>
          </a:xfrm>
        </xdr:grpSpPr>
        <xdr:grpSp>
          <xdr:nvGrpSpPr>
            <xdr:cNvPr id="21" name="Group 20">
              <a:extLst>
                <a:ext uri="{FF2B5EF4-FFF2-40B4-BE49-F238E27FC236}">
                  <a16:creationId xmlns:a16="http://schemas.microsoft.com/office/drawing/2014/main" id="{580D181F-398F-4A4E-AC90-A8A792FCBE52}"/>
                </a:ext>
              </a:extLst>
            </xdr:cNvPr>
            <xdr:cNvGrpSpPr/>
          </xdr:nvGrpSpPr>
          <xdr:grpSpPr>
            <a:xfrm>
              <a:off x="1752485" y="0"/>
              <a:ext cx="12412872" cy="2373230"/>
              <a:chOff x="1752485" y="0"/>
              <a:chExt cx="12412872" cy="2373230"/>
            </a:xfrm>
          </xdr:grpSpPr>
          <xdr:grpSp>
            <xdr:nvGrpSpPr>
              <xdr:cNvPr id="20" name="Group 19">
                <a:extLst>
                  <a:ext uri="{FF2B5EF4-FFF2-40B4-BE49-F238E27FC236}">
                    <a16:creationId xmlns:a16="http://schemas.microsoft.com/office/drawing/2014/main" id="{CCB87A96-99B8-453C-97A9-4949BAB5F2C2}"/>
                  </a:ext>
                </a:extLst>
              </xdr:cNvPr>
              <xdr:cNvGrpSpPr/>
            </xdr:nvGrpSpPr>
            <xdr:grpSpPr>
              <a:xfrm>
                <a:off x="1752485" y="108677"/>
                <a:ext cx="9962987" cy="2264553"/>
                <a:chOff x="1752485" y="108677"/>
                <a:chExt cx="9962987" cy="2264553"/>
              </a:xfrm>
            </xdr:grpSpPr>
            <xdr:pic>
              <xdr:nvPicPr>
                <xdr:cNvPr id="3" name="Picture 2" descr="A picture containing text&#10;&#10;Description automatically generated">
                  <a:extLst>
                    <a:ext uri="{FF2B5EF4-FFF2-40B4-BE49-F238E27FC236}">
                      <a16:creationId xmlns:a16="http://schemas.microsoft.com/office/drawing/2014/main" id="{BDCDD9CA-2E0B-4C77-926D-A4C6D705EA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485" y="1824207"/>
                  <a:ext cx="1945469" cy="549023"/>
                </a:xfrm>
                <a:prstGeom prst="rect">
                  <a:avLst/>
                </a:prstGeom>
              </xdr:spPr>
            </xdr:pic>
            <xdr:pic>
              <xdr:nvPicPr>
                <xdr:cNvPr id="18" name="Picture 17">
                  <a:extLst>
                    <a:ext uri="{FF2B5EF4-FFF2-40B4-BE49-F238E27FC236}">
                      <a16:creationId xmlns:a16="http://schemas.microsoft.com/office/drawing/2014/main" id="{DB1EF9EA-92D0-4ABD-AFF9-10F29BE6ED62}"/>
                    </a:ext>
                  </a:extLst>
                </xdr:cNvPr>
                <xdr:cNvPicPr>
                  <a:picLocks noChangeAspect="1"/>
                </xdr:cNvPicPr>
              </xdr:nvPicPr>
              <xdr:blipFill>
                <a:blip xmlns:r="http://schemas.openxmlformats.org/officeDocument/2006/relationships" r:embed="rId2"/>
                <a:stretch>
                  <a:fillRect/>
                </a:stretch>
              </xdr:blipFill>
              <xdr:spPr>
                <a:xfrm>
                  <a:off x="9677656" y="108677"/>
                  <a:ext cx="2037816" cy="1778859"/>
                </a:xfrm>
                <a:prstGeom prst="rect">
                  <a:avLst/>
                </a:prstGeom>
              </xdr:spPr>
            </xdr:pic>
          </xdr:grpSp>
          <xdr:pic>
            <xdr:nvPicPr>
              <xdr:cNvPr id="16" name="Picture 15">
                <a:extLst>
                  <a:ext uri="{FF2B5EF4-FFF2-40B4-BE49-F238E27FC236}">
                    <a16:creationId xmlns:a16="http://schemas.microsoft.com/office/drawing/2014/main" id="{F1DB2FEF-4BB7-4EC3-9168-A9BB05ACB7AC}"/>
                  </a:ext>
                </a:extLst>
              </xdr:cNvPr>
              <xdr:cNvPicPr>
                <a:picLocks noChangeAspect="1"/>
              </xdr:cNvPicPr>
            </xdr:nvPicPr>
            <xdr:blipFill>
              <a:blip xmlns:r="http://schemas.openxmlformats.org/officeDocument/2006/relationships" r:embed="rId3"/>
              <a:stretch>
                <a:fillRect/>
              </a:stretch>
            </xdr:blipFill>
            <xdr:spPr>
              <a:xfrm>
                <a:off x="11909307" y="0"/>
                <a:ext cx="2256050" cy="2139257"/>
              </a:xfrm>
              <a:prstGeom prst="rect">
                <a:avLst/>
              </a:prstGeom>
            </xdr:spPr>
          </xdr:pic>
        </xdr:grpSp>
        <xdr:pic>
          <xdr:nvPicPr>
            <xdr:cNvPr id="14" name="Picture 13">
              <a:extLst>
                <a:ext uri="{FF2B5EF4-FFF2-40B4-BE49-F238E27FC236}">
                  <a16:creationId xmlns:a16="http://schemas.microsoft.com/office/drawing/2014/main" id="{840B00EB-57A7-4CB5-BBEB-E5F3445989B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 y="3653289"/>
              <a:ext cx="1932766" cy="800861"/>
            </a:xfrm>
            <a:prstGeom prst="rect">
              <a:avLst/>
            </a:prstGeom>
          </xdr:spPr>
        </xdr:pic>
      </xdr:grpSp>
      <xdr:pic>
        <xdr:nvPicPr>
          <xdr:cNvPr id="19" name="Picture 18">
            <a:extLst>
              <a:ext uri="{FF2B5EF4-FFF2-40B4-BE49-F238E27FC236}">
                <a16:creationId xmlns:a16="http://schemas.microsoft.com/office/drawing/2014/main" id="{4EBBC18B-EA9A-4F8A-BCAA-E44E4787CB00}"/>
              </a:ext>
            </a:extLst>
          </xdr:cNvPr>
          <xdr:cNvPicPr>
            <a:picLocks noChangeAspect="1"/>
          </xdr:cNvPicPr>
        </xdr:nvPicPr>
        <xdr:blipFill>
          <a:blip xmlns:r="http://schemas.openxmlformats.org/officeDocument/2006/relationships" r:embed="rId5"/>
          <a:stretch>
            <a:fillRect/>
          </a:stretch>
        </xdr:blipFill>
        <xdr:spPr>
          <a:xfrm>
            <a:off x="504825" y="7505700"/>
            <a:ext cx="4477375" cy="1695687"/>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49"/>
  <sheetViews>
    <sheetView workbookViewId="0">
      <selection activeCell="G16" sqref="G16"/>
    </sheetView>
  </sheetViews>
  <sheetFormatPr defaultColWidth="8.85546875" defaultRowHeight="13.9"/>
  <cols>
    <col min="1" max="1" width="8.85546875" style="1"/>
    <col min="2" max="2" width="28.85546875" style="1" bestFit="1" customWidth="1"/>
    <col min="3" max="3" width="16" style="1" customWidth="1"/>
    <col min="4" max="5" width="8.85546875" style="1"/>
    <col min="6" max="6" width="17" style="1" customWidth="1"/>
    <col min="7" max="7" width="12" style="1" bestFit="1" customWidth="1"/>
    <col min="8" max="16384" width="8.85546875" style="1"/>
  </cols>
  <sheetData>
    <row r="2" spans="2:11" ht="14.45" customHeight="1">
      <c r="B2" s="87" t="s">
        <v>0</v>
      </c>
      <c r="C2" s="87"/>
      <c r="D2" s="87"/>
      <c r="E2" s="87"/>
      <c r="F2" s="87"/>
      <c r="G2" s="87"/>
      <c r="H2" s="87"/>
      <c r="I2" s="87"/>
      <c r="J2" s="87"/>
      <c r="K2" s="87"/>
    </row>
    <row r="3" spans="2:11">
      <c r="B3" s="87"/>
      <c r="C3" s="87"/>
      <c r="D3" s="87"/>
      <c r="E3" s="87"/>
      <c r="F3" s="87"/>
      <c r="G3" s="87"/>
      <c r="H3" s="87"/>
      <c r="I3" s="87"/>
      <c r="J3" s="87"/>
      <c r="K3" s="87"/>
    </row>
    <row r="4" spans="2:11">
      <c r="B4" s="87"/>
      <c r="C4" s="87"/>
      <c r="D4" s="87"/>
      <c r="E4" s="87"/>
      <c r="F4" s="87"/>
      <c r="G4" s="87"/>
      <c r="H4" s="87"/>
      <c r="I4" s="87"/>
      <c r="J4" s="87"/>
      <c r="K4" s="87"/>
    </row>
    <row r="5" spans="2:11">
      <c r="B5" s="87"/>
      <c r="C5" s="87"/>
      <c r="D5" s="87"/>
      <c r="E5" s="87"/>
      <c r="F5" s="87"/>
      <c r="G5" s="87"/>
      <c r="H5" s="87"/>
      <c r="I5" s="87"/>
      <c r="J5" s="87"/>
      <c r="K5" s="87"/>
    </row>
    <row r="6" spans="2:11">
      <c r="B6" s="87"/>
      <c r="C6" s="87"/>
      <c r="D6" s="87"/>
      <c r="E6" s="87"/>
      <c r="F6" s="87"/>
      <c r="G6" s="87"/>
      <c r="H6" s="87"/>
      <c r="I6" s="87"/>
      <c r="J6" s="87"/>
      <c r="K6" s="87"/>
    </row>
    <row r="7" spans="2:11">
      <c r="B7" s="87"/>
      <c r="C7" s="87"/>
      <c r="D7" s="87"/>
      <c r="E7" s="87"/>
      <c r="F7" s="87"/>
      <c r="G7" s="87"/>
      <c r="H7" s="87"/>
      <c r="I7" s="87"/>
      <c r="J7" s="87"/>
      <c r="K7" s="87"/>
    </row>
    <row r="8" spans="2:11">
      <c r="B8" s="87"/>
      <c r="C8" s="87"/>
      <c r="D8" s="87"/>
      <c r="E8" s="87"/>
      <c r="F8" s="87"/>
      <c r="G8" s="87"/>
      <c r="H8" s="87"/>
      <c r="I8" s="87"/>
      <c r="J8" s="87"/>
      <c r="K8" s="87"/>
    </row>
    <row r="10" spans="2:11" ht="15.6">
      <c r="B10" s="88" t="s">
        <v>1</v>
      </c>
      <c r="C10" s="88"/>
      <c r="D10" s="88"/>
    </row>
    <row r="11" spans="2:11" ht="18.600000000000001">
      <c r="B11" s="6" t="s">
        <v>2</v>
      </c>
      <c r="C11" s="7">
        <v>20458.400000000001</v>
      </c>
      <c r="D11" s="7" t="s">
        <v>3</v>
      </c>
    </row>
    <row r="12" spans="2:11" ht="18.600000000000001">
      <c r="B12" s="6" t="s">
        <v>4</v>
      </c>
      <c r="C12" s="7">
        <v>1022.9</v>
      </c>
      <c r="D12" s="7" t="s">
        <v>5</v>
      </c>
    </row>
    <row r="13" spans="2:11" ht="18.600000000000001">
      <c r="B13" s="6" t="s">
        <v>6</v>
      </c>
      <c r="C13" s="7">
        <v>1176.18</v>
      </c>
      <c r="D13" s="7" t="s">
        <v>5</v>
      </c>
    </row>
    <row r="14" spans="2:11" ht="15.6">
      <c r="B14" s="6" t="s">
        <v>7</v>
      </c>
      <c r="C14" s="7">
        <v>140</v>
      </c>
      <c r="D14" s="7" t="s">
        <v>8</v>
      </c>
    </row>
    <row r="15" spans="2:11" ht="15.6">
      <c r="B15" s="6" t="s">
        <v>9</v>
      </c>
      <c r="C15" s="7">
        <v>16</v>
      </c>
      <c r="D15" s="7" t="s">
        <v>8</v>
      </c>
    </row>
    <row r="16" spans="2:11" ht="15.6">
      <c r="B16" s="9" t="s">
        <v>10</v>
      </c>
      <c r="C16" s="10">
        <v>400</v>
      </c>
      <c r="D16" s="7" t="s">
        <v>8</v>
      </c>
    </row>
    <row r="17" spans="2:7" ht="15.6">
      <c r="B17" s="9" t="s">
        <v>11</v>
      </c>
      <c r="C17" s="10">
        <v>8.9</v>
      </c>
      <c r="D17" s="7" t="s">
        <v>8</v>
      </c>
    </row>
    <row r="18" spans="2:7" ht="15.6">
      <c r="B18" s="12" t="s">
        <v>12</v>
      </c>
      <c r="C18" s="13">
        <f>(C16-2*C15)</f>
        <v>368</v>
      </c>
      <c r="D18" s="7" t="s">
        <v>8</v>
      </c>
    </row>
    <row r="19" spans="2:7" ht="15.6">
      <c r="B19" s="6" t="s">
        <v>13</v>
      </c>
      <c r="C19" s="7">
        <f>C14/2</f>
        <v>70</v>
      </c>
      <c r="D19" s="7" t="s">
        <v>8</v>
      </c>
    </row>
    <row r="20" spans="2:7" ht="15.6">
      <c r="B20" s="6" t="s">
        <v>14</v>
      </c>
      <c r="C20" s="7">
        <v>5</v>
      </c>
      <c r="D20" s="7" t="s">
        <v>15</v>
      </c>
    </row>
    <row r="21" spans="2:7" ht="15.6">
      <c r="B21" s="84" t="s">
        <v>16</v>
      </c>
      <c r="C21" s="85"/>
      <c r="D21" s="86"/>
    </row>
    <row r="22" spans="2:7">
      <c r="B22" s="21" t="s">
        <v>17</v>
      </c>
      <c r="C22" s="10">
        <v>1.1000000000000001</v>
      </c>
      <c r="D22" s="11"/>
    </row>
    <row r="23" spans="2:7">
      <c r="B23" s="10" t="s">
        <v>18</v>
      </c>
      <c r="C23" s="10">
        <v>1.5</v>
      </c>
      <c r="D23" s="11"/>
    </row>
    <row r="25" spans="2:7">
      <c r="B25" s="12" t="s">
        <v>19</v>
      </c>
      <c r="C25" s="10">
        <v>250</v>
      </c>
      <c r="D25" s="11"/>
    </row>
    <row r="26" spans="2:7" ht="16.899999999999999">
      <c r="B26" s="14" t="s">
        <v>20</v>
      </c>
      <c r="C26" s="10">
        <f>(250/C25)^0.5</f>
        <v>1</v>
      </c>
      <c r="D26" s="11"/>
    </row>
    <row r="28" spans="2:7">
      <c r="B28" s="9" t="s">
        <v>21</v>
      </c>
      <c r="C28" s="16">
        <f>C19/C15</f>
        <v>4.375</v>
      </c>
      <c r="D28" s="10" t="s">
        <v>22</v>
      </c>
    </row>
    <row r="29" spans="2:7">
      <c r="B29" s="9" t="s">
        <v>23</v>
      </c>
      <c r="C29" s="16">
        <f>C18/C17</f>
        <v>41.348314606741575</v>
      </c>
      <c r="D29" s="10" t="s">
        <v>24</v>
      </c>
      <c r="F29" s="83"/>
      <c r="G29" s="83"/>
    </row>
    <row r="32" spans="2:7">
      <c r="B32" s="11" t="s">
        <v>25</v>
      </c>
      <c r="C32" s="11"/>
      <c r="D32" s="11"/>
    </row>
    <row r="33" spans="1:8">
      <c r="B33" s="9" t="s">
        <v>26</v>
      </c>
      <c r="C33" s="13">
        <v>1</v>
      </c>
      <c r="D33" s="11"/>
    </row>
    <row r="35" spans="1:8">
      <c r="A35" s="10">
        <v>1</v>
      </c>
      <c r="B35" s="12" t="s">
        <v>27</v>
      </c>
      <c r="C35" s="19">
        <f>C33*C13*10^3*C25*10^-6/C22</f>
        <v>267.31363636363631</v>
      </c>
      <c r="D35" s="10" t="s">
        <v>28</v>
      </c>
      <c r="F35" s="18" t="s">
        <v>29</v>
      </c>
      <c r="G35" s="19">
        <f>1.2*C12*10^3*C25*10^-6/C22</f>
        <v>278.97272727272724</v>
      </c>
      <c r="H35" s="1" t="s">
        <v>28</v>
      </c>
    </row>
    <row r="36" spans="1:8">
      <c r="A36" s="10"/>
      <c r="B36" s="10"/>
      <c r="C36" s="10"/>
      <c r="D36" s="10"/>
    </row>
    <row r="37" spans="1:8">
      <c r="A37" s="10"/>
      <c r="B37" s="10" t="s">
        <v>30</v>
      </c>
      <c r="C37" s="10" t="str">
        <f>IF(C35&lt;G35,"Pass", "Fail")</f>
        <v>Pass</v>
      </c>
      <c r="D37" s="10"/>
    </row>
    <row r="38" spans="1:8">
      <c r="A38" s="10"/>
      <c r="B38" s="10" t="s">
        <v>31</v>
      </c>
      <c r="C38" s="20">
        <f>MIN(C35,G35)</f>
        <v>267.31363636363631</v>
      </c>
      <c r="D38" s="10" t="s">
        <v>28</v>
      </c>
    </row>
    <row r="39" spans="1:8">
      <c r="A39" s="10"/>
      <c r="B39" s="11"/>
      <c r="C39" s="11"/>
      <c r="D39" s="13"/>
    </row>
    <row r="40" spans="1:8">
      <c r="A40" s="10">
        <v>2</v>
      </c>
      <c r="B40" s="11" t="s">
        <v>32</v>
      </c>
      <c r="C40" s="24">
        <f>(C16*C17*C25)*10^-3/(1.1*3^0.5)</f>
        <v>467.12885416251538</v>
      </c>
      <c r="D40" s="13" t="s">
        <v>33</v>
      </c>
    </row>
    <row r="41" spans="1:8">
      <c r="A41" s="11"/>
      <c r="B41" s="11"/>
      <c r="C41" s="11"/>
      <c r="D41" s="13"/>
    </row>
    <row r="42" spans="1:8" ht="16.899999999999999">
      <c r="A42" s="10">
        <v>3</v>
      </c>
      <c r="B42" s="11" t="s">
        <v>34</v>
      </c>
      <c r="C42" s="11"/>
      <c r="D42" s="13"/>
    </row>
    <row r="43" spans="1:8">
      <c r="A43" s="11"/>
      <c r="B43" s="11" t="s">
        <v>35</v>
      </c>
      <c r="C43" s="24">
        <f>C35*8/C20^2</f>
        <v>85.540363636363622</v>
      </c>
      <c r="D43" s="13" t="s">
        <v>36</v>
      </c>
    </row>
    <row r="44" spans="1:8">
      <c r="A44" s="11"/>
      <c r="B44" s="11"/>
      <c r="C44" s="11"/>
      <c r="D44" s="13"/>
    </row>
    <row r="45" spans="1:8" ht="27.6">
      <c r="A45" s="11"/>
      <c r="B45" s="17" t="s">
        <v>37</v>
      </c>
      <c r="C45" s="24">
        <f>C43/C23</f>
        <v>57.026909090909079</v>
      </c>
      <c r="D45" s="10" t="s">
        <v>36</v>
      </c>
    </row>
    <row r="46" spans="1:8">
      <c r="A46" s="11"/>
      <c r="B46" s="11"/>
      <c r="C46" s="11"/>
      <c r="D46" s="11"/>
    </row>
    <row r="47" spans="1:8">
      <c r="A47" s="10">
        <v>4</v>
      </c>
      <c r="B47" s="11" t="s">
        <v>38</v>
      </c>
      <c r="C47" s="11"/>
      <c r="D47" s="11"/>
    </row>
    <row r="48" spans="1:8" ht="16.899999999999999">
      <c r="A48" s="11"/>
      <c r="B48" s="11" t="s">
        <v>39</v>
      </c>
      <c r="C48" s="11">
        <f>(5/384)*((C45*C20*1000)*(C20*1000)^3)/(2*10^5*C11*10^4)</f>
        <v>11.342191330759592</v>
      </c>
      <c r="D48" s="10" t="s">
        <v>40</v>
      </c>
    </row>
    <row r="49" spans="1:4">
      <c r="A49" s="11"/>
      <c r="B49" s="11"/>
      <c r="C49" s="11"/>
      <c r="D49" s="11"/>
    </row>
  </sheetData>
  <mergeCells count="4">
    <mergeCell ref="F29:G29"/>
    <mergeCell ref="B21:D21"/>
    <mergeCell ref="B2:K8"/>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449AF-773A-48DE-BB20-4954DB9F5089}">
  <dimension ref="A1:AC66"/>
  <sheetViews>
    <sheetView tabSelected="1" topLeftCell="A7" workbookViewId="0">
      <selection activeCell="C56" sqref="C56"/>
    </sheetView>
  </sheetViews>
  <sheetFormatPr defaultColWidth="8.85546875" defaultRowHeight="13.9"/>
  <cols>
    <col min="1" max="1" width="8.85546875" style="1"/>
    <col min="2" max="2" width="37.42578125" style="1" customWidth="1"/>
    <col min="3" max="16384" width="8.85546875" style="1"/>
  </cols>
  <sheetData>
    <row r="1" spans="1:29" ht="14.45" thickBot="1">
      <c r="A1" s="1" t="s">
        <v>41</v>
      </c>
    </row>
    <row r="2" spans="1:29" ht="14.45" customHeight="1">
      <c r="B2" s="90" t="s">
        <v>42</v>
      </c>
      <c r="C2" s="91"/>
      <c r="D2" s="91"/>
      <c r="E2" s="91"/>
      <c r="F2" s="91"/>
      <c r="G2" s="91"/>
      <c r="H2" s="91"/>
      <c r="I2" s="91"/>
      <c r="J2" s="92"/>
      <c r="K2" s="25"/>
    </row>
    <row r="3" spans="1:29" ht="14.45" customHeight="1">
      <c r="B3" s="93"/>
      <c r="C3" s="94"/>
      <c r="D3" s="94"/>
      <c r="E3" s="94"/>
      <c r="F3" s="94"/>
      <c r="G3" s="94"/>
      <c r="H3" s="94"/>
      <c r="I3" s="94"/>
      <c r="J3" s="95"/>
      <c r="K3" s="25"/>
    </row>
    <row r="4" spans="1:29" ht="14.45" customHeight="1">
      <c r="B4" s="93"/>
      <c r="C4" s="94"/>
      <c r="D4" s="94"/>
      <c r="E4" s="94"/>
      <c r="F4" s="94"/>
      <c r="G4" s="94"/>
      <c r="H4" s="94"/>
      <c r="I4" s="94"/>
      <c r="J4" s="95"/>
      <c r="K4" s="25"/>
      <c r="R4" s="1" t="s">
        <v>43</v>
      </c>
      <c r="S4" s="1" t="s">
        <v>44</v>
      </c>
    </row>
    <row r="5" spans="1:29" ht="14.45" customHeight="1">
      <c r="B5" s="93"/>
      <c r="C5" s="94"/>
      <c r="D5" s="94"/>
      <c r="E5" s="94"/>
      <c r="F5" s="94"/>
      <c r="G5" s="94"/>
      <c r="H5" s="94"/>
      <c r="I5" s="94"/>
      <c r="J5" s="95"/>
      <c r="K5" s="25"/>
    </row>
    <row r="6" spans="1:29" ht="14.45" customHeight="1">
      <c r="B6" s="93"/>
      <c r="C6" s="94"/>
      <c r="D6" s="94"/>
      <c r="E6" s="94"/>
      <c r="F6" s="94"/>
      <c r="G6" s="94"/>
      <c r="H6" s="94"/>
      <c r="I6" s="94"/>
      <c r="J6" s="95"/>
      <c r="K6" s="25"/>
    </row>
    <row r="7" spans="1:29" ht="14.45" customHeight="1">
      <c r="B7" s="93"/>
      <c r="C7" s="94"/>
      <c r="D7" s="94"/>
      <c r="E7" s="94"/>
      <c r="F7" s="94"/>
      <c r="G7" s="94"/>
      <c r="H7" s="94"/>
      <c r="I7" s="94"/>
      <c r="J7" s="95"/>
      <c r="K7" s="25"/>
      <c r="O7" s="1" t="s">
        <v>45</v>
      </c>
      <c r="P7" s="1" t="s">
        <v>46</v>
      </c>
      <c r="Q7" s="1" t="s">
        <v>47</v>
      </c>
      <c r="R7" s="68" t="s">
        <v>48</v>
      </c>
      <c r="S7" s="68" t="s">
        <v>49</v>
      </c>
      <c r="T7" s="68" t="s">
        <v>50</v>
      </c>
      <c r="W7" s="1" t="s">
        <v>45</v>
      </c>
      <c r="X7" s="1" t="s">
        <v>51</v>
      </c>
      <c r="Y7" s="1" t="s">
        <v>47</v>
      </c>
      <c r="Z7" s="68" t="s">
        <v>48</v>
      </c>
      <c r="AA7" s="68" t="s">
        <v>49</v>
      </c>
    </row>
    <row r="8" spans="1:29" ht="14.45" customHeight="1">
      <c r="B8" s="93"/>
      <c r="C8" s="94"/>
      <c r="D8" s="94"/>
      <c r="E8" s="94"/>
      <c r="F8" s="94"/>
      <c r="G8" s="94"/>
      <c r="H8" s="94"/>
      <c r="I8" s="94"/>
      <c r="J8" s="95"/>
      <c r="K8" s="25"/>
      <c r="O8" s="1">
        <v>-60</v>
      </c>
      <c r="P8" s="1">
        <v>160</v>
      </c>
      <c r="Q8" s="1">
        <f>O8^2+P8^2</f>
        <v>29200</v>
      </c>
      <c r="R8" s="1">
        <f>$C$16*P8/$Q$14</f>
        <v>0.1951219512195122</v>
      </c>
      <c r="S8" s="1">
        <f>$C$16*O8/$Q$14+T8</f>
        <v>-0.17317073170731706</v>
      </c>
      <c r="T8" s="1">
        <f>-0.1</f>
        <v>-0.1</v>
      </c>
      <c r="U8" s="72">
        <f>SQRT(S8^2+R8^2)</f>
        <v>0.26088441534088863</v>
      </c>
      <c r="W8" s="1">
        <v>60</v>
      </c>
      <c r="X8" s="1">
        <v>160</v>
      </c>
      <c r="Y8" s="1">
        <f>W8^2+X8^2</f>
        <v>29200</v>
      </c>
      <c r="Z8" s="1">
        <f>$C$16*X8/$Q$14</f>
        <v>0.1951219512195122</v>
      </c>
      <c r="AA8" s="1">
        <f>$C$16*W8/$Q$14+AB8</f>
        <v>-2.6829268292682937E-2</v>
      </c>
      <c r="AB8" s="1">
        <f>-0.1</f>
        <v>-0.1</v>
      </c>
      <c r="AC8" s="1">
        <f>SQRT(AA8^2+Z8^2)</f>
        <v>0.19695782666558459</v>
      </c>
    </row>
    <row r="9" spans="1:29" ht="14.45" customHeight="1" thickBot="1">
      <c r="B9" s="96"/>
      <c r="C9" s="97"/>
      <c r="D9" s="97"/>
      <c r="E9" s="97"/>
      <c r="F9" s="97"/>
      <c r="G9" s="97"/>
      <c r="H9" s="97"/>
      <c r="I9" s="97"/>
      <c r="J9" s="98"/>
      <c r="K9" s="25"/>
      <c r="O9" s="1">
        <v>-60</v>
      </c>
      <c r="P9" s="1">
        <v>80</v>
      </c>
      <c r="Q9" s="1">
        <f t="shared" ref="Q9:Q12" si="0">O9^2+P9^2</f>
        <v>10000</v>
      </c>
      <c r="R9" s="1">
        <f>$C$16*P9/$Q$14</f>
        <v>9.7560975609756101E-2</v>
      </c>
      <c r="S9" s="1">
        <f>$C$16*O9/$Q$14+T9</f>
        <v>-0.17317073170731706</v>
      </c>
      <c r="T9" s="1">
        <f t="shared" ref="T9:T12" si="1">-0.1</f>
        <v>-0.1</v>
      </c>
      <c r="U9" s="1">
        <f>SQRT(S9^2+R9^2)</f>
        <v>0.19876178275004228</v>
      </c>
      <c r="W9" s="1">
        <v>60</v>
      </c>
      <c r="X9" s="1">
        <v>80</v>
      </c>
      <c r="Y9" s="1">
        <f t="shared" ref="Y9:Y12" si="2">W9^2+X9^2</f>
        <v>10000</v>
      </c>
      <c r="Z9" s="1">
        <f t="shared" ref="Z9:Z12" si="3">$C$16*X9/$Q$14</f>
        <v>9.7560975609756101E-2</v>
      </c>
      <c r="AA9" s="1">
        <f t="shared" ref="AA9:AA12" si="4">$C$16*W9/$Q$14+AB9</f>
        <v>-2.6829268292682937E-2</v>
      </c>
      <c r="AB9" s="1">
        <f t="shared" ref="AB9:AB12" si="5">-0.1</f>
        <v>-0.1</v>
      </c>
      <c r="AC9" s="1">
        <f t="shared" ref="AC9:AC12" si="6">SQRT(AA9^2+Z9^2)</f>
        <v>0.10118277323264167</v>
      </c>
    </row>
    <row r="10" spans="1:29" ht="14.45" thickBot="1">
      <c r="O10" s="1">
        <v>-60</v>
      </c>
      <c r="P10" s="1">
        <v>0</v>
      </c>
      <c r="Q10" s="1">
        <f t="shared" si="0"/>
        <v>3600</v>
      </c>
      <c r="R10" s="1">
        <f>$C$16*P10/$Q$14</f>
        <v>0</v>
      </c>
      <c r="S10" s="1">
        <f>$C$16*O10/$Q$14+T10</f>
        <v>-0.17317073170731706</v>
      </c>
      <c r="T10" s="1">
        <f t="shared" si="1"/>
        <v>-0.1</v>
      </c>
      <c r="U10" s="1">
        <f>SQRT(S10^2+R10^2)</f>
        <v>0.17317073170731706</v>
      </c>
      <c r="W10" s="1">
        <v>60</v>
      </c>
      <c r="X10" s="1">
        <v>0</v>
      </c>
      <c r="Y10" s="1">
        <f t="shared" si="2"/>
        <v>3600</v>
      </c>
      <c r="Z10" s="1">
        <f t="shared" si="3"/>
        <v>0</v>
      </c>
      <c r="AA10" s="1">
        <f t="shared" si="4"/>
        <v>-2.6829268292682937E-2</v>
      </c>
      <c r="AB10" s="1">
        <f t="shared" si="5"/>
        <v>-0.1</v>
      </c>
      <c r="AC10" s="1">
        <f t="shared" si="6"/>
        <v>2.6829268292682937E-2</v>
      </c>
    </row>
    <row r="11" spans="1:29" ht="14.45" thickBot="1">
      <c r="A11" s="26" t="s">
        <v>52</v>
      </c>
      <c r="O11" s="1">
        <v>-60</v>
      </c>
      <c r="P11" s="1">
        <v>-80</v>
      </c>
      <c r="Q11" s="1">
        <f t="shared" si="0"/>
        <v>10000</v>
      </c>
      <c r="R11" s="1">
        <f>$C$16*P11/$Q$14</f>
        <v>-9.7560975609756101E-2</v>
      </c>
      <c r="S11" s="1">
        <f>$C$16*O11/$Q$14+T11</f>
        <v>-0.17317073170731706</v>
      </c>
      <c r="T11" s="1">
        <f t="shared" si="1"/>
        <v>-0.1</v>
      </c>
      <c r="U11" s="1">
        <f>SQRT(S11^2+R11^2)</f>
        <v>0.19876178275004228</v>
      </c>
      <c r="W11" s="1">
        <v>60</v>
      </c>
      <c r="X11" s="1">
        <v>-80</v>
      </c>
      <c r="Y11" s="1">
        <f t="shared" si="2"/>
        <v>10000</v>
      </c>
      <c r="Z11" s="1">
        <f t="shared" si="3"/>
        <v>-9.7560975609756101E-2</v>
      </c>
      <c r="AA11" s="1">
        <f t="shared" si="4"/>
        <v>-2.6829268292682937E-2</v>
      </c>
      <c r="AB11" s="1">
        <f t="shared" si="5"/>
        <v>-0.1</v>
      </c>
      <c r="AC11" s="1">
        <f t="shared" si="6"/>
        <v>0.10118277323264167</v>
      </c>
    </row>
    <row r="12" spans="1:29" ht="14.45" thickBot="1">
      <c r="B12" s="99" t="s">
        <v>53</v>
      </c>
      <c r="C12" s="100"/>
      <c r="D12" s="101"/>
      <c r="O12" s="1">
        <v>-60</v>
      </c>
      <c r="P12" s="1">
        <v>-160</v>
      </c>
      <c r="Q12" s="1">
        <f t="shared" si="0"/>
        <v>29200</v>
      </c>
      <c r="R12" s="1">
        <f>$C$16*P12/$Q$14</f>
        <v>-0.1951219512195122</v>
      </c>
      <c r="S12" s="1">
        <f>$C$16*O12/$Q$14+T12</f>
        <v>-0.17317073170731706</v>
      </c>
      <c r="T12" s="1">
        <f t="shared" si="1"/>
        <v>-0.1</v>
      </c>
      <c r="U12" s="72">
        <f>SQRT(S12^2+R12^2)</f>
        <v>0.26088441534088863</v>
      </c>
      <c r="W12" s="1">
        <v>60</v>
      </c>
      <c r="X12" s="1">
        <v>-160</v>
      </c>
      <c r="Y12" s="1">
        <f t="shared" si="2"/>
        <v>29200</v>
      </c>
      <c r="Z12" s="1">
        <f t="shared" si="3"/>
        <v>-0.1951219512195122</v>
      </c>
      <c r="AA12" s="1">
        <f t="shared" si="4"/>
        <v>-2.6829268292682937E-2</v>
      </c>
      <c r="AB12" s="1">
        <f t="shared" si="5"/>
        <v>-0.1</v>
      </c>
      <c r="AC12" s="1">
        <f t="shared" si="6"/>
        <v>0.19695782666558459</v>
      </c>
    </row>
    <row r="13" spans="1:29">
      <c r="B13" s="2" t="s">
        <v>54</v>
      </c>
      <c r="C13" s="2">
        <v>20</v>
      </c>
      <c r="D13" s="2" t="s">
        <v>40</v>
      </c>
      <c r="Q13" s="1">
        <f>SUM(Q8:Q12)</f>
        <v>82000</v>
      </c>
      <c r="Y13" s="1">
        <f>SUM(Y8:Y12)</f>
        <v>82000</v>
      </c>
    </row>
    <row r="14" spans="1:29">
      <c r="B14" s="2" t="s">
        <v>55</v>
      </c>
      <c r="C14" s="2">
        <v>80</v>
      </c>
      <c r="D14" s="2" t="s">
        <v>40</v>
      </c>
      <c r="P14" s="1" t="s">
        <v>56</v>
      </c>
      <c r="Q14" s="1">
        <f>Q13+Y13</f>
        <v>164000</v>
      </c>
    </row>
    <row r="15" spans="1:29">
      <c r="B15" s="8" t="s">
        <v>57</v>
      </c>
      <c r="C15" s="8">
        <v>40</v>
      </c>
      <c r="D15" s="8" t="s">
        <v>40</v>
      </c>
    </row>
    <row r="16" spans="1:29">
      <c r="B16" s="8" t="s">
        <v>58</v>
      </c>
      <c r="C16" s="69">
        <v>200</v>
      </c>
      <c r="D16" s="8" t="s">
        <v>40</v>
      </c>
      <c r="Q16" s="1">
        <f>C40/U12</f>
        <v>173.50312415297563</v>
      </c>
    </row>
    <row r="17" spans="2:23">
      <c r="B17" s="8" t="s">
        <v>59</v>
      </c>
      <c r="C17" s="8">
        <v>410</v>
      </c>
      <c r="D17" s="8" t="s">
        <v>60</v>
      </c>
    </row>
    <row r="18" spans="2:23">
      <c r="B18" s="8" t="s">
        <v>61</v>
      </c>
      <c r="C18" s="8">
        <v>400</v>
      </c>
      <c r="D18" s="8" t="s">
        <v>60</v>
      </c>
      <c r="Q18" s="1" t="e">
        <f>((C40^2/(C50^2+C60^2+2*C60*C58/10)))^0.5</f>
        <v>#DIV/0!</v>
      </c>
    </row>
    <row r="19" spans="2:23">
      <c r="B19" s="8" t="s">
        <v>62</v>
      </c>
      <c r="C19" s="8">
        <v>1.25</v>
      </c>
      <c r="D19" s="8"/>
    </row>
    <row r="20" spans="2:23">
      <c r="B20" s="8" t="s">
        <v>63</v>
      </c>
      <c r="C20" s="8">
        <f>C13+2</f>
        <v>22</v>
      </c>
      <c r="D20" s="8" t="s">
        <v>40</v>
      </c>
      <c r="Q20" s="1" t="e">
        <f>SQRT(C50^2+C60^2+2*C60*C58/10)</f>
        <v>#DIV/0!</v>
      </c>
    </row>
    <row r="21" spans="2:23">
      <c r="B21" s="8" t="s">
        <v>64</v>
      </c>
      <c r="C21" s="8">
        <v>9.1</v>
      </c>
      <c r="D21" s="8" t="s">
        <v>40</v>
      </c>
      <c r="Q21" s="1" t="e">
        <f>C40/Q20</f>
        <v>#DIV/0!</v>
      </c>
    </row>
    <row r="22" spans="2:23" ht="16.899999999999999">
      <c r="B22" s="8" t="s">
        <v>65</v>
      </c>
      <c r="C22" s="8">
        <v>245</v>
      </c>
      <c r="D22" s="8" t="s">
        <v>66</v>
      </c>
    </row>
    <row r="23" spans="2:23" ht="17.45" thickBot="1">
      <c r="O23" s="1" t="s">
        <v>45</v>
      </c>
      <c r="P23" s="1" t="s">
        <v>46</v>
      </c>
      <c r="Q23" s="1" t="s">
        <v>47</v>
      </c>
      <c r="R23" s="68" t="s">
        <v>48</v>
      </c>
      <c r="S23" s="68" t="s">
        <v>49</v>
      </c>
      <c r="T23" s="68" t="s">
        <v>50</v>
      </c>
    </row>
    <row r="24" spans="2:23" ht="14.45" thickBot="1">
      <c r="B24" s="99" t="s">
        <v>67</v>
      </c>
      <c r="C24" s="100"/>
      <c r="D24" s="101"/>
      <c r="O24" s="1">
        <v>-60</v>
      </c>
      <c r="P24" s="1">
        <v>160</v>
      </c>
      <c r="Q24" s="1">
        <f>O24^2+P24^2</f>
        <v>29200</v>
      </c>
      <c r="R24" s="1">
        <f>$C$16*O24/$Q$14</f>
        <v>-7.3170731707317069E-2</v>
      </c>
      <c r="S24" s="1">
        <f>$C$16*P24/$Q$14+T24</f>
        <v>0.1951219512195122</v>
      </c>
      <c r="U24" s="70">
        <f>SQRT(R24^2+S24^2)</f>
        <v>0.2083903352516471</v>
      </c>
      <c r="W24" s="72">
        <f>-O24/SQRT(Q24)</f>
        <v>0.3511234415883917</v>
      </c>
    </row>
    <row r="25" spans="2:23">
      <c r="O25" s="1">
        <v>-60</v>
      </c>
      <c r="P25" s="1">
        <v>80</v>
      </c>
      <c r="Q25" s="1">
        <f t="shared" ref="Q25:Q28" si="7">O25^2+P25^2</f>
        <v>10000</v>
      </c>
      <c r="R25" s="1">
        <f t="shared" ref="R25:R28" si="8">$C$16*O25/$Q$14</f>
        <v>-7.3170731707317069E-2</v>
      </c>
      <c r="S25" s="1">
        <f t="shared" ref="S25:S28" si="9">$C$16*P25/$Q$14+T25</f>
        <v>9.7560975609756101E-2</v>
      </c>
      <c r="U25" s="1">
        <f t="shared" ref="U25:U28" si="10">SQRT(R25^2+S25^2)</f>
        <v>0.12195121951219512</v>
      </c>
    </row>
    <row r="26" spans="2:23">
      <c r="B26" s="1" t="s">
        <v>68</v>
      </c>
      <c r="C26" s="1">
        <f>C22*C18*10^-3/((3^0.5)*C19)</f>
        <v>45.264261104466662</v>
      </c>
      <c r="D26" s="2" t="s">
        <v>69</v>
      </c>
      <c r="O26" s="1">
        <v>-60</v>
      </c>
      <c r="P26" s="1">
        <v>0</v>
      </c>
      <c r="Q26" s="1">
        <f t="shared" si="7"/>
        <v>3600</v>
      </c>
      <c r="R26" s="1">
        <f t="shared" si="8"/>
        <v>-7.3170731707317069E-2</v>
      </c>
      <c r="S26" s="1">
        <f t="shared" si="9"/>
        <v>0</v>
      </c>
      <c r="U26" s="1">
        <f t="shared" si="10"/>
        <v>7.3170731707317069E-2</v>
      </c>
    </row>
    <row r="27" spans="2:23" ht="14.45" thickBot="1">
      <c r="O27" s="1">
        <v>-60</v>
      </c>
      <c r="P27" s="1">
        <v>-80</v>
      </c>
      <c r="Q27" s="1">
        <f t="shared" si="7"/>
        <v>10000</v>
      </c>
      <c r="R27" s="1">
        <f t="shared" si="8"/>
        <v>-7.3170731707317069E-2</v>
      </c>
      <c r="S27" s="1">
        <f t="shared" si="9"/>
        <v>-9.7560975609756101E-2</v>
      </c>
      <c r="U27" s="1">
        <f t="shared" si="10"/>
        <v>0.12195121951219512</v>
      </c>
    </row>
    <row r="28" spans="2:23" ht="14.45" thickBot="1">
      <c r="B28" s="99" t="s">
        <v>70</v>
      </c>
      <c r="C28" s="100"/>
      <c r="D28" s="101"/>
      <c r="O28" s="1">
        <v>-60</v>
      </c>
      <c r="P28" s="1">
        <v>-160</v>
      </c>
      <c r="Q28" s="1">
        <f t="shared" si="7"/>
        <v>29200</v>
      </c>
      <c r="R28" s="1">
        <f t="shared" si="8"/>
        <v>-7.3170731707317069E-2</v>
      </c>
      <c r="S28" s="1">
        <f t="shared" si="9"/>
        <v>-0.1951219512195122</v>
      </c>
      <c r="U28" s="1">
        <f t="shared" si="10"/>
        <v>0.2083903352516471</v>
      </c>
    </row>
    <row r="29" spans="2:23" ht="14.45" thickBot="1"/>
    <row r="30" spans="2:23" ht="14.45" thickBot="1">
      <c r="B30" s="26" t="s">
        <v>71</v>
      </c>
    </row>
    <row r="31" spans="2:23">
      <c r="B31" s="2" t="s">
        <v>72</v>
      </c>
      <c r="C31" s="23">
        <f>C15/(3*C20)</f>
        <v>0.60606060606060608</v>
      </c>
    </row>
    <row r="32" spans="2:23">
      <c r="B32" s="2" t="s">
        <v>73</v>
      </c>
      <c r="C32" s="23">
        <f>C14/(3*C20)</f>
        <v>1.2121212121212122</v>
      </c>
    </row>
    <row r="33" spans="2:4">
      <c r="B33" s="2" t="s">
        <v>74</v>
      </c>
      <c r="C33" s="23">
        <f>C18/C17</f>
        <v>0.97560975609756095</v>
      </c>
    </row>
    <row r="34" spans="2:4" ht="14.45" thickBot="1">
      <c r="B34" s="2">
        <v>1</v>
      </c>
      <c r="C34" s="23">
        <v>1</v>
      </c>
    </row>
    <row r="35" spans="2:4" ht="14.45" thickBot="1">
      <c r="B35" s="28" t="s">
        <v>75</v>
      </c>
      <c r="C35" s="29">
        <f>MIN(C31:C34)</f>
        <v>0.60606060606060608</v>
      </c>
    </row>
    <row r="37" spans="2:4">
      <c r="B37" s="1" t="s">
        <v>76</v>
      </c>
      <c r="C37" s="23">
        <f>2.5*(C35*C13*C21*C17)*10^-3/C19</f>
        <v>90.448484848484853</v>
      </c>
      <c r="D37" s="2" t="s">
        <v>69</v>
      </c>
    </row>
    <row r="38" spans="2:4">
      <c r="C38" s="23"/>
      <c r="D38" s="2"/>
    </row>
    <row r="39" spans="2:4">
      <c r="B39" s="1" t="s">
        <v>77</v>
      </c>
      <c r="C39" s="23"/>
      <c r="D39" s="2"/>
    </row>
    <row r="40" spans="2:4">
      <c r="B40" s="2" t="s">
        <v>78</v>
      </c>
      <c r="C40" s="23">
        <f>MIN(C37,C26)</f>
        <v>45.264261104466662</v>
      </c>
      <c r="D40" s="2" t="s">
        <v>69</v>
      </c>
    </row>
    <row r="42" spans="2:4">
      <c r="B42" s="1" t="s">
        <v>79</v>
      </c>
    </row>
    <row r="43" spans="2:4">
      <c r="B43" s="1" t="s">
        <v>80</v>
      </c>
    </row>
    <row r="45" spans="2:4">
      <c r="B45" s="1" t="s">
        <v>81</v>
      </c>
    </row>
    <row r="46" spans="2:4">
      <c r="B46" s="1" t="s">
        <v>82</v>
      </c>
      <c r="C46" s="2">
        <v>10</v>
      </c>
    </row>
    <row r="49" spans="2:5">
      <c r="B49" s="1" t="s">
        <v>83</v>
      </c>
      <c r="C49" s="1" t="s">
        <v>84</v>
      </c>
    </row>
    <row r="50" spans="2:5">
      <c r="B50" s="1" t="s">
        <v>85</v>
      </c>
      <c r="C50" s="23">
        <f>1/C46</f>
        <v>0.1</v>
      </c>
    </row>
    <row r="52" spans="2:5" ht="16.899999999999999">
      <c r="B52" s="89" t="s">
        <v>86</v>
      </c>
      <c r="C52" s="89"/>
    </row>
    <row r="54" spans="2:5" ht="15.6">
      <c r="B54" s="3" t="s">
        <v>87</v>
      </c>
      <c r="C54" s="15">
        <f>(160^2+(120/2)^2)^0.5</f>
        <v>170.88007490635061</v>
      </c>
      <c r="D54" s="2" t="s">
        <v>40</v>
      </c>
      <c r="E54" s="1">
        <v>6</v>
      </c>
    </row>
    <row r="55" spans="2:5">
      <c r="C55" s="8"/>
      <c r="D55" s="2"/>
    </row>
    <row r="56" spans="2:5" ht="16.899999999999999">
      <c r="B56" s="1" t="s">
        <v>88</v>
      </c>
      <c r="C56" s="8"/>
      <c r="D56" s="2" t="s">
        <v>66</v>
      </c>
    </row>
    <row r="57" spans="2:5">
      <c r="C57" s="8"/>
      <c r="D57" s="2"/>
    </row>
    <row r="58" spans="2:5">
      <c r="B58" s="1" t="s">
        <v>89</v>
      </c>
      <c r="C58" s="73">
        <f>60/(60^2+160^2)^0.5</f>
        <v>0.3511234415883917</v>
      </c>
      <c r="D58" s="2"/>
    </row>
    <row r="59" spans="2:5">
      <c r="C59" s="22"/>
      <c r="D59" s="2"/>
    </row>
    <row r="60" spans="2:5">
      <c r="B60" s="1" t="s">
        <v>90</v>
      </c>
      <c r="C60" s="71" t="e">
        <f>C16*C54/C56</f>
        <v>#DIV/0!</v>
      </c>
      <c r="D60" s="2"/>
    </row>
    <row r="61" spans="2:5">
      <c r="D61" s="2"/>
    </row>
    <row r="62" spans="2:5">
      <c r="B62" s="27" t="s">
        <v>91</v>
      </c>
      <c r="D62" s="2"/>
    </row>
    <row r="63" spans="2:5">
      <c r="D63" s="2"/>
    </row>
    <row r="64" spans="2:5">
      <c r="B64" s="1" t="s">
        <v>92</v>
      </c>
      <c r="C64" s="23" t="e">
        <f>((C40^2/(C50^2+C60^2+2*C60*C58/10)))^0.5</f>
        <v>#DIV/0!</v>
      </c>
      <c r="D64" s="2" t="s">
        <v>69</v>
      </c>
    </row>
    <row r="65" spans="2:4">
      <c r="D65" s="2"/>
    </row>
    <row r="66" spans="2:4">
      <c r="B66" s="1" t="s">
        <v>93</v>
      </c>
      <c r="C66" s="23" t="e">
        <f>C64/1.5</f>
        <v>#DIV/0!</v>
      </c>
      <c r="D66" s="2" t="s">
        <v>69</v>
      </c>
    </row>
  </sheetData>
  <mergeCells count="5">
    <mergeCell ref="B52:C52"/>
    <mergeCell ref="B2:J9"/>
    <mergeCell ref="B24:D24"/>
    <mergeCell ref="B12:D12"/>
    <mergeCell ref="B28:D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F5AF-613A-45A1-8E52-233A0BA177DE}">
  <dimension ref="A1:K129"/>
  <sheetViews>
    <sheetView workbookViewId="0">
      <selection activeCell="B32" sqref="B32"/>
    </sheetView>
  </sheetViews>
  <sheetFormatPr defaultColWidth="8.85546875" defaultRowHeight="15.6"/>
  <cols>
    <col min="1" max="1" width="8.85546875" style="3"/>
    <col min="2" max="2" width="53.140625" style="3" bestFit="1" customWidth="1"/>
    <col min="3" max="3" width="18.42578125" style="3" bestFit="1" customWidth="1"/>
    <col min="4" max="7" width="8.85546875" style="3"/>
    <col min="8" max="8" width="9.42578125" style="3" bestFit="1" customWidth="1"/>
    <col min="9" max="16384" width="8.85546875" style="3"/>
  </cols>
  <sheetData>
    <row r="1" spans="1:11" ht="16.149999999999999" thickBot="1"/>
    <row r="2" spans="1:11">
      <c r="B2" s="90" t="s">
        <v>94</v>
      </c>
      <c r="C2" s="91"/>
      <c r="D2" s="91"/>
      <c r="E2" s="91"/>
      <c r="F2" s="91"/>
      <c r="G2" s="91"/>
      <c r="H2" s="91"/>
      <c r="I2" s="91"/>
      <c r="J2" s="91"/>
      <c r="K2" s="92"/>
    </row>
    <row r="3" spans="1:11">
      <c r="B3" s="93"/>
      <c r="C3" s="94"/>
      <c r="D3" s="94"/>
      <c r="E3" s="94"/>
      <c r="F3" s="94"/>
      <c r="G3" s="94"/>
      <c r="H3" s="94"/>
      <c r="I3" s="94"/>
      <c r="J3" s="94"/>
      <c r="K3" s="95"/>
    </row>
    <row r="4" spans="1:11">
      <c r="B4" s="93"/>
      <c r="C4" s="94"/>
      <c r="D4" s="94"/>
      <c r="E4" s="94"/>
      <c r="F4" s="94"/>
      <c r="G4" s="94"/>
      <c r="H4" s="94"/>
      <c r="I4" s="94"/>
      <c r="J4" s="94"/>
      <c r="K4" s="95"/>
    </row>
    <row r="5" spans="1:11" ht="16.149999999999999" thickBot="1">
      <c r="B5" s="96"/>
      <c r="C5" s="97"/>
      <c r="D5" s="97"/>
      <c r="E5" s="97"/>
      <c r="F5" s="97"/>
      <c r="G5" s="97"/>
      <c r="H5" s="97"/>
      <c r="I5" s="97"/>
      <c r="J5" s="97"/>
      <c r="K5" s="98"/>
    </row>
    <row r="6" spans="1:11" ht="16.149999999999999" thickBot="1"/>
    <row r="7" spans="1:11" ht="16.149999999999999" thickBot="1">
      <c r="A7" s="30" t="s">
        <v>52</v>
      </c>
    </row>
    <row r="8" spans="1:11">
      <c r="B8" s="7" t="s">
        <v>95</v>
      </c>
      <c r="C8" s="7">
        <v>200</v>
      </c>
      <c r="D8" s="7" t="s">
        <v>69</v>
      </c>
    </row>
    <row r="9" spans="1:11">
      <c r="B9" s="7" t="s">
        <v>96</v>
      </c>
      <c r="C9" s="7">
        <v>300</v>
      </c>
      <c r="D9" s="7" t="s">
        <v>40</v>
      </c>
    </row>
    <row r="10" spans="1:11">
      <c r="B10" s="7" t="s">
        <v>97</v>
      </c>
      <c r="C10" s="7">
        <v>240</v>
      </c>
      <c r="D10" s="7" t="s">
        <v>40</v>
      </c>
    </row>
    <row r="11" spans="1:11">
      <c r="B11" s="7" t="s">
        <v>98</v>
      </c>
      <c r="C11" s="7">
        <v>400</v>
      </c>
      <c r="D11" s="7" t="s">
        <v>60</v>
      </c>
    </row>
    <row r="12" spans="1:11">
      <c r="B12" s="7" t="s">
        <v>99</v>
      </c>
      <c r="C12" s="7">
        <v>20</v>
      </c>
      <c r="D12" s="7" t="s">
        <v>40</v>
      </c>
    </row>
    <row r="13" spans="1:11">
      <c r="B13" s="7" t="s">
        <v>100</v>
      </c>
      <c r="C13" s="7">
        <f>C12+2</f>
        <v>22</v>
      </c>
      <c r="D13" s="7" t="s">
        <v>40</v>
      </c>
    </row>
    <row r="14" spans="1:11">
      <c r="B14" s="7" t="s">
        <v>17</v>
      </c>
      <c r="C14" s="7">
        <v>1.25</v>
      </c>
      <c r="D14" s="7"/>
    </row>
    <row r="15" spans="1:11">
      <c r="B15" s="7" t="s">
        <v>101</v>
      </c>
      <c r="C15" s="7">
        <v>1.1000000000000001</v>
      </c>
      <c r="D15" s="7"/>
    </row>
    <row r="16" spans="1:11">
      <c r="B16" s="7" t="s">
        <v>59</v>
      </c>
      <c r="C16" s="7">
        <v>410</v>
      </c>
      <c r="D16" s="7" t="s">
        <v>60</v>
      </c>
    </row>
    <row r="17" spans="2:5">
      <c r="B17" s="7" t="s">
        <v>102</v>
      </c>
      <c r="C17" s="7">
        <v>10</v>
      </c>
      <c r="D17" s="7" t="s">
        <v>103</v>
      </c>
    </row>
    <row r="19" spans="2:5">
      <c r="B19" s="103" t="s">
        <v>104</v>
      </c>
      <c r="C19" s="103"/>
      <c r="D19" s="103"/>
      <c r="E19" s="103"/>
    </row>
    <row r="20" spans="2:5">
      <c r="B20" s="7" t="s">
        <v>105</v>
      </c>
      <c r="C20" s="7">
        <f>C9*C8/1000</f>
        <v>60</v>
      </c>
      <c r="D20" s="7" t="s">
        <v>106</v>
      </c>
      <c r="E20" s="7"/>
    </row>
    <row r="22" spans="2:5">
      <c r="B22" s="7" t="s">
        <v>107</v>
      </c>
      <c r="C22" s="7">
        <f>0.6*C11</f>
        <v>240</v>
      </c>
      <c r="D22" s="7" t="s">
        <v>60</v>
      </c>
    </row>
    <row r="23" spans="2:5" ht="16.149999999999999" thickBot="1"/>
    <row r="24" spans="2:5" ht="16.149999999999999" thickBot="1">
      <c r="B24" s="33" t="s">
        <v>108</v>
      </c>
    </row>
    <row r="26" spans="2:5" ht="15.6" customHeight="1">
      <c r="B26" s="104" t="s">
        <v>109</v>
      </c>
      <c r="C26" s="104"/>
      <c r="D26" s="104"/>
      <c r="E26" s="104"/>
    </row>
    <row r="27" spans="2:5">
      <c r="B27" s="104"/>
      <c r="C27" s="104"/>
      <c r="D27" s="104"/>
      <c r="E27" s="104"/>
    </row>
    <row r="28" spans="2:5" ht="18.600000000000001">
      <c r="B28" s="34" t="s">
        <v>110</v>
      </c>
      <c r="C28" s="34">
        <f>3.142*C12^2/4</f>
        <v>314.2</v>
      </c>
      <c r="D28" s="34" t="s">
        <v>111</v>
      </c>
      <c r="E28" s="31"/>
    </row>
    <row r="29" spans="2:5" ht="18.600000000000001">
      <c r="B29" s="41" t="s">
        <v>65</v>
      </c>
      <c r="C29" s="41">
        <v>245</v>
      </c>
      <c r="D29" s="41" t="s">
        <v>111</v>
      </c>
    </row>
    <row r="30" spans="2:5">
      <c r="B30" s="7" t="s">
        <v>112</v>
      </c>
      <c r="C30" s="42">
        <f>C11*314*10^-3/(3)^0.5</f>
        <v>72.515193810216999</v>
      </c>
      <c r="D30" s="7" t="s">
        <v>69</v>
      </c>
    </row>
    <row r="31" spans="2:5">
      <c r="B31" s="43"/>
      <c r="C31" s="44"/>
      <c r="D31" s="7"/>
    </row>
    <row r="32" spans="2:5">
      <c r="B32" s="43" t="s">
        <v>113</v>
      </c>
      <c r="C32" s="44">
        <f>C30/1.25</f>
        <v>58.012155048173597</v>
      </c>
      <c r="D32" s="7" t="s">
        <v>69</v>
      </c>
    </row>
    <row r="33" spans="2:4">
      <c r="D33" s="4"/>
    </row>
    <row r="34" spans="2:4">
      <c r="B34" s="35" t="s">
        <v>114</v>
      </c>
      <c r="C34" s="5"/>
      <c r="D34" s="4"/>
    </row>
    <row r="35" spans="2:4">
      <c r="B35" s="3" t="s">
        <v>115</v>
      </c>
      <c r="C35" s="32">
        <f>C22*C28*10^-3/C15</f>
        <v>68.552727272727267</v>
      </c>
      <c r="D35" s="4" t="s">
        <v>69</v>
      </c>
    </row>
    <row r="36" spans="2:4">
      <c r="C36" s="5"/>
      <c r="D36" s="4"/>
    </row>
    <row r="37" spans="2:4">
      <c r="B37" s="3" t="s">
        <v>116</v>
      </c>
      <c r="C37" s="4">
        <f>0.9*C11*C29*10^-3/C14</f>
        <v>70.56</v>
      </c>
      <c r="D37" s="4" t="s">
        <v>69</v>
      </c>
    </row>
    <row r="38" spans="2:4">
      <c r="C38" s="5"/>
    </row>
    <row r="39" spans="2:4">
      <c r="B39" s="3" t="s">
        <v>117</v>
      </c>
      <c r="C39" s="32">
        <f>MIN(C37,C35)</f>
        <v>68.552727272727267</v>
      </c>
      <c r="D39" s="4" t="s">
        <v>69</v>
      </c>
    </row>
    <row r="40" spans="2:4">
      <c r="C40" s="32"/>
      <c r="D40" s="4"/>
    </row>
    <row r="41" spans="2:4">
      <c r="B41" s="3" t="s">
        <v>118</v>
      </c>
      <c r="C41" s="5">
        <v>60</v>
      </c>
      <c r="D41" s="4" t="s">
        <v>40</v>
      </c>
    </row>
    <row r="42" spans="2:4">
      <c r="B42" s="3" t="s">
        <v>119</v>
      </c>
      <c r="C42" s="5">
        <v>40</v>
      </c>
      <c r="D42" s="4" t="s">
        <v>40</v>
      </c>
    </row>
    <row r="43" spans="2:4">
      <c r="B43" s="3" t="s">
        <v>120</v>
      </c>
      <c r="C43" s="5">
        <v>2</v>
      </c>
      <c r="D43" s="4"/>
    </row>
    <row r="44" spans="2:4">
      <c r="C44" s="5"/>
      <c r="D44" s="4"/>
    </row>
    <row r="45" spans="2:4">
      <c r="B45" s="3" t="s">
        <v>121</v>
      </c>
      <c r="C45" s="32">
        <f>(6*C20*10^6/(C43*C41*C39*10^3))^0.5</f>
        <v>6.6152804228695992</v>
      </c>
      <c r="D45" s="4"/>
    </row>
    <row r="46" spans="2:4">
      <c r="B46" s="3" t="s">
        <v>122</v>
      </c>
      <c r="C46" s="37">
        <v>7</v>
      </c>
      <c r="D46" s="4"/>
    </row>
    <row r="47" spans="2:4">
      <c r="D47" s="4"/>
    </row>
    <row r="48" spans="2:4">
      <c r="B48" s="3" t="s">
        <v>123</v>
      </c>
      <c r="C48" s="37">
        <f>C46*C43</f>
        <v>14</v>
      </c>
      <c r="D48" s="4"/>
    </row>
    <row r="49" spans="2:4">
      <c r="D49" s="4"/>
    </row>
    <row r="50" spans="2:4">
      <c r="B50" s="3" t="s">
        <v>124</v>
      </c>
      <c r="C50" s="4">
        <f>(C46-1)*C41+2*40</f>
        <v>440</v>
      </c>
      <c r="D50" s="4" t="s">
        <v>40</v>
      </c>
    </row>
    <row r="51" spans="2:4">
      <c r="D51" s="4"/>
    </row>
    <row r="52" spans="2:4">
      <c r="B52" s="3" t="s">
        <v>125</v>
      </c>
      <c r="C52" s="32">
        <f>C50/7</f>
        <v>62.857142857142854</v>
      </c>
      <c r="D52" s="4"/>
    </row>
    <row r="53" spans="2:4">
      <c r="B53" s="3" t="s">
        <v>126</v>
      </c>
      <c r="C53" s="4">
        <v>63</v>
      </c>
      <c r="D53" s="4"/>
    </row>
    <row r="55" spans="2:4">
      <c r="B55" s="4" t="s">
        <v>127</v>
      </c>
      <c r="C55" s="37">
        <f>C41+C42-C53</f>
        <v>37</v>
      </c>
      <c r="D55" s="4" t="s">
        <v>40</v>
      </c>
    </row>
    <row r="56" spans="2:4">
      <c r="B56" s="4" t="s">
        <v>128</v>
      </c>
      <c r="C56" s="37">
        <f>2*C41+C42-C53</f>
        <v>97</v>
      </c>
      <c r="D56" s="4" t="s">
        <v>40</v>
      </c>
    </row>
    <row r="57" spans="2:4">
      <c r="B57" s="4" t="s">
        <v>129</v>
      </c>
      <c r="C57" s="37">
        <f>3*C41+C42-C53</f>
        <v>157</v>
      </c>
      <c r="D57" s="4" t="s">
        <v>40</v>
      </c>
    </row>
    <row r="58" spans="2:4">
      <c r="B58" s="4" t="s">
        <v>130</v>
      </c>
      <c r="C58" s="37">
        <f>4*C41+C42-C53</f>
        <v>217</v>
      </c>
      <c r="D58" s="4" t="s">
        <v>40</v>
      </c>
    </row>
    <row r="59" spans="2:4">
      <c r="B59" s="4" t="s">
        <v>131</v>
      </c>
      <c r="C59" s="37">
        <f>5*C41+C42-C53</f>
        <v>277</v>
      </c>
      <c r="D59" s="4" t="s">
        <v>40</v>
      </c>
    </row>
    <row r="60" spans="2:4">
      <c r="B60" s="4" t="s">
        <v>132</v>
      </c>
      <c r="C60" s="74">
        <f>6*C41+C42-C53</f>
        <v>337</v>
      </c>
      <c r="D60" s="4" t="s">
        <v>40</v>
      </c>
    </row>
    <row r="62" spans="2:4" ht="18.600000000000001">
      <c r="B62" s="5" t="s">
        <v>133</v>
      </c>
      <c r="C62" s="4">
        <f>2*(C55^2+C56^2+C57^2+C58^2+C59^2+C60^2)</f>
        <v>545628</v>
      </c>
    </row>
    <row r="63" spans="2:4">
      <c r="D63" s="4"/>
    </row>
    <row r="64" spans="2:4">
      <c r="B64" s="3" t="s">
        <v>134</v>
      </c>
      <c r="C64" s="75">
        <f>C8*C9*C60/C62</f>
        <v>37.058215487474982</v>
      </c>
      <c r="D64" s="4" t="s">
        <v>69</v>
      </c>
    </row>
    <row r="65" spans="2:4">
      <c r="C65" s="32"/>
      <c r="D65" s="4"/>
    </row>
    <row r="66" spans="2:4">
      <c r="B66" s="3" t="s">
        <v>135</v>
      </c>
      <c r="C66" s="32">
        <f>C8/C48</f>
        <v>14.285714285714286</v>
      </c>
      <c r="D66" s="4" t="s">
        <v>69</v>
      </c>
    </row>
    <row r="68" spans="2:4" ht="18.600000000000001">
      <c r="B68" s="3" t="s">
        <v>136</v>
      </c>
      <c r="C68" s="32">
        <f>(C66/C32)^2+(C64/C39)^2</f>
        <v>0.35286739493990821</v>
      </c>
    </row>
    <row r="70" spans="2:4">
      <c r="B70" s="102" t="s">
        <v>137</v>
      </c>
      <c r="C70" s="102"/>
      <c r="D70" s="102"/>
    </row>
    <row r="71" spans="2:4">
      <c r="B71" s="102"/>
      <c r="C71" s="102"/>
      <c r="D71" s="102"/>
    </row>
    <row r="73" spans="2:4">
      <c r="B73" s="3" t="s">
        <v>138</v>
      </c>
      <c r="C73" s="4">
        <v>12</v>
      </c>
    </row>
    <row r="74" spans="2:4">
      <c r="C74" s="4"/>
    </row>
    <row r="75" spans="2:4">
      <c r="B75" s="3" t="s">
        <v>139</v>
      </c>
      <c r="C75" s="4">
        <f>((C73/2)-1)*C41+2*C42</f>
        <v>380</v>
      </c>
    </row>
    <row r="77" spans="2:4">
      <c r="B77" s="3" t="s">
        <v>140</v>
      </c>
      <c r="C77" s="37">
        <f>C75/7</f>
        <v>54.285714285714285</v>
      </c>
    </row>
    <row r="78" spans="2:4">
      <c r="B78" s="3" t="s">
        <v>141</v>
      </c>
      <c r="C78" s="4">
        <v>54</v>
      </c>
    </row>
    <row r="80" spans="2:4">
      <c r="B80" s="4" t="s">
        <v>127</v>
      </c>
      <c r="C80" s="37">
        <f>C41+C42-C78</f>
        <v>46</v>
      </c>
      <c r="D80" s="4" t="s">
        <v>40</v>
      </c>
    </row>
    <row r="81" spans="2:4">
      <c r="B81" s="4" t="s">
        <v>128</v>
      </c>
      <c r="C81" s="4">
        <f>2*C41+C42-C78</f>
        <v>106</v>
      </c>
      <c r="D81" s="4" t="s">
        <v>40</v>
      </c>
    </row>
    <row r="82" spans="2:4">
      <c r="B82" s="4" t="s">
        <v>129</v>
      </c>
      <c r="C82" s="4">
        <f>3*C41+C42-C78</f>
        <v>166</v>
      </c>
      <c r="D82" s="4" t="s">
        <v>40</v>
      </c>
    </row>
    <row r="83" spans="2:4">
      <c r="B83" s="4" t="s">
        <v>130</v>
      </c>
      <c r="C83" s="4">
        <f>4*C41+C42-C78</f>
        <v>226</v>
      </c>
      <c r="D83" s="4" t="s">
        <v>40</v>
      </c>
    </row>
    <row r="84" spans="2:4">
      <c r="B84" s="4" t="s">
        <v>131</v>
      </c>
      <c r="C84" s="4">
        <f>5*C41+C42-C78</f>
        <v>286</v>
      </c>
      <c r="D84" s="4" t="s">
        <v>40</v>
      </c>
    </row>
    <row r="85" spans="2:4">
      <c r="B85" s="4"/>
      <c r="C85" s="4"/>
    </row>
    <row r="86" spans="2:4" ht="18.600000000000001">
      <c r="B86" s="5" t="s">
        <v>133</v>
      </c>
      <c r="C86" s="4">
        <f>2*(C80^2+C81^2+C82^2+C83^2+C84^2)</f>
        <v>347560</v>
      </c>
    </row>
    <row r="88" spans="2:4" ht="18.600000000000001">
      <c r="B88" s="3" t="s">
        <v>142</v>
      </c>
      <c r="C88" s="32">
        <f>C8*C9*C84/C86</f>
        <v>49.372770169179425</v>
      </c>
      <c r="D88" s="4" t="s">
        <v>69</v>
      </c>
    </row>
    <row r="90" spans="2:4">
      <c r="B90" s="3" t="s">
        <v>135</v>
      </c>
      <c r="C90" s="32">
        <f>C8/C73</f>
        <v>16.666666666666668</v>
      </c>
      <c r="D90" s="4" t="s">
        <v>69</v>
      </c>
    </row>
    <row r="92" spans="2:4" ht="18.600000000000001">
      <c r="B92" s="3" t="s">
        <v>136</v>
      </c>
      <c r="C92" s="32">
        <f>(C90/C32)^2+(C88/C35)^2</f>
        <v>0.60125012535317168</v>
      </c>
    </row>
    <row r="93" spans="2:4">
      <c r="C93" s="4"/>
    </row>
    <row r="94" spans="2:4">
      <c r="C94" s="4"/>
    </row>
    <row r="95" spans="2:4">
      <c r="B95" s="35" t="s">
        <v>143</v>
      </c>
      <c r="C95" s="4"/>
    </row>
    <row r="96" spans="2:4">
      <c r="C96" s="4"/>
    </row>
    <row r="97" spans="2:8">
      <c r="B97" s="39" t="s">
        <v>71</v>
      </c>
      <c r="C97" s="4"/>
    </row>
    <row r="98" spans="2:8">
      <c r="B98" s="10" t="s">
        <v>72</v>
      </c>
      <c r="C98" s="46">
        <f>C42/(3*C13)</f>
        <v>0.60606060606060608</v>
      </c>
    </row>
    <row r="99" spans="2:8">
      <c r="B99" s="10" t="s">
        <v>73</v>
      </c>
      <c r="C99" s="46">
        <f>C41/(3*C13)-0.25</f>
        <v>0.65909090909090906</v>
      </c>
    </row>
    <row r="100" spans="2:8">
      <c r="B100" s="10" t="s">
        <v>74</v>
      </c>
      <c r="C100" s="46">
        <f>C11/C16</f>
        <v>0.97560975609756095</v>
      </c>
    </row>
    <row r="101" spans="2:8">
      <c r="B101" s="10">
        <v>1</v>
      </c>
      <c r="C101" s="46">
        <v>1</v>
      </c>
    </row>
    <row r="102" spans="2:8">
      <c r="C102" s="32"/>
    </row>
    <row r="103" spans="2:8">
      <c r="B103" s="3" t="s">
        <v>144</v>
      </c>
      <c r="C103" s="32">
        <f>MIN(C98:C101)</f>
        <v>0.60606060606060608</v>
      </c>
    </row>
    <row r="105" spans="2:8">
      <c r="B105" s="3" t="s">
        <v>145</v>
      </c>
      <c r="C105" s="38">
        <f>2.5*C103*C12*C17*C16*10^-3</f>
        <v>124.24242424242426</v>
      </c>
      <c r="D105" s="3" t="s">
        <v>69</v>
      </c>
    </row>
    <row r="106" spans="2:8">
      <c r="C106" s="5"/>
    </row>
    <row r="107" spans="2:8">
      <c r="B107" s="3" t="s">
        <v>146</v>
      </c>
      <c r="C107" s="38">
        <f>C105/C14</f>
        <v>99.393939393939405</v>
      </c>
      <c r="E107" s="3" t="s">
        <v>147</v>
      </c>
      <c r="F107" s="36">
        <f>C90</f>
        <v>16.666666666666668</v>
      </c>
      <c r="H107" s="3" t="str">
        <f>IF(C107&gt;F107,"Pass","Fail")</f>
        <v>Pass</v>
      </c>
    </row>
    <row r="108" spans="2:8">
      <c r="C108" s="5"/>
    </row>
    <row r="109" spans="2:8">
      <c r="C109" s="5"/>
    </row>
    <row r="110" spans="2:8">
      <c r="B110" s="40" t="s">
        <v>148</v>
      </c>
      <c r="C110" s="5"/>
    </row>
    <row r="111" spans="2:8">
      <c r="C111" s="5"/>
    </row>
    <row r="112" spans="2:8">
      <c r="B112" s="45" t="s">
        <v>149</v>
      </c>
      <c r="C112" s="43"/>
      <c r="D112" s="45"/>
      <c r="E112" s="45"/>
    </row>
    <row r="113" spans="2:5">
      <c r="B113" s="45" t="s">
        <v>150</v>
      </c>
      <c r="C113" s="7">
        <f>C8*C10/1000</f>
        <v>48</v>
      </c>
      <c r="D113" s="7" t="s">
        <v>106</v>
      </c>
      <c r="E113" s="45"/>
    </row>
    <row r="114" spans="2:5">
      <c r="B114" s="45"/>
      <c r="C114" s="43"/>
      <c r="D114" s="45"/>
      <c r="E114" s="45"/>
    </row>
    <row r="115" spans="2:5">
      <c r="B115" s="45" t="s">
        <v>151</v>
      </c>
      <c r="C115" s="43"/>
      <c r="D115" s="45"/>
      <c r="E115" s="45"/>
    </row>
    <row r="116" spans="2:5">
      <c r="B116" s="45" t="s">
        <v>152</v>
      </c>
      <c r="C116" s="46">
        <f>2*C32</f>
        <v>116.02431009634719</v>
      </c>
      <c r="D116" s="45"/>
      <c r="E116" s="45"/>
    </row>
    <row r="117" spans="2:5">
      <c r="B117" s="45"/>
      <c r="C117" s="46"/>
      <c r="D117" s="45"/>
      <c r="E117" s="45"/>
    </row>
    <row r="118" spans="2:5">
      <c r="B118" s="45" t="s">
        <v>153</v>
      </c>
      <c r="C118" s="46">
        <v>1</v>
      </c>
      <c r="D118" s="45"/>
      <c r="E118" s="45"/>
    </row>
    <row r="119" spans="2:5">
      <c r="B119" s="45"/>
      <c r="C119" s="46"/>
      <c r="D119" s="45"/>
      <c r="E119" s="45"/>
    </row>
    <row r="120" spans="2:5">
      <c r="B120" s="45" t="s">
        <v>154</v>
      </c>
      <c r="C120" s="46">
        <f>(6*C113*10^6/(C118*C41*C116*10^3))^0.5</f>
        <v>6.4320012677372675</v>
      </c>
      <c r="D120" s="45"/>
      <c r="E120" s="45"/>
    </row>
    <row r="121" spans="2:5">
      <c r="B121" s="45" t="s">
        <v>155</v>
      </c>
      <c r="C121" s="46">
        <v>7</v>
      </c>
      <c r="D121" s="45"/>
      <c r="E121" s="45"/>
    </row>
    <row r="122" spans="2:5">
      <c r="B122" s="45"/>
      <c r="C122" s="45"/>
      <c r="D122" s="45"/>
      <c r="E122" s="45"/>
    </row>
    <row r="123" spans="2:5" ht="18.600000000000001">
      <c r="B123" s="6" t="s">
        <v>88</v>
      </c>
      <c r="C123" s="7">
        <f>2*(C41^2+(2*C41)^2+(3*C41)^2)</f>
        <v>100800</v>
      </c>
      <c r="D123" s="7" t="s">
        <v>111</v>
      </c>
      <c r="E123" s="45"/>
    </row>
    <row r="124" spans="2:5">
      <c r="B124" s="45"/>
      <c r="C124" s="45"/>
      <c r="D124" s="7"/>
      <c r="E124" s="45"/>
    </row>
    <row r="125" spans="2:5">
      <c r="B125" s="45" t="s">
        <v>156</v>
      </c>
      <c r="C125" s="46">
        <f>(C113*10^6*3*C41)*10^-3/C123</f>
        <v>85.714285714285708</v>
      </c>
      <c r="D125" s="7" t="s">
        <v>69</v>
      </c>
      <c r="E125" s="45"/>
    </row>
    <row r="126" spans="2:5">
      <c r="B126" s="45"/>
      <c r="C126" s="45"/>
      <c r="D126" s="45"/>
      <c r="E126" s="45"/>
    </row>
    <row r="127" spans="2:5">
      <c r="B127" s="45" t="s">
        <v>157</v>
      </c>
      <c r="C127" s="46">
        <f>C8/C121</f>
        <v>28.571428571428573</v>
      </c>
      <c r="D127" s="45"/>
      <c r="E127" s="45"/>
    </row>
    <row r="128" spans="2:5">
      <c r="B128" s="45"/>
      <c r="C128" s="45"/>
      <c r="D128" s="45"/>
      <c r="E128" s="45"/>
    </row>
    <row r="129" spans="2:5">
      <c r="B129" s="45" t="s">
        <v>158</v>
      </c>
      <c r="C129" s="47">
        <f>(C125^2+C127^2)^0.5</f>
        <v>90.350790290525126</v>
      </c>
      <c r="D129" s="7" t="s">
        <v>159</v>
      </c>
      <c r="E129" s="48">
        <f>C116</f>
        <v>116.02431009634719</v>
      </c>
    </row>
  </sheetData>
  <mergeCells count="4">
    <mergeCell ref="B70:D71"/>
    <mergeCell ref="B2:K5"/>
    <mergeCell ref="B19:E19"/>
    <mergeCell ref="B26:E27"/>
  </mergeCells>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FDDD8-F7CF-47F9-9D5A-91B6BD621D9F}">
  <dimension ref="A1:AB37"/>
  <sheetViews>
    <sheetView workbookViewId="0">
      <selection activeCell="F48" sqref="F48"/>
    </sheetView>
  </sheetViews>
  <sheetFormatPr defaultColWidth="9.140625" defaultRowHeight="13.9"/>
  <cols>
    <col min="1" max="1" width="6.5703125" style="1" customWidth="1"/>
    <col min="2" max="3" width="12.28515625" style="1" bestFit="1" customWidth="1"/>
    <col min="4" max="4" width="10.42578125" style="1" bestFit="1" customWidth="1"/>
    <col min="5" max="5" width="11.42578125" style="1" customWidth="1"/>
    <col min="6" max="6" width="17" style="1" customWidth="1"/>
    <col min="7" max="7" width="16.28515625" style="1" customWidth="1"/>
    <col min="8" max="8" width="10.42578125" style="1" customWidth="1"/>
    <col min="9" max="9" width="11.85546875" style="1" customWidth="1"/>
    <col min="10" max="10" width="9.5703125" style="1" customWidth="1"/>
    <col min="11" max="11" width="17" style="1" customWidth="1"/>
    <col min="12" max="12" width="11.140625" style="1" customWidth="1"/>
    <col min="13" max="13" width="9.5703125" style="1" customWidth="1"/>
    <col min="14" max="14" width="12.28515625" style="1" customWidth="1"/>
    <col min="15" max="15" width="11.85546875" style="1" customWidth="1"/>
    <col min="16" max="16" width="9.5703125" style="1" customWidth="1"/>
    <col min="17" max="17" width="10.42578125" style="1" bestFit="1" customWidth="1"/>
    <col min="18" max="18" width="11.85546875" style="1" bestFit="1" customWidth="1"/>
    <col min="19" max="19" width="19.7109375" style="1" bestFit="1" customWidth="1"/>
    <col min="20" max="20" width="15.5703125" style="1" bestFit="1" customWidth="1"/>
    <col min="21" max="27" width="9.140625" style="1"/>
    <col min="28" max="28" width="6.140625" style="1" bestFit="1" customWidth="1"/>
    <col min="29" max="16384" width="9.140625" style="1"/>
  </cols>
  <sheetData>
    <row r="1" spans="1:28">
      <c r="A1" s="106" t="s">
        <v>160</v>
      </c>
      <c r="B1" s="109" t="s">
        <v>161</v>
      </c>
      <c r="C1" s="110"/>
      <c r="D1" s="110"/>
      <c r="E1" s="110"/>
      <c r="F1" s="110"/>
      <c r="G1" s="110"/>
      <c r="H1" s="110"/>
      <c r="I1" s="110"/>
      <c r="J1" s="110"/>
      <c r="K1" s="110"/>
      <c r="L1" s="110"/>
      <c r="M1" s="49"/>
      <c r="N1" s="49"/>
      <c r="O1" s="49"/>
      <c r="P1" s="49"/>
      <c r="Q1" s="49"/>
      <c r="R1" s="49"/>
      <c r="S1" s="49"/>
      <c r="T1" s="49"/>
      <c r="U1" s="49"/>
      <c r="V1" s="49"/>
      <c r="W1" s="49"/>
      <c r="X1" s="49"/>
      <c r="Y1" s="49"/>
      <c r="Z1" s="49"/>
      <c r="AA1" s="49"/>
      <c r="AB1" s="49"/>
    </row>
    <row r="2" spans="1:28">
      <c r="A2" s="107"/>
      <c r="B2" s="110"/>
      <c r="C2" s="110"/>
      <c r="D2" s="110"/>
      <c r="E2" s="110"/>
      <c r="F2" s="110"/>
      <c r="G2" s="110"/>
      <c r="H2" s="110"/>
      <c r="I2" s="110"/>
      <c r="J2" s="110"/>
      <c r="K2" s="110"/>
      <c r="L2" s="110"/>
      <c r="M2" s="49"/>
      <c r="N2" s="49"/>
      <c r="O2" s="49"/>
      <c r="P2" s="49"/>
      <c r="Q2" s="49"/>
      <c r="R2" s="49">
        <v>588</v>
      </c>
      <c r="S2" s="49"/>
      <c r="T2" s="49"/>
      <c r="U2" s="49"/>
      <c r="V2" s="49"/>
      <c r="W2" s="49"/>
      <c r="X2" s="49"/>
      <c r="Y2" s="49"/>
      <c r="Z2" s="49"/>
      <c r="AA2" s="49"/>
      <c r="AB2" s="49"/>
    </row>
    <row r="3" spans="1:28">
      <c r="A3" s="108"/>
      <c r="B3" s="110"/>
      <c r="C3" s="110"/>
      <c r="D3" s="110"/>
      <c r="E3" s="110"/>
      <c r="F3" s="110"/>
      <c r="G3" s="110"/>
      <c r="H3" s="110"/>
      <c r="I3" s="110"/>
      <c r="J3" s="110"/>
      <c r="K3" s="110"/>
      <c r="L3" s="110"/>
      <c r="M3" s="49"/>
      <c r="N3" s="49"/>
      <c r="O3" s="49"/>
      <c r="P3" s="49"/>
      <c r="Q3" s="49"/>
      <c r="R3" s="49"/>
      <c r="S3" s="49">
        <v>35</v>
      </c>
      <c r="T3" s="49"/>
      <c r="U3" s="49"/>
      <c r="V3" s="49"/>
      <c r="W3" s="49"/>
      <c r="X3" s="49"/>
      <c r="Y3" s="49"/>
      <c r="Z3" s="49"/>
      <c r="AA3" s="49"/>
      <c r="AB3" s="49"/>
    </row>
    <row r="4" spans="1:28">
      <c r="A4" s="49"/>
      <c r="B4" s="49"/>
      <c r="C4" s="49"/>
      <c r="D4" s="49"/>
      <c r="E4" s="49"/>
      <c r="F4" s="49"/>
      <c r="G4" s="111" t="s">
        <v>162</v>
      </c>
      <c r="H4" s="111"/>
      <c r="I4" s="111"/>
      <c r="J4" s="111"/>
      <c r="K4" s="111"/>
      <c r="M4" s="49"/>
      <c r="N4" s="49"/>
      <c r="O4" s="49"/>
      <c r="P4" s="49"/>
      <c r="Q4" s="49"/>
      <c r="R4" s="49"/>
      <c r="S4" s="49"/>
      <c r="T4" s="49"/>
      <c r="U4" s="49"/>
      <c r="V4" s="49"/>
      <c r="W4" s="49"/>
      <c r="X4" s="49"/>
      <c r="Y4" s="49"/>
      <c r="Z4" s="49"/>
      <c r="AA4" s="49"/>
      <c r="AB4" s="49"/>
    </row>
    <row r="5" spans="1:28" ht="18">
      <c r="A5" s="49"/>
      <c r="B5" s="50" t="s">
        <v>163</v>
      </c>
      <c r="C5" s="50" t="s">
        <v>164</v>
      </c>
      <c r="D5" s="50" t="s">
        <v>12</v>
      </c>
      <c r="E5" s="50" t="s">
        <v>64</v>
      </c>
      <c r="F5" s="50" t="s">
        <v>165</v>
      </c>
      <c r="G5" s="50" t="s">
        <v>166</v>
      </c>
      <c r="H5" s="50" t="s">
        <v>167</v>
      </c>
      <c r="I5" s="50" t="s">
        <v>168</v>
      </c>
      <c r="J5" s="50" t="s">
        <v>169</v>
      </c>
      <c r="K5" s="50" t="s">
        <v>170</v>
      </c>
      <c r="L5" s="50" t="s">
        <v>171</v>
      </c>
      <c r="M5" s="49"/>
      <c r="N5" s="49"/>
      <c r="O5" s="49"/>
      <c r="P5" s="49"/>
      <c r="Q5" s="49"/>
      <c r="R5" s="49"/>
      <c r="S5" s="49"/>
      <c r="T5" s="49"/>
      <c r="U5" s="49"/>
      <c r="V5" s="49"/>
      <c r="W5" s="49"/>
      <c r="X5" s="49"/>
      <c r="Y5" s="49"/>
      <c r="Z5" s="49"/>
      <c r="AA5" s="49"/>
      <c r="AB5" s="49"/>
    </row>
    <row r="6" spans="1:28" s="49" customFormat="1" ht="18">
      <c r="A6" s="51">
        <v>1</v>
      </c>
      <c r="B6" s="52" t="s">
        <v>172</v>
      </c>
      <c r="C6" s="52" t="s">
        <v>172</v>
      </c>
      <c r="D6" s="52">
        <v>1500</v>
      </c>
      <c r="E6" s="52">
        <v>15</v>
      </c>
      <c r="F6" s="52">
        <f>D6/E6</f>
        <v>100</v>
      </c>
      <c r="G6" s="52">
        <v>95</v>
      </c>
      <c r="H6" s="52">
        <v>100</v>
      </c>
      <c r="I6" s="52">
        <v>102.8</v>
      </c>
      <c r="J6" s="52">
        <v>95.7</v>
      </c>
      <c r="K6" s="52">
        <f>(F6-G6)/(H6-G6)*(J6-I6)+I6</f>
        <v>95.7</v>
      </c>
      <c r="L6" s="52">
        <f>K6*E6*D6/1000</f>
        <v>2153.25</v>
      </c>
    </row>
    <row r="7" spans="1:28" ht="18" hidden="1">
      <c r="A7" s="49"/>
      <c r="B7" s="50">
        <v>1500</v>
      </c>
      <c r="C7" s="50">
        <v>1</v>
      </c>
      <c r="D7" s="50">
        <v>1500</v>
      </c>
      <c r="E7" s="50">
        <v>15</v>
      </c>
      <c r="F7" s="50">
        <f t="shared" ref="F7:F11" si="0">D7/E7</f>
        <v>100</v>
      </c>
      <c r="G7" s="50">
        <v>95</v>
      </c>
      <c r="H7" s="50">
        <v>100</v>
      </c>
      <c r="I7" s="50">
        <v>135.4</v>
      </c>
      <c r="J7" s="50">
        <v>130</v>
      </c>
      <c r="K7" s="50">
        <f t="shared" ref="K7:K11" si="1">(F7-G7)/(H7-G7)*(J7-I7)+I7</f>
        <v>130</v>
      </c>
      <c r="L7" s="50">
        <f t="shared" ref="L7:L11" si="2">K7*E7*D7/1000</f>
        <v>2925</v>
      </c>
      <c r="M7" s="49"/>
      <c r="N7" s="49"/>
      <c r="O7" s="49"/>
      <c r="P7" s="49"/>
      <c r="Q7" s="49"/>
      <c r="R7" s="49"/>
      <c r="S7" s="49"/>
      <c r="T7" s="49"/>
      <c r="U7" s="49"/>
      <c r="V7" s="49"/>
      <c r="W7" s="49"/>
      <c r="X7" s="49"/>
      <c r="Y7" s="49"/>
      <c r="Z7" s="49"/>
      <c r="AA7" s="49"/>
      <c r="AB7" s="49"/>
    </row>
    <row r="8" spans="1:28" ht="18" hidden="1">
      <c r="A8" s="49"/>
      <c r="B8" s="50" t="s">
        <v>172</v>
      </c>
      <c r="C8" s="50" t="s">
        <v>172</v>
      </c>
      <c r="D8" s="50">
        <v>1500</v>
      </c>
      <c r="E8" s="50">
        <v>16</v>
      </c>
      <c r="F8" s="50">
        <f t="shared" si="0"/>
        <v>93.75</v>
      </c>
      <c r="G8" s="50">
        <v>90</v>
      </c>
      <c r="H8" s="50">
        <v>95</v>
      </c>
      <c r="I8" s="50">
        <v>109.8</v>
      </c>
      <c r="J8" s="50">
        <v>102.8</v>
      </c>
      <c r="K8" s="50">
        <f t="shared" si="1"/>
        <v>104.55</v>
      </c>
      <c r="L8" s="50">
        <f t="shared" si="2"/>
        <v>2509.1999999999998</v>
      </c>
      <c r="M8" s="49"/>
      <c r="N8" s="49"/>
      <c r="O8" s="49"/>
      <c r="P8" s="49"/>
      <c r="Q8" s="49"/>
      <c r="R8" s="49"/>
      <c r="S8" s="49"/>
      <c r="T8" s="49"/>
      <c r="U8" s="49"/>
      <c r="V8" s="49"/>
      <c r="W8" s="49"/>
      <c r="X8" s="49"/>
      <c r="Y8" s="49"/>
      <c r="Z8" s="49"/>
      <c r="AA8" s="49"/>
      <c r="AB8" s="49"/>
    </row>
    <row r="9" spans="1:28" ht="18" hidden="1">
      <c r="A9" s="49"/>
      <c r="B9" s="50" t="s">
        <v>172</v>
      </c>
      <c r="C9" s="50" t="s">
        <v>172</v>
      </c>
      <c r="D9" s="50">
        <v>1500</v>
      </c>
      <c r="E9" s="50">
        <v>17</v>
      </c>
      <c r="F9" s="50">
        <f t="shared" si="0"/>
        <v>88.235294117647058</v>
      </c>
      <c r="G9" s="50">
        <v>85</v>
      </c>
      <c r="H9" s="50">
        <v>90</v>
      </c>
      <c r="I9" s="50">
        <v>116.9</v>
      </c>
      <c r="J9" s="50">
        <v>109.8</v>
      </c>
      <c r="K9" s="50">
        <f t="shared" si="1"/>
        <v>112.30588235294118</v>
      </c>
      <c r="L9" s="50">
        <f t="shared" si="2"/>
        <v>2863.8</v>
      </c>
      <c r="M9" s="49"/>
      <c r="N9" s="49"/>
      <c r="O9" s="49"/>
      <c r="P9" s="49"/>
      <c r="Q9" s="49"/>
      <c r="R9" s="49"/>
      <c r="S9" s="49"/>
      <c r="T9" s="49"/>
      <c r="U9" s="49"/>
      <c r="V9" s="49"/>
      <c r="W9" s="49"/>
      <c r="X9" s="49"/>
      <c r="Y9" s="49"/>
      <c r="Z9" s="49"/>
      <c r="AA9" s="49"/>
      <c r="AB9" s="49"/>
    </row>
    <row r="10" spans="1:28" ht="18" hidden="1">
      <c r="A10" s="49"/>
      <c r="B10" s="50" t="s">
        <v>172</v>
      </c>
      <c r="C10" s="50" t="s">
        <v>172</v>
      </c>
      <c r="D10" s="50">
        <v>1500</v>
      </c>
      <c r="E10" s="50">
        <v>18</v>
      </c>
      <c r="F10" s="50">
        <f t="shared" si="0"/>
        <v>83.333333333333329</v>
      </c>
      <c r="G10" s="50">
        <v>80</v>
      </c>
      <c r="H10" s="50">
        <v>85</v>
      </c>
      <c r="I10" s="50">
        <v>123.9</v>
      </c>
      <c r="J10" s="50">
        <v>116.9</v>
      </c>
      <c r="K10" s="50">
        <f t="shared" si="1"/>
        <v>119.23333333333335</v>
      </c>
      <c r="L10" s="50">
        <f t="shared" si="2"/>
        <v>3219.3000000000006</v>
      </c>
      <c r="M10" s="49"/>
      <c r="N10" s="49"/>
      <c r="O10" s="49"/>
      <c r="P10" s="49"/>
      <c r="Q10" s="49"/>
      <c r="R10" s="49"/>
      <c r="S10" s="49"/>
      <c r="T10" s="49"/>
      <c r="U10" s="49"/>
      <c r="V10" s="49"/>
      <c r="W10" s="49"/>
      <c r="X10" s="49"/>
      <c r="Y10" s="49"/>
      <c r="Z10" s="49"/>
      <c r="AA10" s="49"/>
      <c r="AB10" s="49"/>
    </row>
    <row r="11" spans="1:28" s="49" customFormat="1" ht="18">
      <c r="A11" s="51">
        <v>2</v>
      </c>
      <c r="B11" s="52">
        <f>D11</f>
        <v>1500</v>
      </c>
      <c r="C11" s="52">
        <f>B11/D11</f>
        <v>1</v>
      </c>
      <c r="D11" s="52">
        <v>1500</v>
      </c>
      <c r="E11" s="52">
        <v>18</v>
      </c>
      <c r="F11" s="53">
        <f t="shared" si="0"/>
        <v>83.333333333333329</v>
      </c>
      <c r="G11" s="52">
        <v>80</v>
      </c>
      <c r="H11" s="52">
        <v>85</v>
      </c>
      <c r="I11" s="52">
        <v>123.9</v>
      </c>
      <c r="J11" s="52">
        <v>116.9</v>
      </c>
      <c r="K11" s="53">
        <f t="shared" si="1"/>
        <v>119.23333333333335</v>
      </c>
      <c r="L11" s="52">
        <f t="shared" si="2"/>
        <v>3219.3000000000006</v>
      </c>
    </row>
    <row r="12" spans="1:28">
      <c r="A12" s="106" t="s">
        <v>173</v>
      </c>
      <c r="B12" s="112" t="s">
        <v>174</v>
      </c>
      <c r="C12" s="113"/>
      <c r="D12" s="113"/>
      <c r="E12" s="113"/>
      <c r="F12" s="113"/>
      <c r="G12" s="113"/>
      <c r="H12" s="113"/>
      <c r="I12" s="113"/>
      <c r="J12" s="113"/>
      <c r="K12" s="113"/>
      <c r="L12" s="113"/>
      <c r="M12" s="49"/>
      <c r="N12" s="49"/>
      <c r="O12" s="49"/>
      <c r="P12" s="49">
        <v>1200</v>
      </c>
      <c r="Q12" s="49">
        <v>12</v>
      </c>
      <c r="R12" s="49"/>
      <c r="S12" s="49"/>
      <c r="T12" s="49"/>
      <c r="U12" s="49"/>
      <c r="V12" s="49"/>
      <c r="W12" s="49"/>
      <c r="X12" s="49"/>
      <c r="Y12" s="49"/>
      <c r="Z12" s="49"/>
      <c r="AA12" s="49"/>
      <c r="AB12" s="49"/>
    </row>
    <row r="13" spans="1:28">
      <c r="A13" s="107"/>
      <c r="B13" s="114"/>
      <c r="C13" s="115"/>
      <c r="D13" s="115"/>
      <c r="E13" s="115"/>
      <c r="F13" s="115"/>
      <c r="G13" s="115"/>
      <c r="H13" s="115"/>
      <c r="I13" s="115"/>
      <c r="J13" s="115"/>
      <c r="K13" s="115"/>
      <c r="L13" s="115"/>
      <c r="M13" s="49"/>
      <c r="N13" s="49"/>
      <c r="O13" s="49"/>
      <c r="P13" s="49"/>
      <c r="Q13" s="49"/>
      <c r="R13" s="49"/>
      <c r="S13" s="49"/>
      <c r="T13" s="49"/>
      <c r="U13" s="49"/>
      <c r="V13" s="49"/>
      <c r="W13" s="49"/>
      <c r="X13" s="49"/>
      <c r="Y13" s="49"/>
      <c r="Z13" s="49"/>
      <c r="AA13" s="49"/>
      <c r="AB13" s="49"/>
    </row>
    <row r="14" spans="1:28">
      <c r="A14" s="108"/>
      <c r="B14" s="116"/>
      <c r="C14" s="117"/>
      <c r="D14" s="117"/>
      <c r="E14" s="117"/>
      <c r="F14" s="117"/>
      <c r="G14" s="117"/>
      <c r="H14" s="117"/>
      <c r="I14" s="117"/>
      <c r="J14" s="117"/>
      <c r="K14" s="117"/>
      <c r="L14" s="117"/>
      <c r="M14" s="49"/>
      <c r="N14" s="49"/>
      <c r="O14" s="49"/>
      <c r="P14" s="49"/>
      <c r="Q14" s="49"/>
      <c r="R14" s="49"/>
      <c r="S14" s="49"/>
      <c r="T14" s="49"/>
      <c r="U14" s="49"/>
      <c r="V14" s="49"/>
      <c r="W14" s="49"/>
      <c r="X14" s="49"/>
      <c r="Y14" s="49"/>
      <c r="Z14" s="49"/>
      <c r="AA14" s="49"/>
      <c r="AB14" s="49"/>
    </row>
    <row r="15" spans="1:28" ht="18">
      <c r="A15" s="54"/>
      <c r="B15" s="105" t="s">
        <v>175</v>
      </c>
      <c r="C15" s="105"/>
      <c r="D15" s="105"/>
      <c r="E15" s="105"/>
      <c r="F15" s="105"/>
      <c r="G15" s="105"/>
      <c r="H15" s="105"/>
      <c r="I15" s="105"/>
      <c r="J15" s="105"/>
      <c r="K15" s="105"/>
      <c r="L15" s="105"/>
      <c r="M15" s="49"/>
      <c r="N15" s="49"/>
      <c r="O15" s="49"/>
      <c r="P15" s="49"/>
      <c r="Q15" s="49"/>
      <c r="R15" s="49"/>
      <c r="S15" s="49"/>
      <c r="T15" s="49"/>
      <c r="U15" s="49"/>
      <c r="V15" s="49"/>
      <c r="W15" s="49"/>
      <c r="X15" s="49"/>
      <c r="Y15" s="49"/>
      <c r="Z15" s="49"/>
      <c r="AA15" s="49"/>
      <c r="AB15" s="49"/>
    </row>
    <row r="16" spans="1:28" s="2" customFormat="1" ht="18">
      <c r="A16" s="55"/>
      <c r="B16" s="50" t="s">
        <v>176</v>
      </c>
      <c r="C16" s="50" t="s">
        <v>177</v>
      </c>
      <c r="D16" s="50" t="s">
        <v>178</v>
      </c>
      <c r="E16" s="50" t="s">
        <v>179</v>
      </c>
      <c r="F16" s="50" t="s">
        <v>180</v>
      </c>
      <c r="G16" s="50" t="s">
        <v>181</v>
      </c>
      <c r="H16" s="50" t="s">
        <v>182</v>
      </c>
      <c r="I16" s="50" t="s">
        <v>183</v>
      </c>
      <c r="J16" s="50" t="s">
        <v>184</v>
      </c>
      <c r="K16" s="50" t="s">
        <v>185</v>
      </c>
      <c r="L16" s="50" t="s">
        <v>186</v>
      </c>
      <c r="M16" s="49"/>
      <c r="N16" s="49"/>
      <c r="O16" s="49"/>
      <c r="P16" s="49"/>
      <c r="Q16" s="49"/>
      <c r="R16" s="49"/>
      <c r="S16" s="49"/>
      <c r="T16" s="49"/>
      <c r="U16" s="49"/>
      <c r="V16" s="49"/>
      <c r="W16" s="49"/>
      <c r="X16" s="49"/>
      <c r="Y16" s="49"/>
      <c r="Z16" s="49"/>
      <c r="AA16" s="49"/>
      <c r="AB16" s="49"/>
    </row>
    <row r="17" spans="1:28" s="2" customFormat="1" ht="18">
      <c r="A17" s="50">
        <v>1</v>
      </c>
      <c r="B17" s="50">
        <v>20</v>
      </c>
      <c r="C17" s="50">
        <v>20</v>
      </c>
      <c r="D17" s="50">
        <v>10</v>
      </c>
      <c r="E17" s="50">
        <f>(C17+D17)*1.5</f>
        <v>45</v>
      </c>
      <c r="F17" s="50">
        <f>E17*B17^2/8</f>
        <v>2250</v>
      </c>
      <c r="G17" s="50">
        <f>E17*B17/2</f>
        <v>450</v>
      </c>
      <c r="H17" s="50">
        <v>450</v>
      </c>
      <c r="I17" s="50">
        <f>H17/2*B17/2</f>
        <v>2250</v>
      </c>
      <c r="J17" s="50">
        <v>450</v>
      </c>
      <c r="K17" s="50">
        <f>I17+F17</f>
        <v>4500</v>
      </c>
      <c r="L17" s="50">
        <f>G17+J17</f>
        <v>900</v>
      </c>
      <c r="M17" s="49"/>
      <c r="N17" s="49"/>
      <c r="O17" s="49"/>
      <c r="P17" s="49"/>
      <c r="Q17" s="49"/>
      <c r="R17" s="49"/>
      <c r="S17" s="49"/>
      <c r="T17" s="49"/>
      <c r="U17" s="49"/>
      <c r="V17" s="49"/>
      <c r="W17" s="49"/>
      <c r="X17" s="49"/>
      <c r="Y17" s="49"/>
      <c r="Z17" s="49"/>
      <c r="AA17" s="49"/>
      <c r="AB17" s="49"/>
    </row>
    <row r="18" spans="1:28" s="2" customFormat="1" ht="18">
      <c r="A18" s="50">
        <v>1</v>
      </c>
      <c r="B18" s="50">
        <v>20</v>
      </c>
      <c r="C18" s="50">
        <v>20</v>
      </c>
      <c r="D18" s="50">
        <v>10</v>
      </c>
      <c r="E18" s="50">
        <f>(C18+D18)*1.5</f>
        <v>45</v>
      </c>
      <c r="F18" s="50">
        <f>E18*B18^2/8</f>
        <v>2250</v>
      </c>
      <c r="G18" s="50">
        <f>E18*B18/2</f>
        <v>450</v>
      </c>
      <c r="H18" s="50">
        <v>450</v>
      </c>
      <c r="I18" s="50">
        <f>H18/2*B18/2</f>
        <v>2250</v>
      </c>
      <c r="J18" s="50">
        <v>450</v>
      </c>
      <c r="K18" s="50">
        <f>I18+F18</f>
        <v>4500</v>
      </c>
      <c r="L18" s="50">
        <f>G18+J18</f>
        <v>900</v>
      </c>
      <c r="M18" s="49"/>
      <c r="N18" s="49"/>
      <c r="O18" s="49"/>
      <c r="P18" s="49"/>
      <c r="Q18" s="49"/>
      <c r="R18" s="49"/>
      <c r="S18" s="49"/>
      <c r="T18" s="49"/>
      <c r="U18" s="49"/>
      <c r="V18" s="49"/>
      <c r="W18" s="49"/>
      <c r="X18" s="49"/>
      <c r="Y18" s="49"/>
      <c r="Z18" s="49"/>
      <c r="AA18" s="49"/>
      <c r="AB18" s="49"/>
    </row>
    <row r="19" spans="1:28" ht="18">
      <c r="A19" s="50">
        <v>2</v>
      </c>
      <c r="B19" s="50">
        <v>20</v>
      </c>
      <c r="C19" s="50">
        <v>20</v>
      </c>
      <c r="D19" s="50">
        <v>10</v>
      </c>
      <c r="E19" s="50">
        <f t="shared" ref="E19:E25" si="3">(C19+D19)*1.5</f>
        <v>45</v>
      </c>
      <c r="F19" s="50">
        <f t="shared" ref="F19:F25" si="4">E19*B19^2/8</f>
        <v>2250</v>
      </c>
      <c r="G19" s="50">
        <f t="shared" ref="G19:G25" si="5">E19*B19/2</f>
        <v>450</v>
      </c>
      <c r="H19" s="50">
        <v>450</v>
      </c>
      <c r="I19" s="50">
        <f t="shared" ref="I19:I25" si="6">H19/2*B19/2</f>
        <v>2250</v>
      </c>
      <c r="J19" s="50">
        <v>450</v>
      </c>
      <c r="K19" s="50">
        <f>I19+F19</f>
        <v>4500</v>
      </c>
      <c r="L19" s="50">
        <f t="shared" ref="L19:L25" si="7">G19+J19</f>
        <v>900</v>
      </c>
      <c r="M19" s="49"/>
      <c r="N19" s="49"/>
      <c r="O19" s="49"/>
      <c r="P19" s="49"/>
      <c r="Q19" s="49"/>
      <c r="R19" s="49">
        <v>588</v>
      </c>
      <c r="S19" s="49"/>
      <c r="T19" s="49"/>
      <c r="U19" s="49"/>
      <c r="V19" s="49"/>
      <c r="W19" s="49"/>
      <c r="X19" s="49"/>
      <c r="Y19" s="49"/>
      <c r="Z19" s="49"/>
      <c r="AA19" s="49"/>
      <c r="AB19" s="49"/>
    </row>
    <row r="20" spans="1:28" ht="18">
      <c r="A20" s="50">
        <v>3</v>
      </c>
      <c r="B20" s="50">
        <v>20</v>
      </c>
      <c r="C20" s="50">
        <v>20</v>
      </c>
      <c r="D20" s="50">
        <v>10</v>
      </c>
      <c r="E20" s="50">
        <f t="shared" si="3"/>
        <v>45</v>
      </c>
      <c r="F20" s="50">
        <f t="shared" si="4"/>
        <v>2250</v>
      </c>
      <c r="G20" s="50">
        <f t="shared" si="5"/>
        <v>450</v>
      </c>
      <c r="H20" s="50">
        <v>450</v>
      </c>
      <c r="I20" s="50">
        <f t="shared" si="6"/>
        <v>2250</v>
      </c>
      <c r="J20" s="50">
        <v>450</v>
      </c>
      <c r="K20" s="50">
        <f t="shared" ref="K20:K25" si="8">I20+F20</f>
        <v>4500</v>
      </c>
      <c r="L20" s="50">
        <f t="shared" si="7"/>
        <v>900</v>
      </c>
      <c r="M20" s="49"/>
      <c r="N20" s="49"/>
      <c r="O20" s="49"/>
      <c r="P20" s="49"/>
      <c r="Q20" s="49"/>
      <c r="R20" s="49"/>
      <c r="S20" s="49"/>
      <c r="T20" s="49"/>
      <c r="U20" s="49"/>
      <c r="V20" s="49"/>
      <c r="W20" s="49"/>
      <c r="X20" s="49"/>
      <c r="Y20" s="49"/>
      <c r="Z20" s="49"/>
      <c r="AA20" s="49"/>
      <c r="AB20" s="49"/>
    </row>
    <row r="21" spans="1:28" ht="18">
      <c r="A21" s="50">
        <v>4</v>
      </c>
      <c r="B21" s="50">
        <v>20</v>
      </c>
      <c r="C21" s="50">
        <v>20</v>
      </c>
      <c r="D21" s="50">
        <v>10</v>
      </c>
      <c r="E21" s="50">
        <f t="shared" si="3"/>
        <v>45</v>
      </c>
      <c r="F21" s="50">
        <f t="shared" si="4"/>
        <v>2250</v>
      </c>
      <c r="G21" s="50">
        <f t="shared" si="5"/>
        <v>450</v>
      </c>
      <c r="H21" s="50">
        <v>450</v>
      </c>
      <c r="I21" s="50">
        <f t="shared" si="6"/>
        <v>2250</v>
      </c>
      <c r="J21" s="50">
        <v>450</v>
      </c>
      <c r="K21" s="50">
        <f t="shared" si="8"/>
        <v>4500</v>
      </c>
      <c r="L21" s="50">
        <f t="shared" si="7"/>
        <v>900</v>
      </c>
      <c r="M21" s="49"/>
      <c r="N21" s="49"/>
      <c r="O21" s="49"/>
      <c r="P21" s="49"/>
      <c r="Q21" s="49"/>
      <c r="R21" s="49"/>
      <c r="S21" s="49"/>
      <c r="T21" s="49"/>
      <c r="U21" s="49"/>
      <c r="V21" s="49"/>
      <c r="W21" s="49"/>
      <c r="X21" s="49"/>
      <c r="Y21" s="49"/>
      <c r="Z21" s="49"/>
      <c r="AA21" s="49"/>
      <c r="AB21" s="49"/>
    </row>
    <row r="22" spans="1:28" ht="18">
      <c r="A22" s="50">
        <v>5</v>
      </c>
      <c r="B22" s="50">
        <v>20</v>
      </c>
      <c r="C22" s="50">
        <v>20</v>
      </c>
      <c r="D22" s="50">
        <v>10</v>
      </c>
      <c r="E22" s="50">
        <f t="shared" si="3"/>
        <v>45</v>
      </c>
      <c r="F22" s="50">
        <f t="shared" si="4"/>
        <v>2250</v>
      </c>
      <c r="G22" s="50">
        <f t="shared" si="5"/>
        <v>450</v>
      </c>
      <c r="H22" s="50">
        <v>450</v>
      </c>
      <c r="I22" s="50">
        <f t="shared" si="6"/>
        <v>2250</v>
      </c>
      <c r="J22" s="50">
        <v>450</v>
      </c>
      <c r="K22" s="50">
        <f t="shared" si="8"/>
        <v>4500</v>
      </c>
      <c r="L22" s="50">
        <f t="shared" si="7"/>
        <v>900</v>
      </c>
      <c r="M22" s="49"/>
      <c r="N22" s="49"/>
      <c r="O22" s="49"/>
      <c r="P22" s="49"/>
      <c r="Q22" s="49"/>
      <c r="R22" s="49"/>
      <c r="S22" s="49"/>
      <c r="T22" s="49"/>
      <c r="U22" s="49"/>
      <c r="V22" s="49"/>
      <c r="W22" s="49"/>
      <c r="X22" s="49"/>
      <c r="Y22" s="49"/>
      <c r="Z22" s="49"/>
      <c r="AA22" s="49"/>
      <c r="AB22" s="49"/>
    </row>
    <row r="23" spans="1:28" ht="18">
      <c r="A23" s="50">
        <v>6</v>
      </c>
      <c r="B23" s="50">
        <v>20</v>
      </c>
      <c r="C23" s="50">
        <v>20</v>
      </c>
      <c r="D23" s="50">
        <v>10</v>
      </c>
      <c r="E23" s="50">
        <f t="shared" si="3"/>
        <v>45</v>
      </c>
      <c r="F23" s="50">
        <f t="shared" si="4"/>
        <v>2250</v>
      </c>
      <c r="G23" s="50">
        <f t="shared" si="5"/>
        <v>450</v>
      </c>
      <c r="H23" s="50">
        <v>450</v>
      </c>
      <c r="I23" s="50">
        <f t="shared" si="6"/>
        <v>2250</v>
      </c>
      <c r="J23" s="50">
        <v>450</v>
      </c>
      <c r="K23" s="50">
        <f t="shared" si="8"/>
        <v>4500</v>
      </c>
      <c r="L23" s="50">
        <f t="shared" si="7"/>
        <v>900</v>
      </c>
      <c r="M23" s="49"/>
      <c r="N23" s="49"/>
      <c r="O23" s="49"/>
      <c r="P23" s="49"/>
      <c r="Q23" s="49"/>
      <c r="R23" s="49"/>
      <c r="S23" s="49"/>
      <c r="T23" s="49"/>
      <c r="U23" s="49"/>
      <c r="V23" s="49">
        <f>4500*1000*180/250</f>
        <v>3240000</v>
      </c>
      <c r="W23" s="49"/>
      <c r="X23" s="49"/>
      <c r="Y23" s="49"/>
      <c r="Z23" s="49"/>
      <c r="AA23" s="49"/>
      <c r="AB23" s="49"/>
    </row>
    <row r="24" spans="1:28" ht="18">
      <c r="A24" s="50">
        <v>7</v>
      </c>
      <c r="B24" s="50">
        <v>20</v>
      </c>
      <c r="C24" s="50">
        <v>20</v>
      </c>
      <c r="D24" s="50">
        <v>10</v>
      </c>
      <c r="E24" s="50">
        <f t="shared" si="3"/>
        <v>45</v>
      </c>
      <c r="F24" s="50">
        <f t="shared" si="4"/>
        <v>2250</v>
      </c>
      <c r="G24" s="50">
        <f t="shared" si="5"/>
        <v>450</v>
      </c>
      <c r="H24" s="50">
        <v>450</v>
      </c>
      <c r="I24" s="50">
        <f t="shared" si="6"/>
        <v>2250</v>
      </c>
      <c r="J24" s="50">
        <v>450</v>
      </c>
      <c r="K24" s="50">
        <f t="shared" si="8"/>
        <v>4500</v>
      </c>
      <c r="L24" s="50">
        <f t="shared" si="7"/>
        <v>900</v>
      </c>
      <c r="M24" s="49"/>
      <c r="N24" s="49"/>
      <c r="O24" s="49"/>
      <c r="P24" s="49"/>
      <c r="Q24" s="49"/>
      <c r="R24" s="49"/>
      <c r="S24" s="49"/>
      <c r="T24" s="49"/>
      <c r="U24" s="49"/>
      <c r="V24" s="49">
        <f>(V23)^0.33</f>
        <v>140.76019291315146</v>
      </c>
      <c r="W24" s="49"/>
      <c r="X24" s="49"/>
      <c r="Y24" s="49"/>
      <c r="Z24" s="49"/>
      <c r="AA24" s="49"/>
      <c r="AB24" s="49"/>
    </row>
    <row r="25" spans="1:28" ht="18">
      <c r="A25" s="50">
        <v>8</v>
      </c>
      <c r="B25" s="50">
        <v>20</v>
      </c>
      <c r="C25" s="50">
        <v>20</v>
      </c>
      <c r="D25" s="50">
        <v>10</v>
      </c>
      <c r="E25" s="50">
        <f t="shared" si="3"/>
        <v>45</v>
      </c>
      <c r="F25" s="50">
        <f t="shared" si="4"/>
        <v>2250</v>
      </c>
      <c r="G25" s="50">
        <f t="shared" si="5"/>
        <v>450</v>
      </c>
      <c r="H25" s="50">
        <v>450</v>
      </c>
      <c r="I25" s="50">
        <f t="shared" si="6"/>
        <v>2250</v>
      </c>
      <c r="J25" s="50">
        <v>450</v>
      </c>
      <c r="K25" s="50">
        <f t="shared" si="8"/>
        <v>4500</v>
      </c>
      <c r="L25" s="50">
        <f t="shared" si="7"/>
        <v>900</v>
      </c>
      <c r="M25" s="49"/>
      <c r="N25" s="49"/>
      <c r="O25" s="49"/>
      <c r="P25" s="49"/>
      <c r="Q25" s="49"/>
      <c r="R25" s="49"/>
      <c r="S25" s="49"/>
      <c r="T25" s="49"/>
      <c r="U25" s="49"/>
      <c r="V25" s="49"/>
      <c r="W25" s="49"/>
      <c r="X25" s="49"/>
      <c r="Y25" s="49"/>
      <c r="Z25" s="49"/>
      <c r="AA25" s="49"/>
      <c r="AB25" s="49"/>
    </row>
    <row r="26" spans="1:28">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row>
    <row r="27" spans="1:28">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row>
    <row r="28" spans="1:28" ht="36">
      <c r="A28" s="56"/>
      <c r="B28" s="57" t="s">
        <v>187</v>
      </c>
      <c r="C28" s="50" t="s">
        <v>188</v>
      </c>
      <c r="D28" s="50" t="s">
        <v>12</v>
      </c>
      <c r="E28" s="50" t="s">
        <v>11</v>
      </c>
      <c r="F28" s="50" t="s">
        <v>23</v>
      </c>
      <c r="G28" s="50" t="s">
        <v>189</v>
      </c>
      <c r="H28" s="50" t="s">
        <v>31</v>
      </c>
      <c r="I28" s="50" t="s">
        <v>190</v>
      </c>
      <c r="J28" s="50" t="s">
        <v>21</v>
      </c>
      <c r="K28" s="50" t="s">
        <v>13</v>
      </c>
      <c r="L28" s="50" t="s">
        <v>9</v>
      </c>
      <c r="M28" s="50" t="s">
        <v>191</v>
      </c>
      <c r="N28" s="50" t="s">
        <v>192</v>
      </c>
      <c r="O28" s="50" t="s">
        <v>164</v>
      </c>
      <c r="P28" s="50" t="s">
        <v>170</v>
      </c>
      <c r="Q28" s="50" t="s">
        <v>193</v>
      </c>
      <c r="R28" s="50" t="s">
        <v>163</v>
      </c>
      <c r="S28" s="50" t="s">
        <v>194</v>
      </c>
      <c r="T28" s="50" t="s">
        <v>195</v>
      </c>
      <c r="U28" s="51"/>
      <c r="V28" s="51"/>
      <c r="W28" s="51"/>
      <c r="X28" s="51"/>
      <c r="Y28" s="51"/>
      <c r="Z28" s="51"/>
      <c r="AA28" s="51"/>
      <c r="AB28" s="51"/>
    </row>
    <row r="29" spans="1:28" ht="18">
      <c r="A29" s="50">
        <v>1</v>
      </c>
      <c r="B29" s="58">
        <f t="shared" ref="B29:B37" si="9">(K17*1000000*180/250)^0.33</f>
        <v>1375.5609974365184</v>
      </c>
      <c r="C29" s="58">
        <f t="shared" ref="C29:C37" si="10">(K17/(250*180^2)^(0.33))</f>
        <v>23.62721088124859</v>
      </c>
      <c r="D29" s="58">
        <v>1200</v>
      </c>
      <c r="E29" s="58">
        <v>18</v>
      </c>
      <c r="F29" s="58">
        <f t="shared" ref="F29:F37" si="11">D29/E29</f>
        <v>66.666666666666671</v>
      </c>
      <c r="G29" s="58">
        <f>(K29*D29^2/6)-((K29-E29)*(D29-2*L29)^3/(6*D29))</f>
        <v>26890654.166666672</v>
      </c>
      <c r="H29" s="58">
        <f>1*G29*250/(1000000*1.1)</f>
        <v>6111.5123106060619</v>
      </c>
      <c r="I29" s="58">
        <f t="shared" ref="I29:I37" si="12">K17*1.1*1000000/(250*D29)</f>
        <v>16500</v>
      </c>
      <c r="J29" s="58">
        <v>8.4</v>
      </c>
      <c r="K29" s="58">
        <f t="shared" ref="K29:K37" si="13">L29*J29*2</f>
        <v>588</v>
      </c>
      <c r="L29" s="58">
        <v>35</v>
      </c>
      <c r="M29" s="58">
        <f t="shared" ref="M29:M37" si="14">I29/L29</f>
        <v>471.42857142857144</v>
      </c>
      <c r="N29" s="58">
        <v>480</v>
      </c>
      <c r="O29" s="58">
        <f>B17*1000/D29</f>
        <v>16.666666666666668</v>
      </c>
      <c r="P29" s="58">
        <v>95.7</v>
      </c>
      <c r="Q29" s="58">
        <f>D29*E29*P29/1000</f>
        <v>2067.12</v>
      </c>
      <c r="R29" s="58">
        <f>O29*D29</f>
        <v>20000</v>
      </c>
      <c r="S29" s="58">
        <f>(K29*L29^3/12+K29*L29*(D29/2-L29/2)^2)*2+E29*(D29-2*L29)^3/12</f>
        <v>16134392500</v>
      </c>
      <c r="T29" s="58">
        <f>S29/(D29/2)</f>
        <v>26890654.166666668</v>
      </c>
      <c r="U29" s="51"/>
      <c r="V29" s="51"/>
      <c r="W29" s="51"/>
      <c r="X29" s="51"/>
      <c r="Y29" s="51"/>
      <c r="Z29" s="51"/>
      <c r="AA29" s="51"/>
      <c r="AB29" s="51"/>
    </row>
    <row r="30" spans="1:28" ht="18">
      <c r="A30" s="50">
        <v>1</v>
      </c>
      <c r="B30" s="58">
        <f t="shared" si="9"/>
        <v>1375.5609974365184</v>
      </c>
      <c r="C30" s="58">
        <f t="shared" si="10"/>
        <v>23.62721088124859</v>
      </c>
      <c r="D30" s="58">
        <v>1200</v>
      </c>
      <c r="E30" s="58">
        <v>12</v>
      </c>
      <c r="F30" s="58">
        <f t="shared" si="11"/>
        <v>100</v>
      </c>
      <c r="G30" s="58">
        <f t="shared" ref="G30:G37" si="15">(K30*D30^2/6)-((K30-E30)*(D30-2*L30)^3/(6*D30))</f>
        <v>25688240</v>
      </c>
      <c r="H30" s="58">
        <f t="shared" ref="H30:H37" si="16">1*G30*250/(1000000*1.1)</f>
        <v>5838.2363636363634</v>
      </c>
      <c r="I30" s="58">
        <f t="shared" si="12"/>
        <v>16500</v>
      </c>
      <c r="J30" s="58">
        <v>8.4</v>
      </c>
      <c r="K30" s="58">
        <f t="shared" si="13"/>
        <v>588</v>
      </c>
      <c r="L30" s="58">
        <v>35</v>
      </c>
      <c r="M30" s="58">
        <f t="shared" si="14"/>
        <v>471.42857142857144</v>
      </c>
      <c r="N30" s="58">
        <v>480</v>
      </c>
      <c r="O30" s="58">
        <f>B18*1000/D30</f>
        <v>16.666666666666668</v>
      </c>
      <c r="P30" s="58">
        <v>95.7</v>
      </c>
      <c r="Q30" s="58">
        <f t="shared" ref="Q30:Q37" si="17">D30*E30*P30/1000</f>
        <v>1378.08</v>
      </c>
      <c r="R30" s="58">
        <f>O30*D30</f>
        <v>20000</v>
      </c>
      <c r="S30" s="58">
        <f t="shared" ref="S30:S37" si="18">(K30*L30^3/12+K30*L30*(D30/2-L30/2)^2)*2+E30*(D30-2*L30)^3/12</f>
        <v>15412944000</v>
      </c>
      <c r="T30" s="58">
        <f t="shared" ref="T30:T37" si="19">S30/(D30/2)</f>
        <v>25688240</v>
      </c>
      <c r="U30" s="51"/>
      <c r="V30" s="51"/>
      <c r="W30" s="51"/>
      <c r="X30" s="51"/>
      <c r="Y30" s="51"/>
      <c r="Z30" s="51"/>
      <c r="AA30" s="51"/>
      <c r="AB30" s="51"/>
    </row>
    <row r="31" spans="1:28" ht="18">
      <c r="A31" s="50">
        <v>2</v>
      </c>
      <c r="B31" s="58">
        <f t="shared" si="9"/>
        <v>1375.5609974365184</v>
      </c>
      <c r="C31" s="58">
        <f t="shared" si="10"/>
        <v>23.62721088124859</v>
      </c>
      <c r="D31" s="58">
        <v>1200</v>
      </c>
      <c r="E31" s="58">
        <v>10</v>
      </c>
      <c r="F31" s="58">
        <f t="shared" si="11"/>
        <v>120</v>
      </c>
      <c r="G31" s="58">
        <f t="shared" si="15"/>
        <v>25287435.277777776</v>
      </c>
      <c r="H31" s="59">
        <f t="shared" si="16"/>
        <v>5747.1443813131309</v>
      </c>
      <c r="I31" s="58">
        <f t="shared" si="12"/>
        <v>16500</v>
      </c>
      <c r="J31" s="58">
        <v>8.4</v>
      </c>
      <c r="K31" s="58">
        <f t="shared" si="13"/>
        <v>588</v>
      </c>
      <c r="L31" s="58">
        <v>35</v>
      </c>
      <c r="M31" s="58">
        <f t="shared" si="14"/>
        <v>471.42857142857144</v>
      </c>
      <c r="N31" s="58">
        <v>480</v>
      </c>
      <c r="O31" s="58">
        <f>B19*1000/D31</f>
        <v>16.666666666666668</v>
      </c>
      <c r="P31" s="58">
        <v>67.2</v>
      </c>
      <c r="Q31" s="60">
        <f t="shared" si="17"/>
        <v>806.4</v>
      </c>
      <c r="R31" s="58">
        <f t="shared" ref="R31:R36" si="20">O31*D31</f>
        <v>20000</v>
      </c>
      <c r="S31" s="58">
        <f t="shared" si="18"/>
        <v>15172461166.666666</v>
      </c>
      <c r="T31" s="58">
        <f t="shared" si="19"/>
        <v>25287435.277777776</v>
      </c>
      <c r="U31" s="51"/>
      <c r="V31" s="51"/>
      <c r="W31" s="51"/>
      <c r="X31" s="51"/>
      <c r="Y31" s="51"/>
      <c r="Z31" s="51"/>
      <c r="AA31" s="51"/>
      <c r="AB31" s="51"/>
    </row>
    <row r="32" spans="1:28" ht="18">
      <c r="A32" s="50">
        <v>3</v>
      </c>
      <c r="B32" s="58">
        <f t="shared" si="9"/>
        <v>1375.5609974365184</v>
      </c>
      <c r="C32" s="58">
        <f t="shared" si="10"/>
        <v>23.62721088124859</v>
      </c>
      <c r="D32" s="58">
        <v>1200</v>
      </c>
      <c r="E32" s="58">
        <v>10</v>
      </c>
      <c r="F32" s="58">
        <f t="shared" si="11"/>
        <v>120</v>
      </c>
      <c r="G32" s="58">
        <f t="shared" si="15"/>
        <v>25287435.277777776</v>
      </c>
      <c r="H32" s="59">
        <f t="shared" si="16"/>
        <v>5747.1443813131309</v>
      </c>
      <c r="I32" s="58">
        <f t="shared" si="12"/>
        <v>16500</v>
      </c>
      <c r="J32" s="58">
        <v>8.4</v>
      </c>
      <c r="K32" s="58">
        <f t="shared" si="13"/>
        <v>588</v>
      </c>
      <c r="L32" s="58">
        <v>35</v>
      </c>
      <c r="M32" s="58">
        <f t="shared" si="14"/>
        <v>471.42857142857144</v>
      </c>
      <c r="N32" s="58">
        <v>480</v>
      </c>
      <c r="O32" s="58">
        <v>2</v>
      </c>
      <c r="P32" s="58">
        <v>79.8</v>
      </c>
      <c r="Q32" s="59">
        <f t="shared" si="17"/>
        <v>957.6</v>
      </c>
      <c r="R32" s="58">
        <f t="shared" si="20"/>
        <v>2400</v>
      </c>
      <c r="S32" s="58">
        <f t="shared" si="18"/>
        <v>15172461166.666666</v>
      </c>
      <c r="T32" s="58">
        <f t="shared" si="19"/>
        <v>25287435.277777776</v>
      </c>
      <c r="U32" s="51"/>
      <c r="V32" s="51"/>
      <c r="W32" s="51"/>
      <c r="X32" s="51"/>
      <c r="Y32" s="51"/>
      <c r="Z32" s="51"/>
      <c r="AA32" s="51"/>
      <c r="AB32" s="51"/>
    </row>
    <row r="33" spans="1:28" ht="18">
      <c r="A33" s="50">
        <v>4</v>
      </c>
      <c r="B33" s="58">
        <f t="shared" si="9"/>
        <v>1375.5609974365184</v>
      </c>
      <c r="C33" s="58">
        <f t="shared" si="10"/>
        <v>23.62721088124859</v>
      </c>
      <c r="D33" s="58">
        <v>1200</v>
      </c>
      <c r="E33" s="58">
        <v>8</v>
      </c>
      <c r="F33" s="58">
        <f t="shared" si="11"/>
        <v>150</v>
      </c>
      <c r="G33" s="58">
        <f t="shared" si="15"/>
        <v>24886630.555555552</v>
      </c>
      <c r="H33" s="59">
        <f t="shared" si="16"/>
        <v>5656.0523989898984</v>
      </c>
      <c r="I33" s="58">
        <f t="shared" si="12"/>
        <v>16500</v>
      </c>
      <c r="J33" s="58">
        <v>8.4</v>
      </c>
      <c r="K33" s="58">
        <f t="shared" si="13"/>
        <v>588</v>
      </c>
      <c r="L33" s="58">
        <v>35</v>
      </c>
      <c r="M33" s="58">
        <f t="shared" si="14"/>
        <v>471.42857142857144</v>
      </c>
      <c r="N33" s="58">
        <v>480</v>
      </c>
      <c r="O33" s="58">
        <v>1</v>
      </c>
      <c r="P33" s="58">
        <v>75.2</v>
      </c>
      <c r="Q33" s="60">
        <f t="shared" si="17"/>
        <v>721.92</v>
      </c>
      <c r="R33" s="58">
        <f t="shared" si="20"/>
        <v>1200</v>
      </c>
      <c r="S33" s="58">
        <f t="shared" si="18"/>
        <v>14931978333.333334</v>
      </c>
      <c r="T33" s="58">
        <f t="shared" si="19"/>
        <v>24886630.555555556</v>
      </c>
      <c r="U33" s="51"/>
      <c r="V33" s="51"/>
      <c r="W33" s="51"/>
      <c r="X33" s="51"/>
      <c r="Y33" s="51"/>
      <c r="Z33" s="51"/>
      <c r="AA33" s="51"/>
      <c r="AB33" s="51"/>
    </row>
    <row r="34" spans="1:28" ht="18">
      <c r="A34" s="50">
        <v>5</v>
      </c>
      <c r="B34" s="58">
        <f t="shared" si="9"/>
        <v>1375.5609974365184</v>
      </c>
      <c r="C34" s="58">
        <f t="shared" si="10"/>
        <v>23.62721088124859</v>
      </c>
      <c r="D34" s="58">
        <v>1200</v>
      </c>
      <c r="E34" s="58">
        <v>8</v>
      </c>
      <c r="F34" s="58">
        <f t="shared" si="11"/>
        <v>150</v>
      </c>
      <c r="G34" s="58">
        <f t="shared" si="15"/>
        <v>24886630.555555552</v>
      </c>
      <c r="H34" s="59">
        <f t="shared" si="16"/>
        <v>5656.0523989898984</v>
      </c>
      <c r="I34" s="58">
        <f t="shared" si="12"/>
        <v>16500</v>
      </c>
      <c r="J34" s="58">
        <v>8.4</v>
      </c>
      <c r="K34" s="58">
        <f t="shared" si="13"/>
        <v>588</v>
      </c>
      <c r="L34" s="58">
        <v>35</v>
      </c>
      <c r="M34" s="58">
        <f t="shared" si="14"/>
        <v>471.42857142857144</v>
      </c>
      <c r="N34" s="58">
        <v>480</v>
      </c>
      <c r="O34" s="58">
        <f>1000/D34</f>
        <v>0.83333333333333337</v>
      </c>
      <c r="P34" s="58">
        <v>95</v>
      </c>
      <c r="Q34" s="59">
        <f t="shared" si="17"/>
        <v>912</v>
      </c>
      <c r="R34" s="59">
        <f t="shared" si="20"/>
        <v>1000</v>
      </c>
      <c r="S34" s="58">
        <f t="shared" si="18"/>
        <v>14931978333.333334</v>
      </c>
      <c r="T34" s="58">
        <f t="shared" si="19"/>
        <v>24886630.555555556</v>
      </c>
      <c r="U34" s="51"/>
      <c r="V34" s="51"/>
      <c r="W34" s="51"/>
      <c r="X34" s="51"/>
      <c r="Y34" s="51"/>
      <c r="Z34" s="51"/>
      <c r="AA34" s="51"/>
      <c r="AB34" s="51"/>
    </row>
    <row r="35" spans="1:28" ht="18">
      <c r="A35" s="50">
        <v>6</v>
      </c>
      <c r="B35" s="58">
        <f t="shared" si="9"/>
        <v>1375.5609974365184</v>
      </c>
      <c r="C35" s="58">
        <f t="shared" si="10"/>
        <v>23.62721088124859</v>
      </c>
      <c r="D35" s="58">
        <v>1400</v>
      </c>
      <c r="E35" s="58">
        <v>8</v>
      </c>
      <c r="F35" s="58">
        <f t="shared" si="11"/>
        <v>175</v>
      </c>
      <c r="G35" s="58">
        <f t="shared" si="15"/>
        <v>29636016.666666657</v>
      </c>
      <c r="H35" s="59">
        <f t="shared" si="16"/>
        <v>6735.4583333333312</v>
      </c>
      <c r="I35" s="58">
        <f t="shared" si="12"/>
        <v>14142.857142857143</v>
      </c>
      <c r="J35" s="58">
        <v>8.4</v>
      </c>
      <c r="K35" s="58">
        <f t="shared" si="13"/>
        <v>588</v>
      </c>
      <c r="L35" s="58">
        <v>35</v>
      </c>
      <c r="M35" s="58">
        <f t="shared" si="14"/>
        <v>404.08163265306121</v>
      </c>
      <c r="N35" s="58">
        <v>480</v>
      </c>
      <c r="O35" s="58">
        <v>1</v>
      </c>
      <c r="P35" s="58">
        <v>55.2</v>
      </c>
      <c r="Q35" s="60">
        <f t="shared" si="17"/>
        <v>618.24</v>
      </c>
      <c r="R35" s="58">
        <f t="shared" si="20"/>
        <v>1400</v>
      </c>
      <c r="S35" s="58">
        <f t="shared" si="18"/>
        <v>20745211666.666668</v>
      </c>
      <c r="T35" s="58">
        <f t="shared" si="19"/>
        <v>29636016.666666668</v>
      </c>
      <c r="U35" s="51"/>
      <c r="V35" s="51"/>
      <c r="W35" s="51"/>
      <c r="X35" s="51"/>
      <c r="Y35" s="51"/>
      <c r="Z35" s="51"/>
      <c r="AA35" s="51"/>
      <c r="AB35" s="51"/>
    </row>
    <row r="36" spans="1:28" ht="18">
      <c r="A36" s="50">
        <v>7</v>
      </c>
      <c r="B36" s="58">
        <f t="shared" si="9"/>
        <v>1375.5609974365184</v>
      </c>
      <c r="C36" s="58">
        <f t="shared" si="10"/>
        <v>23.62721088124859</v>
      </c>
      <c r="D36" s="58">
        <v>1400</v>
      </c>
      <c r="E36" s="58">
        <v>8</v>
      </c>
      <c r="F36" s="58">
        <f t="shared" si="11"/>
        <v>175</v>
      </c>
      <c r="G36" s="58">
        <f t="shared" si="15"/>
        <v>29636016.666666657</v>
      </c>
      <c r="H36" s="59">
        <f t="shared" si="16"/>
        <v>6735.4583333333312</v>
      </c>
      <c r="I36" s="58">
        <f t="shared" si="12"/>
        <v>14142.857142857143</v>
      </c>
      <c r="J36" s="58">
        <v>8.4</v>
      </c>
      <c r="K36" s="58">
        <f t="shared" si="13"/>
        <v>588</v>
      </c>
      <c r="L36" s="58">
        <v>35</v>
      </c>
      <c r="M36" s="58">
        <f t="shared" si="14"/>
        <v>404.08163265306121</v>
      </c>
      <c r="N36" s="58">
        <v>480</v>
      </c>
      <c r="O36" s="58">
        <v>0.8</v>
      </c>
      <c r="P36" s="58">
        <v>73</v>
      </c>
      <c r="Q36" s="60">
        <f t="shared" si="17"/>
        <v>817.6</v>
      </c>
      <c r="R36" s="58">
        <f t="shared" si="20"/>
        <v>1120</v>
      </c>
      <c r="S36" s="58">
        <f t="shared" si="18"/>
        <v>20745211666.666668</v>
      </c>
      <c r="T36" s="58">
        <f t="shared" si="19"/>
        <v>29636016.666666668</v>
      </c>
      <c r="U36" s="51"/>
      <c r="V36" s="51"/>
      <c r="W36" s="51"/>
      <c r="X36" s="51"/>
      <c r="Y36" s="51"/>
      <c r="Z36" s="51"/>
      <c r="AA36" s="51"/>
      <c r="AB36" s="51"/>
    </row>
    <row r="37" spans="1:28" ht="18">
      <c r="A37" s="50">
        <v>8</v>
      </c>
      <c r="B37" s="58">
        <f t="shared" si="9"/>
        <v>1375.5609974365184</v>
      </c>
      <c r="C37" s="58">
        <f t="shared" si="10"/>
        <v>23.62721088124859</v>
      </c>
      <c r="D37" s="58">
        <v>1400</v>
      </c>
      <c r="E37" s="58">
        <v>8</v>
      </c>
      <c r="F37" s="58">
        <f t="shared" si="11"/>
        <v>175</v>
      </c>
      <c r="G37" s="58">
        <f t="shared" si="15"/>
        <v>29636016.666666657</v>
      </c>
      <c r="H37" s="59">
        <f t="shared" si="16"/>
        <v>6735.4583333333312</v>
      </c>
      <c r="I37" s="58">
        <f t="shared" si="12"/>
        <v>14142.857142857143</v>
      </c>
      <c r="J37" s="58">
        <v>8.4</v>
      </c>
      <c r="K37" s="58">
        <f t="shared" si="13"/>
        <v>588</v>
      </c>
      <c r="L37" s="58">
        <v>35</v>
      </c>
      <c r="M37" s="58">
        <f t="shared" si="14"/>
        <v>404.08163265306121</v>
      </c>
      <c r="N37" s="58">
        <v>480</v>
      </c>
      <c r="O37" s="58">
        <v>0.7</v>
      </c>
      <c r="P37" s="58">
        <v>88.1</v>
      </c>
      <c r="Q37" s="59">
        <f t="shared" si="17"/>
        <v>986.71999999999991</v>
      </c>
      <c r="R37" s="59">
        <f>O37*D37</f>
        <v>979.99999999999989</v>
      </c>
      <c r="S37" s="58">
        <f t="shared" si="18"/>
        <v>20745211666.666668</v>
      </c>
      <c r="T37" s="58">
        <f t="shared" si="19"/>
        <v>29636016.666666668</v>
      </c>
      <c r="U37" s="51"/>
      <c r="V37" s="51"/>
      <c r="W37" s="51"/>
      <c r="X37" s="51"/>
      <c r="Y37" s="51"/>
      <c r="Z37" s="51"/>
      <c r="AA37" s="51"/>
      <c r="AB37" s="51"/>
    </row>
  </sheetData>
  <mergeCells count="6">
    <mergeCell ref="B15:L15"/>
    <mergeCell ref="A1:A3"/>
    <mergeCell ref="B1:L3"/>
    <mergeCell ref="G4:K4"/>
    <mergeCell ref="A12:A14"/>
    <mergeCell ref="B12:L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F8CE5-8412-4069-8931-D5AF2495A8C2}">
  <dimension ref="A1:I113"/>
  <sheetViews>
    <sheetView zoomScale="85" zoomScaleNormal="85" workbookViewId="0">
      <selection activeCell="D94" sqref="D94"/>
    </sheetView>
  </sheetViews>
  <sheetFormatPr defaultColWidth="9.140625" defaultRowHeight="15.6"/>
  <cols>
    <col min="1" max="1" width="32.7109375" style="4" bestFit="1" customWidth="1"/>
    <col min="2" max="2" width="27.7109375" style="4" bestFit="1" customWidth="1"/>
    <col min="3" max="3" width="20.140625" style="4" bestFit="1" customWidth="1"/>
    <col min="4" max="4" width="12.42578125" style="4" bestFit="1" customWidth="1"/>
    <col min="5" max="5" width="12.42578125" style="4" customWidth="1"/>
    <col min="6" max="6" width="12.42578125" style="4" bestFit="1" customWidth="1"/>
    <col min="7" max="7" width="9.140625" style="4"/>
    <col min="8" max="8" width="4.85546875" style="4" bestFit="1" customWidth="1"/>
    <col min="9" max="9" width="5" style="4" bestFit="1" customWidth="1"/>
    <col min="10" max="16384" width="9.140625" style="4"/>
  </cols>
  <sheetData>
    <row r="1" spans="1:9" ht="57" customHeight="1">
      <c r="A1" s="119" t="s">
        <v>196</v>
      </c>
      <c r="B1" s="119"/>
      <c r="C1" s="119"/>
      <c r="D1" s="119"/>
      <c r="E1" s="119"/>
      <c r="F1" s="119"/>
      <c r="G1" s="119"/>
      <c r="H1" s="119"/>
      <c r="I1" s="119"/>
    </row>
    <row r="2" spans="1:9">
      <c r="F2" s="7" t="s">
        <v>197</v>
      </c>
      <c r="G2" s="7" t="s">
        <v>198</v>
      </c>
      <c r="H2" s="7" t="s">
        <v>199</v>
      </c>
      <c r="I2" s="7" t="s">
        <v>65</v>
      </c>
    </row>
    <row r="3" spans="1:9">
      <c r="A3" s="63" t="s">
        <v>200</v>
      </c>
      <c r="C3" s="7" t="s">
        <v>61</v>
      </c>
      <c r="D3" s="65">
        <v>500</v>
      </c>
      <c r="E3" s="7"/>
      <c r="F3" s="62">
        <v>12</v>
      </c>
      <c r="G3" s="7">
        <f>F3+1</f>
        <v>13</v>
      </c>
      <c r="H3" s="61">
        <f>(22*F3^2/28)</f>
        <v>113.14285714285714</v>
      </c>
      <c r="I3" s="7">
        <v>84</v>
      </c>
    </row>
    <row r="4" spans="1:9">
      <c r="A4" s="4" t="s">
        <v>201</v>
      </c>
      <c r="C4" s="10" t="s">
        <v>59</v>
      </c>
      <c r="D4" s="10">
        <v>410</v>
      </c>
      <c r="E4" s="10" t="s">
        <v>60</v>
      </c>
      <c r="F4" s="62">
        <v>14</v>
      </c>
      <c r="G4" s="7">
        <f>F4+1</f>
        <v>15</v>
      </c>
      <c r="H4" s="61">
        <f t="shared" ref="H4:H10" si="0">(22*F4^2/28)</f>
        <v>154</v>
      </c>
      <c r="I4" s="7">
        <v>115</v>
      </c>
    </row>
    <row r="5" spans="1:9">
      <c r="C5" s="10" t="s">
        <v>62</v>
      </c>
      <c r="D5" s="10">
        <v>1.25</v>
      </c>
      <c r="E5" s="7"/>
      <c r="F5" s="62">
        <v>16</v>
      </c>
      <c r="G5" s="7">
        <f>F5+2</f>
        <v>18</v>
      </c>
      <c r="H5" s="61">
        <f t="shared" si="0"/>
        <v>201.14285714285714</v>
      </c>
      <c r="I5" s="7">
        <v>157</v>
      </c>
    </row>
    <row r="6" spans="1:9">
      <c r="A6" s="118" t="s">
        <v>202</v>
      </c>
      <c r="B6" s="118"/>
      <c r="C6" s="10" t="s">
        <v>197</v>
      </c>
      <c r="D6" s="66">
        <v>20</v>
      </c>
      <c r="E6" s="10" t="s">
        <v>40</v>
      </c>
      <c r="F6" s="62">
        <v>18</v>
      </c>
      <c r="G6" s="7">
        <f t="shared" ref="G6:G9" si="1">F6+2</f>
        <v>20</v>
      </c>
      <c r="H6" s="61">
        <f t="shared" si="0"/>
        <v>254.57142857142858</v>
      </c>
      <c r="I6" s="7">
        <v>192</v>
      </c>
    </row>
    <row r="7" spans="1:9" ht="18">
      <c r="A7" s="118" t="s">
        <v>203</v>
      </c>
      <c r="B7" s="118"/>
      <c r="C7" s="10" t="s">
        <v>204</v>
      </c>
      <c r="D7" s="10">
        <v>22</v>
      </c>
      <c r="E7" s="10" t="s">
        <v>40</v>
      </c>
      <c r="F7" s="62">
        <v>20</v>
      </c>
      <c r="G7" s="7">
        <f t="shared" si="1"/>
        <v>22</v>
      </c>
      <c r="H7" s="61">
        <f t="shared" si="0"/>
        <v>314.28571428571428</v>
      </c>
      <c r="I7" s="7">
        <v>245</v>
      </c>
    </row>
    <row r="8" spans="1:9">
      <c r="C8" s="7" t="s">
        <v>205</v>
      </c>
      <c r="D8" s="7"/>
      <c r="E8" s="10" t="s">
        <v>40</v>
      </c>
      <c r="F8" s="62">
        <v>22</v>
      </c>
      <c r="G8" s="7">
        <f t="shared" si="1"/>
        <v>24</v>
      </c>
      <c r="H8" s="61">
        <f t="shared" si="0"/>
        <v>380.28571428571428</v>
      </c>
      <c r="I8" s="7">
        <v>303</v>
      </c>
    </row>
    <row r="9" spans="1:9">
      <c r="C9" s="10" t="s">
        <v>206</v>
      </c>
      <c r="D9" s="10"/>
      <c r="E9" s="10" t="s">
        <v>40</v>
      </c>
      <c r="F9" s="62">
        <v>24</v>
      </c>
      <c r="G9" s="7">
        <f t="shared" si="1"/>
        <v>26</v>
      </c>
      <c r="H9" s="61">
        <f t="shared" si="0"/>
        <v>452.57142857142856</v>
      </c>
      <c r="I9" s="7">
        <v>353</v>
      </c>
    </row>
    <row r="10" spans="1:9">
      <c r="C10" s="7" t="s">
        <v>207</v>
      </c>
      <c r="D10" s="65">
        <v>60</v>
      </c>
      <c r="E10" s="7" t="s">
        <v>40</v>
      </c>
      <c r="F10" s="62">
        <v>27</v>
      </c>
      <c r="G10" s="7">
        <f>F10+3</f>
        <v>30</v>
      </c>
      <c r="H10" s="61">
        <f t="shared" si="0"/>
        <v>572.78571428571433</v>
      </c>
      <c r="I10" s="7">
        <v>549</v>
      </c>
    </row>
    <row r="11" spans="1:9">
      <c r="A11" s="4" t="s">
        <v>208</v>
      </c>
      <c r="B11" s="32">
        <f>D3*2*I7/(SQRT(3))/1000</f>
        <v>141.45081595145831</v>
      </c>
      <c r="C11" s="10" t="s">
        <v>209</v>
      </c>
      <c r="D11" s="66">
        <v>40</v>
      </c>
      <c r="E11" s="10" t="s">
        <v>40</v>
      </c>
    </row>
    <row r="12" spans="1:9">
      <c r="C12" s="10" t="s">
        <v>210</v>
      </c>
      <c r="D12" s="66">
        <v>200</v>
      </c>
      <c r="E12" s="10" t="s">
        <v>69</v>
      </c>
    </row>
    <row r="13" spans="1:9">
      <c r="A13" s="4" t="s">
        <v>211</v>
      </c>
      <c r="B13" s="32">
        <f>B11/1.25</f>
        <v>113.16065276116665</v>
      </c>
      <c r="C13" s="2"/>
      <c r="D13" s="2"/>
      <c r="E13" s="2"/>
    </row>
    <row r="15" spans="1:9">
      <c r="A15" s="4" t="s">
        <v>212</v>
      </c>
    </row>
    <row r="16" spans="1:9">
      <c r="A16" s="4" t="s">
        <v>213</v>
      </c>
      <c r="C16" s="32">
        <f>MIN(B17:B20)</f>
        <v>0.60606060606060608</v>
      </c>
    </row>
    <row r="17" spans="1:6">
      <c r="A17" s="4">
        <v>1</v>
      </c>
      <c r="B17" s="32">
        <f>D11/(3*D7)</f>
        <v>0.60606060606060608</v>
      </c>
    </row>
    <row r="18" spans="1:6">
      <c r="A18" s="4">
        <v>2</v>
      </c>
      <c r="B18" s="32">
        <f>60/(3*D7)-0.25</f>
        <v>0.65909090909090906</v>
      </c>
    </row>
    <row r="19" spans="1:6">
      <c r="A19" s="4">
        <v>3</v>
      </c>
      <c r="B19" s="32">
        <f>D3/D4</f>
        <v>1.2195121951219512</v>
      </c>
    </row>
    <row r="20" spans="1:6">
      <c r="A20" s="4">
        <v>4</v>
      </c>
      <c r="B20" s="4">
        <v>1</v>
      </c>
    </row>
    <row r="22" spans="1:6">
      <c r="A22" s="118" t="s">
        <v>214</v>
      </c>
      <c r="B22" s="118"/>
      <c r="C22" s="67">
        <v>8.1</v>
      </c>
    </row>
    <row r="24" spans="1:6">
      <c r="A24" s="4" t="s">
        <v>215</v>
      </c>
      <c r="B24" s="32">
        <f>2.5*C16*D6*C22*D3/1000</f>
        <v>122.72727272727273</v>
      </c>
      <c r="C24" s="4" t="s">
        <v>69</v>
      </c>
    </row>
    <row r="26" spans="1:6">
      <c r="A26" s="4" t="s">
        <v>216</v>
      </c>
      <c r="B26" s="32">
        <f>B24/1.25</f>
        <v>98.181818181818187</v>
      </c>
      <c r="C26" s="4" t="s">
        <v>69</v>
      </c>
    </row>
    <row r="28" spans="1:6">
      <c r="A28" s="118" t="s">
        <v>217</v>
      </c>
      <c r="B28" s="118"/>
      <c r="C28" s="32">
        <f>MIN(B13,B26)</f>
        <v>98.181818181818187</v>
      </c>
      <c r="D28" s="4" t="s">
        <v>69</v>
      </c>
    </row>
    <row r="32" spans="1:6">
      <c r="C32" s="4" t="s">
        <v>218</v>
      </c>
      <c r="D32" s="67">
        <v>50</v>
      </c>
      <c r="E32" s="4" t="s">
        <v>40</v>
      </c>
      <c r="F32" s="119" t="s">
        <v>219</v>
      </c>
    </row>
    <row r="33" spans="1:6">
      <c r="C33" s="4" t="s">
        <v>220</v>
      </c>
      <c r="D33" s="67">
        <v>90</v>
      </c>
      <c r="E33" s="4" t="s">
        <v>40</v>
      </c>
      <c r="F33" s="119"/>
    </row>
    <row r="34" spans="1:6" ht="63.75" customHeight="1">
      <c r="A34" s="119" t="s">
        <v>221</v>
      </c>
      <c r="B34" s="118"/>
    </row>
    <row r="35" spans="1:6">
      <c r="B35" s="4" t="s">
        <v>222</v>
      </c>
      <c r="C35" s="4">
        <f>200*50/1000</f>
        <v>10</v>
      </c>
      <c r="D35" s="4" t="s">
        <v>69</v>
      </c>
    </row>
    <row r="36" spans="1:6">
      <c r="A36" s="4" t="s">
        <v>223</v>
      </c>
    </row>
    <row r="40" spans="1:6">
      <c r="B40" s="4">
        <f>SQRT((6*C35*1000000/(1*D10*C28*1000)))</f>
        <v>3.191423692521127</v>
      </c>
      <c r="C40" s="4" t="s">
        <v>224</v>
      </c>
    </row>
    <row r="41" spans="1:6">
      <c r="A41" s="118" t="s">
        <v>225</v>
      </c>
      <c r="B41" s="118"/>
      <c r="C41" s="4">
        <v>4</v>
      </c>
    </row>
    <row r="43" spans="1:6">
      <c r="A43" s="118" t="s">
        <v>226</v>
      </c>
      <c r="B43" s="118"/>
    </row>
    <row r="45" spans="1:6">
      <c r="A45" s="4" t="s">
        <v>227</v>
      </c>
      <c r="B45" s="4">
        <f>2*(90^2+30^2)</f>
        <v>18000</v>
      </c>
      <c r="C45" s="4" t="s">
        <v>228</v>
      </c>
    </row>
    <row r="46" spans="1:6">
      <c r="A46" s="4" t="s">
        <v>229</v>
      </c>
    </row>
    <row r="49" spans="1:5">
      <c r="A49" s="4" t="s">
        <v>230</v>
      </c>
      <c r="B49" s="4">
        <f>D12*D32*D33/B45</f>
        <v>50</v>
      </c>
      <c r="C49" s="4" t="s">
        <v>69</v>
      </c>
    </row>
    <row r="54" spans="1:5">
      <c r="A54" s="4" t="s">
        <v>231</v>
      </c>
      <c r="B54" s="4">
        <f>D12/C41</f>
        <v>50</v>
      </c>
      <c r="C54" s="4" t="s">
        <v>69</v>
      </c>
    </row>
    <row r="56" spans="1:5" ht="31.15">
      <c r="A56" s="64" t="s">
        <v>232</v>
      </c>
      <c r="B56" s="32">
        <f>SQRT(B49^2+B54^2)</f>
        <v>70.710678118654755</v>
      </c>
      <c r="C56" s="4" t="s">
        <v>233</v>
      </c>
      <c r="D56" s="32">
        <f>C28</f>
        <v>98.181818181818187</v>
      </c>
      <c r="E56" s="4" t="s">
        <v>234</v>
      </c>
    </row>
    <row r="59" spans="1:5">
      <c r="A59" s="63" t="s">
        <v>235</v>
      </c>
    </row>
    <row r="60" spans="1:5">
      <c r="A60" s="4" t="s">
        <v>236</v>
      </c>
      <c r="B60" s="4" t="s">
        <v>237</v>
      </c>
    </row>
    <row r="62" spans="1:5">
      <c r="A62" s="4" t="s">
        <v>238</v>
      </c>
    </row>
    <row r="64" spans="1:5">
      <c r="A64" s="4" t="s">
        <v>208</v>
      </c>
      <c r="B64" s="32">
        <f>D3*I8/(SQRT(3)*1000)</f>
        <v>87.46856578222831</v>
      </c>
      <c r="C64" s="4" t="s">
        <v>69</v>
      </c>
    </row>
    <row r="66" spans="1:3">
      <c r="A66" s="4" t="s">
        <v>211</v>
      </c>
      <c r="B66" s="32">
        <f>B64/1.25</f>
        <v>69.974852625782646</v>
      </c>
      <c r="C66" s="4" t="s">
        <v>69</v>
      </c>
    </row>
    <row r="68" spans="1:3">
      <c r="A68" s="4" t="s">
        <v>239</v>
      </c>
      <c r="B68" s="32">
        <f>D12/B66</f>
        <v>2.8581696494535929</v>
      </c>
      <c r="C68" s="4" t="s">
        <v>224</v>
      </c>
    </row>
    <row r="69" spans="1:3">
      <c r="A69" s="4" t="s">
        <v>240</v>
      </c>
      <c r="B69" s="4">
        <v>3</v>
      </c>
      <c r="C69" s="4" t="s">
        <v>224</v>
      </c>
    </row>
    <row r="71" spans="1:3" ht="46.9">
      <c r="A71" s="76" t="s">
        <v>241</v>
      </c>
    </row>
    <row r="73" spans="1:3">
      <c r="A73" s="4" t="s">
        <v>242</v>
      </c>
      <c r="B73" s="4">
        <v>70</v>
      </c>
      <c r="C73" s="4" t="s">
        <v>40</v>
      </c>
    </row>
    <row r="74" spans="1:3">
      <c r="A74" s="4" t="s">
        <v>243</v>
      </c>
      <c r="B74" s="4">
        <v>120</v>
      </c>
      <c r="C74" s="4" t="s">
        <v>40</v>
      </c>
    </row>
    <row r="75" spans="1:3">
      <c r="A75" s="4" t="s">
        <v>244</v>
      </c>
      <c r="C75" s="32">
        <f>MIN(B76:B79)</f>
        <v>1</v>
      </c>
    </row>
    <row r="76" spans="1:3">
      <c r="B76" s="32">
        <f>B73/(3*D7)</f>
        <v>1.0606060606060606</v>
      </c>
    </row>
    <row r="77" spans="1:3">
      <c r="B77" s="32">
        <f>B74/(3*D7)-0.25</f>
        <v>1.5681818181818181</v>
      </c>
    </row>
    <row r="78" spans="1:3">
      <c r="B78" s="32">
        <f>D3/D4</f>
        <v>1.2195121951219512</v>
      </c>
    </row>
    <row r="79" spans="1:3">
      <c r="B79" s="4">
        <v>1</v>
      </c>
    </row>
    <row r="81" spans="1:6">
      <c r="A81" s="4" t="s">
        <v>245</v>
      </c>
      <c r="B81" s="4">
        <v>8</v>
      </c>
      <c r="C81" s="4" t="s">
        <v>40</v>
      </c>
    </row>
    <row r="82" spans="1:6">
      <c r="A82" s="4" t="s">
        <v>246</v>
      </c>
      <c r="B82" s="4">
        <f>2.5*C75*D6*B81*D4/1000</f>
        <v>164</v>
      </c>
      <c r="C82" s="4" t="s">
        <v>69</v>
      </c>
    </row>
    <row r="84" spans="1:6">
      <c r="A84" s="4" t="s">
        <v>216</v>
      </c>
      <c r="B84" s="4">
        <f>B82/1.25</f>
        <v>131.19999999999999</v>
      </c>
      <c r="C84" s="4" t="s">
        <v>69</v>
      </c>
      <c r="D84" s="4" t="s">
        <v>147</v>
      </c>
      <c r="E84" s="32">
        <f>B66</f>
        <v>69.974852625782646</v>
      </c>
      <c r="F84" s="4" t="s">
        <v>247</v>
      </c>
    </row>
    <row r="85" spans="1:6">
      <c r="A85" s="4" t="s">
        <v>248</v>
      </c>
      <c r="B85" s="32">
        <f>MIN(B84,B66)</f>
        <v>69.974852625782646</v>
      </c>
      <c r="C85" s="4" t="s">
        <v>69</v>
      </c>
    </row>
    <row r="87" spans="1:6">
      <c r="B87" s="32">
        <f>B66*B69</f>
        <v>209.92455787734792</v>
      </c>
      <c r="C87" s="4" t="s">
        <v>69</v>
      </c>
      <c r="D87" s="4" t="s">
        <v>147</v>
      </c>
      <c r="E87" s="4">
        <v>200</v>
      </c>
      <c r="F87" s="4" t="s">
        <v>249</v>
      </c>
    </row>
    <row r="92" spans="1:6">
      <c r="B92" s="32"/>
    </row>
    <row r="94" spans="1:6">
      <c r="B94" s="32"/>
    </row>
    <row r="96" spans="1:6">
      <c r="B96" s="32"/>
    </row>
    <row r="99" spans="1:5">
      <c r="A99" s="76"/>
    </row>
    <row r="103" spans="1:5">
      <c r="C103" s="32"/>
    </row>
    <row r="104" spans="1:5">
      <c r="B104" s="32"/>
    </row>
    <row r="105" spans="1:5">
      <c r="B105" s="32"/>
    </row>
    <row r="106" spans="1:5">
      <c r="B106" s="32"/>
    </row>
    <row r="112" spans="1:5">
      <c r="E112" s="32"/>
    </row>
    <row r="113" spans="2:2">
      <c r="B113" s="32"/>
    </row>
  </sheetData>
  <mergeCells count="9">
    <mergeCell ref="A41:B41"/>
    <mergeCell ref="A43:B43"/>
    <mergeCell ref="F32:F33"/>
    <mergeCell ref="A1:I1"/>
    <mergeCell ref="A6:B6"/>
    <mergeCell ref="A7:B7"/>
    <mergeCell ref="A22:B22"/>
    <mergeCell ref="A28:B28"/>
    <mergeCell ref="A34:B34"/>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DCF7-541D-4CC8-AD33-CE5E95D879D8}">
  <dimension ref="A1:I82"/>
  <sheetViews>
    <sheetView workbookViewId="0">
      <selection activeCell="J2" sqref="J2"/>
    </sheetView>
  </sheetViews>
  <sheetFormatPr defaultColWidth="9.140625" defaultRowHeight="15.6"/>
  <cols>
    <col min="1" max="1" width="38.28515625" style="4" bestFit="1" customWidth="1"/>
    <col min="2" max="2" width="31.5703125" style="4" customWidth="1"/>
    <col min="3" max="3" width="20.140625" style="4" bestFit="1" customWidth="1"/>
    <col min="4" max="4" width="12.42578125" style="4" bestFit="1" customWidth="1"/>
    <col min="5" max="5" width="12.42578125" style="4" customWidth="1"/>
    <col min="6" max="6" width="20.28515625" style="4" bestFit="1" customWidth="1"/>
    <col min="7" max="7" width="9.140625" style="4"/>
    <col min="8" max="8" width="4.85546875" style="4" bestFit="1" customWidth="1"/>
    <col min="9" max="9" width="4.7109375" style="4" bestFit="1" customWidth="1"/>
    <col min="10" max="16384" width="9.140625" style="4"/>
  </cols>
  <sheetData>
    <row r="1" spans="1:9" ht="44.25" customHeight="1">
      <c r="A1" s="122" t="s">
        <v>250</v>
      </c>
      <c r="B1" s="122"/>
      <c r="C1" s="122"/>
      <c r="D1" s="122"/>
      <c r="E1" s="122"/>
      <c r="F1" s="122"/>
      <c r="G1" s="122"/>
      <c r="H1" s="122"/>
      <c r="I1" s="122"/>
    </row>
    <row r="2" spans="1:9">
      <c r="F2" s="78" t="s">
        <v>197</v>
      </c>
      <c r="G2" s="78" t="s">
        <v>198</v>
      </c>
      <c r="H2" s="78" t="s">
        <v>199</v>
      </c>
      <c r="I2" s="78" t="s">
        <v>65</v>
      </c>
    </row>
    <row r="3" spans="1:9">
      <c r="A3" s="63" t="s">
        <v>200</v>
      </c>
      <c r="B3" s="4" t="s">
        <v>251</v>
      </c>
      <c r="C3" s="7" t="s">
        <v>61</v>
      </c>
      <c r="D3" s="65">
        <v>400</v>
      </c>
      <c r="E3" s="7"/>
      <c r="F3" s="62">
        <v>12</v>
      </c>
      <c r="G3" s="7">
        <f>F3+1</f>
        <v>13</v>
      </c>
      <c r="H3" s="61">
        <f>(22*F3^2/28)</f>
        <v>113.14285714285714</v>
      </c>
      <c r="I3" s="7">
        <v>84</v>
      </c>
    </row>
    <row r="4" spans="1:9">
      <c r="A4" s="4" t="s">
        <v>252</v>
      </c>
      <c r="C4" s="10" t="s">
        <v>59</v>
      </c>
      <c r="D4" s="10">
        <v>410</v>
      </c>
      <c r="E4" s="10" t="s">
        <v>60</v>
      </c>
      <c r="F4" s="62">
        <v>14</v>
      </c>
      <c r="G4" s="7">
        <f>F4+1</f>
        <v>15</v>
      </c>
      <c r="H4" s="61">
        <f t="shared" ref="H4:H10" si="0">(22*F4^2/28)</f>
        <v>154</v>
      </c>
      <c r="I4" s="7">
        <v>115</v>
      </c>
    </row>
    <row r="5" spans="1:9">
      <c r="C5" s="10" t="s">
        <v>62</v>
      </c>
      <c r="D5" s="10">
        <v>1.25</v>
      </c>
      <c r="E5" s="7"/>
      <c r="F5" s="62">
        <v>16</v>
      </c>
      <c r="G5" s="7">
        <f>F5+2</f>
        <v>18</v>
      </c>
      <c r="H5" s="61">
        <f t="shared" si="0"/>
        <v>201.14285714285714</v>
      </c>
      <c r="I5" s="7">
        <v>157</v>
      </c>
    </row>
    <row r="6" spans="1:9">
      <c r="A6" s="118"/>
      <c r="B6" s="118"/>
      <c r="C6" s="10" t="s">
        <v>197</v>
      </c>
      <c r="D6" s="66">
        <v>20</v>
      </c>
      <c r="E6" s="10" t="s">
        <v>40</v>
      </c>
      <c r="F6" s="62">
        <v>18</v>
      </c>
      <c r="G6" s="7">
        <f t="shared" ref="G6:G9" si="1">F6+2</f>
        <v>20</v>
      </c>
      <c r="H6" s="61">
        <f t="shared" si="0"/>
        <v>254.57142857142858</v>
      </c>
      <c r="I6" s="7">
        <v>192</v>
      </c>
    </row>
    <row r="7" spans="1:9" ht="18">
      <c r="A7" s="118" t="s">
        <v>203</v>
      </c>
      <c r="B7" s="118"/>
      <c r="C7" s="10" t="s">
        <v>204</v>
      </c>
      <c r="D7" s="10">
        <v>22</v>
      </c>
      <c r="E7" s="10" t="s">
        <v>40</v>
      </c>
      <c r="F7" s="62">
        <v>20</v>
      </c>
      <c r="G7" s="7">
        <f t="shared" si="1"/>
        <v>22</v>
      </c>
      <c r="H7" s="61">
        <f t="shared" si="0"/>
        <v>314.28571428571428</v>
      </c>
      <c r="I7" s="7">
        <v>245</v>
      </c>
    </row>
    <row r="8" spans="1:9">
      <c r="C8" s="7" t="s">
        <v>205</v>
      </c>
      <c r="D8" s="7"/>
      <c r="E8" s="10" t="s">
        <v>40</v>
      </c>
      <c r="F8" s="62">
        <v>22</v>
      </c>
      <c r="G8" s="7">
        <f t="shared" si="1"/>
        <v>24</v>
      </c>
      <c r="H8" s="61">
        <f t="shared" si="0"/>
        <v>380.28571428571428</v>
      </c>
      <c r="I8" s="7">
        <v>303</v>
      </c>
    </row>
    <row r="9" spans="1:9">
      <c r="C9" s="10" t="s">
        <v>206</v>
      </c>
      <c r="D9" s="10"/>
      <c r="E9" s="10" t="s">
        <v>40</v>
      </c>
      <c r="F9" s="62">
        <v>24</v>
      </c>
      <c r="G9" s="7">
        <f t="shared" si="1"/>
        <v>26</v>
      </c>
      <c r="H9" s="61">
        <f t="shared" si="0"/>
        <v>452.57142857142856</v>
      </c>
      <c r="I9" s="7">
        <v>353</v>
      </c>
    </row>
    <row r="10" spans="1:9">
      <c r="C10" s="7" t="s">
        <v>207</v>
      </c>
      <c r="D10" s="65">
        <v>55</v>
      </c>
      <c r="E10" s="7" t="s">
        <v>40</v>
      </c>
      <c r="F10" s="62">
        <v>27</v>
      </c>
      <c r="G10" s="7">
        <f>F10+3</f>
        <v>30</v>
      </c>
      <c r="H10" s="61">
        <f t="shared" si="0"/>
        <v>572.78571428571433</v>
      </c>
      <c r="I10" s="7">
        <v>549</v>
      </c>
    </row>
    <row r="11" spans="1:9">
      <c r="A11" s="4" t="s">
        <v>208</v>
      </c>
      <c r="B11" s="32">
        <f>D3*I7/(SQRT(3))/1000</f>
        <v>56.58032638058333</v>
      </c>
      <c r="C11" s="10" t="s">
        <v>209</v>
      </c>
      <c r="D11" s="66" t="s">
        <v>253</v>
      </c>
      <c r="E11" s="10" t="s">
        <v>40</v>
      </c>
    </row>
    <row r="12" spans="1:9">
      <c r="C12" s="10" t="s">
        <v>210</v>
      </c>
      <c r="D12" s="10">
        <v>100</v>
      </c>
      <c r="E12" s="10" t="s">
        <v>69</v>
      </c>
    </row>
    <row r="13" spans="1:9">
      <c r="A13" s="4" t="s">
        <v>211</v>
      </c>
      <c r="B13" s="32">
        <f>B11/1.25</f>
        <v>45.264261104466662</v>
      </c>
      <c r="C13" s="10" t="s">
        <v>19</v>
      </c>
      <c r="D13" s="10">
        <v>250</v>
      </c>
      <c r="E13" s="10" t="s">
        <v>69</v>
      </c>
    </row>
    <row r="15" spans="1:9">
      <c r="A15" s="4" t="s">
        <v>212</v>
      </c>
    </row>
    <row r="16" spans="1:9">
      <c r="A16" s="4" t="s">
        <v>213</v>
      </c>
      <c r="C16" s="32" t="e">
        <f>MIN(B17:B20)</f>
        <v>#VALUE!</v>
      </c>
      <c r="F16" s="121" t="s">
        <v>254</v>
      </c>
      <c r="G16" s="121"/>
      <c r="H16" s="121"/>
    </row>
    <row r="17" spans="1:8">
      <c r="A17" s="4">
        <v>1</v>
      </c>
      <c r="B17" s="32" t="e">
        <f>D11/(3*D7)</f>
        <v>#VALUE!</v>
      </c>
      <c r="F17" s="7" t="s">
        <v>11</v>
      </c>
      <c r="G17" s="7">
        <v>7.7</v>
      </c>
      <c r="H17" s="7" t="s">
        <v>40</v>
      </c>
    </row>
    <row r="18" spans="1:8">
      <c r="A18" s="4">
        <v>2</v>
      </c>
      <c r="B18" s="32">
        <f>60/(3*D7)-0.25</f>
        <v>0.65909090909090906</v>
      </c>
      <c r="F18" s="7" t="s">
        <v>9</v>
      </c>
      <c r="G18" s="7">
        <v>13.1</v>
      </c>
      <c r="H18" s="7" t="s">
        <v>40</v>
      </c>
    </row>
    <row r="19" spans="1:8">
      <c r="A19" s="4">
        <v>3</v>
      </c>
      <c r="B19" s="32">
        <f>D3/D4</f>
        <v>0.97560975609756095</v>
      </c>
      <c r="F19" s="7" t="s">
        <v>255</v>
      </c>
      <c r="G19" s="7">
        <v>14</v>
      </c>
      <c r="H19" s="7" t="s">
        <v>40</v>
      </c>
    </row>
    <row r="20" spans="1:8">
      <c r="A20" s="4">
        <v>4</v>
      </c>
      <c r="B20" s="4">
        <v>1</v>
      </c>
      <c r="F20" s="7" t="s">
        <v>256</v>
      </c>
      <c r="G20" s="7">
        <v>300</v>
      </c>
      <c r="H20" s="7" t="s">
        <v>40</v>
      </c>
    </row>
    <row r="21" spans="1:8">
      <c r="F21" s="7"/>
      <c r="G21" s="7"/>
      <c r="H21" s="7"/>
    </row>
    <row r="22" spans="1:8" ht="54.75" customHeight="1">
      <c r="A22" s="119" t="s">
        <v>257</v>
      </c>
      <c r="B22" s="118"/>
      <c r="C22" s="4">
        <v>15</v>
      </c>
      <c r="D22" s="4" t="s">
        <v>40</v>
      </c>
    </row>
    <row r="24" spans="1:8">
      <c r="A24" s="4" t="s">
        <v>215</v>
      </c>
      <c r="B24" s="32" t="e">
        <f>2.5*C16*D6*C22*D3/1000</f>
        <v>#VALUE!</v>
      </c>
      <c r="C24" s="4" t="s">
        <v>69</v>
      </c>
      <c r="F24" s="121" t="s">
        <v>258</v>
      </c>
      <c r="G24" s="121"/>
      <c r="H24" s="121"/>
    </row>
    <row r="25" spans="1:8">
      <c r="F25" s="7" t="s">
        <v>64</v>
      </c>
      <c r="G25" s="7">
        <v>12</v>
      </c>
      <c r="H25" s="7" t="s">
        <v>40</v>
      </c>
    </row>
    <row r="26" spans="1:8">
      <c r="A26" s="4" t="s">
        <v>216</v>
      </c>
      <c r="B26" s="32" t="e">
        <f>B24/1.25</f>
        <v>#VALUE!</v>
      </c>
      <c r="C26" s="4" t="s">
        <v>69</v>
      </c>
      <c r="F26" s="7" t="s">
        <v>259</v>
      </c>
      <c r="G26" s="7">
        <v>10</v>
      </c>
      <c r="H26" s="7" t="s">
        <v>40</v>
      </c>
    </row>
    <row r="27" spans="1:8">
      <c r="F27" s="7"/>
      <c r="G27" s="7"/>
      <c r="H27" s="7"/>
    </row>
    <row r="28" spans="1:8">
      <c r="A28" s="118" t="s">
        <v>217</v>
      </c>
      <c r="B28" s="118"/>
      <c r="C28" s="32" t="e">
        <f>MIN(B13,B26)</f>
        <v>#VALUE!</v>
      </c>
      <c r="D28" s="4" t="s">
        <v>69</v>
      </c>
    </row>
    <row r="31" spans="1:8">
      <c r="A31" s="4" t="s">
        <v>260</v>
      </c>
      <c r="B31" s="32" t="e">
        <f>D12/C28</f>
        <v>#VALUE!</v>
      </c>
      <c r="C31" s="4" t="s">
        <v>224</v>
      </c>
    </row>
    <row r="32" spans="1:8">
      <c r="A32" s="4" t="s">
        <v>240</v>
      </c>
      <c r="B32" s="4">
        <v>4</v>
      </c>
      <c r="C32" s="4" t="s">
        <v>224</v>
      </c>
    </row>
    <row r="35" spans="1:3">
      <c r="A35" s="4" t="s">
        <v>261</v>
      </c>
      <c r="B35" s="4">
        <v>140</v>
      </c>
      <c r="C35" s="4" t="s">
        <v>40</v>
      </c>
    </row>
    <row r="37" spans="1:3">
      <c r="A37" s="4" t="s">
        <v>262</v>
      </c>
    </row>
    <row r="38" spans="1:3">
      <c r="A38" s="4" t="s">
        <v>263</v>
      </c>
      <c r="B38" s="4">
        <v>140</v>
      </c>
      <c r="C38" s="4" t="s">
        <v>40</v>
      </c>
    </row>
    <row r="40" spans="1:3" ht="31.15">
      <c r="A40" s="64" t="s">
        <v>264</v>
      </c>
      <c r="B40" s="32">
        <f>(D12*1000/(G17*D13)/1.1)</f>
        <v>47.225501770956313</v>
      </c>
      <c r="C40" s="4" t="s">
        <v>40</v>
      </c>
    </row>
    <row r="41" spans="1:3">
      <c r="A41" s="64"/>
      <c r="B41" s="32"/>
    </row>
    <row r="42" spans="1:3">
      <c r="A42" s="64"/>
      <c r="B42" s="32"/>
    </row>
    <row r="43" spans="1:3">
      <c r="A43" s="64"/>
      <c r="B43" s="32"/>
    </row>
    <row r="44" spans="1:3">
      <c r="A44" s="64"/>
      <c r="B44" s="32"/>
    </row>
    <row r="46" spans="1:3">
      <c r="A46" s="118" t="s">
        <v>265</v>
      </c>
      <c r="B46" s="118"/>
      <c r="C46" s="118"/>
    </row>
    <row r="47" spans="1:3">
      <c r="A47" s="118"/>
      <c r="B47" s="118"/>
      <c r="C47" s="118"/>
    </row>
    <row r="50" spans="1:6">
      <c r="A50" s="4" t="s">
        <v>266</v>
      </c>
      <c r="B50" s="32">
        <f>B40+5+5</f>
        <v>57.225501770956313</v>
      </c>
      <c r="C50" s="4" t="s">
        <v>40</v>
      </c>
      <c r="D50" s="4" t="s">
        <v>159</v>
      </c>
      <c r="E50" s="4">
        <v>75</v>
      </c>
      <c r="F50" s="4" t="b">
        <f>E50&gt;B50</f>
        <v>1</v>
      </c>
    </row>
    <row r="52" spans="1:6">
      <c r="A52" s="4" t="s">
        <v>267</v>
      </c>
      <c r="B52" s="32">
        <f>B50-(G18+G19)</f>
        <v>30.125501770956312</v>
      </c>
      <c r="C52" s="4" t="s">
        <v>40</v>
      </c>
    </row>
    <row r="54" spans="1:6" ht="15.6" customHeight="1">
      <c r="A54" s="119" t="s">
        <v>268</v>
      </c>
      <c r="B54" s="119"/>
    </row>
    <row r="55" spans="1:6">
      <c r="A55" s="119"/>
      <c r="B55" s="119"/>
    </row>
    <row r="56" spans="1:6">
      <c r="A56" s="119"/>
      <c r="B56" s="119"/>
    </row>
    <row r="57" spans="1:6">
      <c r="A57" s="4" t="s">
        <v>269</v>
      </c>
    </row>
    <row r="58" spans="1:6">
      <c r="A58" s="4" t="s">
        <v>270</v>
      </c>
    </row>
    <row r="59" spans="1:6">
      <c r="A59" s="4" t="s">
        <v>271</v>
      </c>
    </row>
    <row r="60" spans="1:6">
      <c r="A60" s="4" t="s">
        <v>272</v>
      </c>
    </row>
    <row r="62" spans="1:6">
      <c r="A62" s="4" t="s">
        <v>273</v>
      </c>
      <c r="B62" s="32">
        <f>B52+5+5-(G25+G26)</f>
        <v>18.125501770956312</v>
      </c>
    </row>
    <row r="64" spans="1:6">
      <c r="A64" s="118" t="s">
        <v>274</v>
      </c>
      <c r="B64" s="118"/>
    </row>
    <row r="65" spans="1:6">
      <c r="A65" s="118"/>
      <c r="B65" s="118"/>
    </row>
    <row r="67" spans="1:6">
      <c r="A67" s="63" t="s">
        <v>275</v>
      </c>
      <c r="B67" s="4" t="s">
        <v>276</v>
      </c>
    </row>
    <row r="68" spans="1:6">
      <c r="A68" s="4" t="s">
        <v>275</v>
      </c>
      <c r="B68" s="4">
        <f>D12*(B62/B52)*(B62/2)</f>
        <v>545.27525706754614</v>
      </c>
      <c r="C68" s="4" t="s">
        <v>277</v>
      </c>
    </row>
    <row r="70" spans="1:6">
      <c r="A70" s="63" t="s">
        <v>278</v>
      </c>
      <c r="B70" s="4" t="s">
        <v>279</v>
      </c>
    </row>
    <row r="71" spans="1:6">
      <c r="A71" s="4" t="s">
        <v>278</v>
      </c>
      <c r="B71" s="4">
        <f>1.2*(B38*G25^2/6*10^-3)*(D13/1.1)</f>
        <v>916.36363636363626</v>
      </c>
      <c r="C71" s="4" t="s">
        <v>277</v>
      </c>
      <c r="D71" s="4" t="s">
        <v>147</v>
      </c>
      <c r="E71" s="4">
        <f>B68</f>
        <v>545.27525706754614</v>
      </c>
      <c r="F71" s="4" t="b">
        <f>B71&gt;E71</f>
        <v>1</v>
      </c>
    </row>
    <row r="73" spans="1:6">
      <c r="A73" s="120" t="s">
        <v>280</v>
      </c>
      <c r="B73" s="120"/>
      <c r="C73" s="120"/>
    </row>
    <row r="75" spans="1:6">
      <c r="A75" s="63" t="s">
        <v>281</v>
      </c>
      <c r="B75" s="4" t="s">
        <v>282</v>
      </c>
    </row>
    <row r="77" spans="1:6">
      <c r="A77" s="4" t="s">
        <v>281</v>
      </c>
      <c r="B77" s="4">
        <f>B38*G25*D13/(SQRT(3)*1.1*1000)</f>
        <v>220.44283005422074</v>
      </c>
      <c r="C77" s="4" t="s">
        <v>69</v>
      </c>
      <c r="D77" s="4" t="s">
        <v>147</v>
      </c>
      <c r="E77" s="4">
        <f>D12</f>
        <v>100</v>
      </c>
      <c r="F77" s="4" t="b">
        <f>E77&lt;B77</f>
        <v>1</v>
      </c>
    </row>
    <row r="80" spans="1:6">
      <c r="A80" s="63" t="s">
        <v>283</v>
      </c>
      <c r="B80" s="4" t="s">
        <v>284</v>
      </c>
    </row>
    <row r="82" spans="1:6">
      <c r="A82" s="4" t="s">
        <v>283</v>
      </c>
      <c r="B82" s="4">
        <f>(G20*G17)*D13/(SQRT(3)*1.1*1000)</f>
        <v>303.10889132455355</v>
      </c>
      <c r="C82" s="4" t="s">
        <v>69</v>
      </c>
      <c r="D82" s="4" t="s">
        <v>147</v>
      </c>
      <c r="E82" s="4">
        <f>D12</f>
        <v>100</v>
      </c>
      <c r="F82" s="4" t="b">
        <f>E82&lt;B82</f>
        <v>1</v>
      </c>
    </row>
  </sheetData>
  <mergeCells count="11">
    <mergeCell ref="A1:I1"/>
    <mergeCell ref="A6:B6"/>
    <mergeCell ref="A7:B7"/>
    <mergeCell ref="A22:B22"/>
    <mergeCell ref="A28:B28"/>
    <mergeCell ref="F16:H16"/>
    <mergeCell ref="A64:B65"/>
    <mergeCell ref="A73:C73"/>
    <mergeCell ref="A46:C47"/>
    <mergeCell ref="A54:B56"/>
    <mergeCell ref="F24:H24"/>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EF18-5C6B-42F6-9672-5D8D7CC6CE50}">
  <dimension ref="C8:M25"/>
  <sheetViews>
    <sheetView workbookViewId="0">
      <selection activeCell="J9" sqref="J9:M13"/>
    </sheetView>
  </sheetViews>
  <sheetFormatPr defaultRowHeight="14.45"/>
  <sheetData>
    <row r="8" spans="3:13">
      <c r="C8" s="79" t="s">
        <v>285</v>
      </c>
    </row>
    <row r="9" spans="3:13">
      <c r="C9" s="123">
        <v>5.8</v>
      </c>
      <c r="D9" s="79"/>
      <c r="E9" s="123" t="s">
        <v>286</v>
      </c>
      <c r="F9" s="123"/>
      <c r="G9" s="123"/>
      <c r="J9" s="79"/>
      <c r="K9" s="125"/>
      <c r="L9" s="126"/>
      <c r="M9" s="127"/>
    </row>
    <row r="10" spans="3:13">
      <c r="C10" s="123"/>
      <c r="D10" s="79" t="s">
        <v>287</v>
      </c>
      <c r="E10" s="79">
        <v>20</v>
      </c>
      <c r="F10" s="79">
        <v>24</v>
      </c>
      <c r="G10" s="79">
        <v>25</v>
      </c>
      <c r="J10" s="79" t="s">
        <v>286</v>
      </c>
      <c r="K10" s="82" t="s">
        <v>288</v>
      </c>
      <c r="L10" s="82" t="s">
        <v>289</v>
      </c>
      <c r="M10" s="79" t="s">
        <v>290</v>
      </c>
    </row>
    <row r="11" spans="3:13">
      <c r="C11" s="123"/>
      <c r="D11" s="79">
        <v>150</v>
      </c>
      <c r="E11" s="79">
        <v>188.43</v>
      </c>
      <c r="F11" s="79">
        <f>G11+((F10-G10)/(E10-G10)*(E11-G11))</f>
        <v>166.87</v>
      </c>
      <c r="G11" s="79">
        <v>161.47999999999999</v>
      </c>
      <c r="J11" s="79">
        <v>300</v>
      </c>
      <c r="K11" s="82">
        <v>0.99199999999999999</v>
      </c>
      <c r="L11" s="82">
        <v>0.72499999999999998</v>
      </c>
      <c r="M11" s="79">
        <v>164.87</v>
      </c>
    </row>
    <row r="12" spans="3:13">
      <c r="C12" s="123"/>
      <c r="D12" s="79">
        <f>4250/28.2</f>
        <v>150.70921985815602</v>
      </c>
      <c r="E12" s="79">
        <f>E13+(($D$12-$D$13)/($D$11-$D$13)*(E11-E13))</f>
        <v>187.39382978723407</v>
      </c>
      <c r="F12" s="80">
        <f t="shared" ref="F12:G12" si="0">F13+(($D$12-$D$13)/($D$11-$D$13)*(F11-F13))</f>
        <v>165.90248226950357</v>
      </c>
      <c r="G12" s="79">
        <f t="shared" si="0"/>
        <v>160.52964539007093</v>
      </c>
      <c r="J12" s="79">
        <f>F12</f>
        <v>165.90248226950357</v>
      </c>
      <c r="K12" s="80">
        <f t="shared" ref="K12:L12" si="1">K13+(($J$12-$J$13)/($J$11-$J$13)*(K11-K13))</f>
        <v>1.399656453900709</v>
      </c>
      <c r="L12" s="80">
        <f t="shared" si="1"/>
        <v>0.5015041371158393</v>
      </c>
      <c r="M12" s="80">
        <f>M13+(($J$12-$J$13)/($J$11-$J$13)*(M11-M13))</f>
        <v>114.07386028368795</v>
      </c>
    </row>
    <row r="13" spans="3:13">
      <c r="C13" s="123"/>
      <c r="D13" s="79">
        <v>160</v>
      </c>
      <c r="E13" s="79">
        <v>173.82</v>
      </c>
      <c r="F13" s="79">
        <f>G13+((F11-G11)/(E11-G11)*(E13-G13))</f>
        <v>153.22800000000001</v>
      </c>
      <c r="G13" s="79">
        <v>148.08000000000001</v>
      </c>
      <c r="J13" s="79">
        <v>150</v>
      </c>
      <c r="K13" s="82">
        <v>1.448</v>
      </c>
      <c r="L13" s="82">
        <v>0.47499999999999998</v>
      </c>
      <c r="M13" s="79">
        <v>108.05</v>
      </c>
    </row>
    <row r="14" spans="3:13">
      <c r="C14" s="81"/>
    </row>
    <row r="15" spans="3:13">
      <c r="C15" s="123">
        <v>5.9</v>
      </c>
      <c r="D15" s="79"/>
      <c r="E15" s="123" t="s">
        <v>286</v>
      </c>
      <c r="F15" s="123"/>
      <c r="G15" s="123"/>
      <c r="J15" s="79"/>
      <c r="K15" s="125"/>
      <c r="L15" s="126"/>
      <c r="M15" s="127"/>
    </row>
    <row r="16" spans="3:13">
      <c r="C16" s="123"/>
      <c r="D16" s="79"/>
      <c r="E16" s="79">
        <v>20</v>
      </c>
      <c r="F16" s="79">
        <f>384/16</f>
        <v>24</v>
      </c>
      <c r="G16" s="79">
        <v>25</v>
      </c>
      <c r="J16" s="79" t="s">
        <v>286</v>
      </c>
      <c r="K16" s="82" t="s">
        <v>288</v>
      </c>
      <c r="L16" s="82" t="s">
        <v>289</v>
      </c>
      <c r="M16" s="79" t="s">
        <v>290</v>
      </c>
    </row>
    <row r="17" spans="3:13">
      <c r="C17" s="123"/>
      <c r="D17" s="79">
        <v>100</v>
      </c>
      <c r="E17" s="79">
        <v>325.7</v>
      </c>
      <c r="F17" s="79">
        <f>G17+((F16-G16)/(E16-G16)*(E17-G17))</f>
        <v>298.18799999999999</v>
      </c>
      <c r="G17" s="79">
        <v>291.31</v>
      </c>
      <c r="J17" s="79">
        <v>300</v>
      </c>
      <c r="K17" s="82">
        <v>0.99199999999999999</v>
      </c>
      <c r="L17" s="82">
        <v>0.72499999999999998</v>
      </c>
      <c r="M17" s="79">
        <v>164.87</v>
      </c>
    </row>
    <row r="18" spans="3:13">
      <c r="C18" s="123"/>
      <c r="D18" s="79">
        <f>3000/28.2</f>
        <v>106.38297872340426</v>
      </c>
      <c r="E18" s="79">
        <f>E19+(($D$18-$D$19)/($D$17-$D$19)*(E17-E19))</f>
        <v>299.36382978723401</v>
      </c>
      <c r="F18" s="79">
        <f t="shared" ref="F18:G18" si="2">F19+(($D$18-$D$19)/($D$17-$D$19)*(F17-F19))</f>
        <v>272.71480851063825</v>
      </c>
      <c r="G18" s="79">
        <f t="shared" si="2"/>
        <v>266.05255319148932</v>
      </c>
      <c r="J18" s="79">
        <f>F18</f>
        <v>272.71480851063825</v>
      </c>
      <c r="K18" s="80">
        <f>K19+(($J$18-$J$19)/($J$17-$J$19)*(K17-K19))</f>
        <v>1.0749469821276598</v>
      </c>
      <c r="L18" s="80">
        <f>L19+(($J$18-$J$19)/($J$17-$J$19)*(L17-L19))</f>
        <v>0.67952468085106377</v>
      </c>
      <c r="M18" s="80">
        <f>M19+(($J$18-$J$19)/($J$17-$J$19)*(M17-M19))</f>
        <v>154.53436946382976</v>
      </c>
    </row>
    <row r="19" spans="3:13">
      <c r="C19" s="123"/>
      <c r="D19" s="79">
        <v>110</v>
      </c>
      <c r="E19" s="79">
        <v>284.44</v>
      </c>
      <c r="F19" s="79">
        <f>G19+((F17-G17)/(E17-G17)*(E19-G19))</f>
        <v>258.27999999999997</v>
      </c>
      <c r="G19" s="79">
        <v>251.74</v>
      </c>
      <c r="J19" s="79">
        <v>150</v>
      </c>
      <c r="K19" s="82">
        <v>1.448</v>
      </c>
      <c r="L19" s="82">
        <v>0.47499999999999998</v>
      </c>
      <c r="M19" s="79">
        <v>108.05</v>
      </c>
    </row>
    <row r="20" spans="3:13">
      <c r="J20" s="81"/>
      <c r="K20" s="81"/>
    </row>
    <row r="21" spans="3:13">
      <c r="C21" s="124">
        <v>5.0999999999999996</v>
      </c>
      <c r="D21" s="79"/>
      <c r="E21" s="123" t="s">
        <v>286</v>
      </c>
      <c r="F21" s="123"/>
      <c r="G21" s="123"/>
      <c r="J21" s="79"/>
      <c r="K21" s="125"/>
      <c r="L21" s="126"/>
      <c r="M21" s="127"/>
    </row>
    <row r="22" spans="3:13">
      <c r="C22" s="124"/>
      <c r="D22" s="79"/>
      <c r="E22" s="79">
        <v>30</v>
      </c>
      <c r="F22" s="79">
        <f>436.3/13.7</f>
        <v>31.846715328467155</v>
      </c>
      <c r="G22" s="79">
        <v>35</v>
      </c>
      <c r="J22" s="79" t="s">
        <v>286</v>
      </c>
      <c r="K22" s="82" t="s">
        <v>288</v>
      </c>
      <c r="L22" s="82" t="s">
        <v>289</v>
      </c>
      <c r="M22" s="79" t="s">
        <v>290</v>
      </c>
    </row>
    <row r="23" spans="3:13">
      <c r="C23" s="124"/>
      <c r="D23" s="79">
        <v>100</v>
      </c>
      <c r="E23" s="79">
        <v>270.81</v>
      </c>
      <c r="F23" s="79">
        <f>G23+((F22-G22)/(E22-G22)*(E23-G23))</f>
        <v>265.95313868613141</v>
      </c>
      <c r="G23" s="79">
        <v>257.66000000000003</v>
      </c>
      <c r="J23" s="79">
        <v>300</v>
      </c>
      <c r="K23" s="82">
        <v>0.99199999999999999</v>
      </c>
      <c r="L23" s="82">
        <v>0.72499999999999998</v>
      </c>
      <c r="M23" s="79">
        <v>164.87</v>
      </c>
    </row>
    <row r="24" spans="3:13">
      <c r="C24" s="124"/>
      <c r="D24" s="79">
        <f>5100/50.8</f>
        <v>100.39370078740158</v>
      </c>
      <c r="E24" s="79">
        <f>E25+(($D$24-$D$25)/($D$23-$D$25)*(E23-E25))</f>
        <v>269.28401574803144</v>
      </c>
      <c r="F24" s="79">
        <f t="shared" ref="F24:G24" si="3">F25+(($D$24-$D$25)/($D$23-$D$25)*(F23-F25))</f>
        <v>264.43340709236162</v>
      </c>
      <c r="G24" s="79">
        <f t="shared" si="3"/>
        <v>256.15094488188976</v>
      </c>
      <c r="J24" s="79">
        <f>F24</f>
        <v>264.43340709236162</v>
      </c>
      <c r="K24" s="80">
        <f>K25+(($J$24-$J$25)/($J$23-$J$25)*(K23-K25))</f>
        <v>1.1001224424392206</v>
      </c>
      <c r="L24" s="80">
        <f t="shared" ref="L24:M24" si="4">L25+(($J$24-$J$25)/($J$23-$J$25)*(L23-L25))</f>
        <v>0.66572234515393602</v>
      </c>
      <c r="M24" s="80">
        <f t="shared" si="4"/>
        <v>151.3973746065866</v>
      </c>
    </row>
    <row r="25" spans="3:13">
      <c r="C25" s="124"/>
      <c r="D25" s="79">
        <v>110</v>
      </c>
      <c r="E25" s="79">
        <v>232.05</v>
      </c>
      <c r="F25" s="79">
        <f>G25+((F23-G23)/(E23-G23)*(E25-G25))</f>
        <v>227.35195620437958</v>
      </c>
      <c r="G25" s="79">
        <v>219.33</v>
      </c>
      <c r="J25" s="79">
        <v>150</v>
      </c>
      <c r="K25" s="82">
        <v>1.448</v>
      </c>
      <c r="L25" s="82">
        <v>0.47499999999999998</v>
      </c>
      <c r="M25" s="79">
        <v>108.05</v>
      </c>
    </row>
  </sheetData>
  <mergeCells count="9">
    <mergeCell ref="C15:C19"/>
    <mergeCell ref="C9:C13"/>
    <mergeCell ref="C21:C25"/>
    <mergeCell ref="E21:G21"/>
    <mergeCell ref="K9:M9"/>
    <mergeCell ref="K15:M15"/>
    <mergeCell ref="K21:M21"/>
    <mergeCell ref="E9:G9"/>
    <mergeCell ref="E15:G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D59B0-3F51-44CB-98B9-E42DD030D520}">
  <dimension ref="B2:O16"/>
  <sheetViews>
    <sheetView workbookViewId="0">
      <selection activeCell="B17" sqref="B17"/>
    </sheetView>
  </sheetViews>
  <sheetFormatPr defaultColWidth="8.85546875" defaultRowHeight="13.9"/>
  <cols>
    <col min="1" max="1" width="8.85546875" style="1"/>
    <col min="2" max="2" width="15.42578125" style="1" bestFit="1" customWidth="1"/>
    <col min="3" max="16384" width="8.85546875" style="1"/>
  </cols>
  <sheetData>
    <row r="2" spans="2:15" ht="14.45" customHeight="1">
      <c r="B2" s="128" t="s">
        <v>291</v>
      </c>
      <c r="C2" s="128"/>
      <c r="D2" s="128"/>
      <c r="E2" s="128"/>
      <c r="F2" s="128"/>
      <c r="G2" s="128"/>
      <c r="H2" s="128"/>
      <c r="I2" s="128"/>
      <c r="J2" s="128"/>
      <c r="K2" s="128"/>
      <c r="L2" s="128"/>
      <c r="M2" s="128"/>
      <c r="N2" s="128"/>
      <c r="O2" s="128"/>
    </row>
    <row r="3" spans="2:15">
      <c r="B3" s="128"/>
      <c r="C3" s="128"/>
      <c r="D3" s="128"/>
      <c r="E3" s="128"/>
      <c r="F3" s="128"/>
      <c r="G3" s="128"/>
      <c r="H3" s="128"/>
      <c r="I3" s="128"/>
      <c r="J3" s="128"/>
      <c r="K3" s="128"/>
      <c r="L3" s="128"/>
      <c r="M3" s="128"/>
      <c r="N3" s="128"/>
      <c r="O3" s="128"/>
    </row>
    <row r="4" spans="2:15">
      <c r="B4" s="128"/>
      <c r="C4" s="128"/>
      <c r="D4" s="128"/>
      <c r="E4" s="128"/>
      <c r="F4" s="128"/>
      <c r="G4" s="128"/>
      <c r="H4" s="128"/>
      <c r="I4" s="128"/>
      <c r="J4" s="128"/>
      <c r="K4" s="128"/>
      <c r="L4" s="128"/>
      <c r="M4" s="128"/>
      <c r="N4" s="128"/>
      <c r="O4" s="128"/>
    </row>
    <row r="5" spans="2:15">
      <c r="B5" s="128"/>
      <c r="C5" s="128"/>
      <c r="D5" s="128"/>
      <c r="E5" s="128"/>
      <c r="F5" s="128"/>
      <c r="G5" s="128"/>
      <c r="H5" s="128"/>
      <c r="I5" s="128"/>
      <c r="J5" s="128"/>
      <c r="K5" s="128"/>
      <c r="L5" s="128"/>
      <c r="M5" s="128"/>
      <c r="N5" s="128"/>
      <c r="O5" s="128"/>
    </row>
    <row r="7" spans="2:15">
      <c r="B7" s="2"/>
      <c r="C7" s="2"/>
      <c r="D7" s="2"/>
    </row>
    <row r="8" spans="2:15">
      <c r="B8" s="77" t="s">
        <v>1</v>
      </c>
      <c r="C8" s="2"/>
      <c r="D8" s="2"/>
    </row>
    <row r="9" spans="2:15">
      <c r="B9" s="2"/>
      <c r="C9" s="2"/>
      <c r="D9" s="2"/>
    </row>
    <row r="10" spans="2:15">
      <c r="B10" s="129" t="s">
        <v>292</v>
      </c>
      <c r="C10" s="129"/>
      <c r="D10" s="129"/>
    </row>
    <row r="11" spans="2:15" ht="16.899999999999999">
      <c r="B11" s="10" t="s">
        <v>293</v>
      </c>
      <c r="C11" s="10">
        <v>13200</v>
      </c>
      <c r="D11" s="10" t="s">
        <v>66</v>
      </c>
    </row>
    <row r="12" spans="2:15">
      <c r="B12" s="10" t="s">
        <v>10</v>
      </c>
      <c r="C12" s="10">
        <v>550</v>
      </c>
      <c r="D12" s="10" t="s">
        <v>40</v>
      </c>
    </row>
    <row r="13" spans="2:15">
      <c r="B13" s="10" t="s">
        <v>294</v>
      </c>
      <c r="C13" s="10">
        <v>190</v>
      </c>
      <c r="D13" s="10" t="s">
        <v>40</v>
      </c>
    </row>
    <row r="14" spans="2:15">
      <c r="B14" s="13" t="s">
        <v>295</v>
      </c>
      <c r="C14" s="13">
        <v>11.2</v>
      </c>
      <c r="D14" s="10" t="s">
        <v>40</v>
      </c>
    </row>
    <row r="15" spans="2:15">
      <c r="B15" s="13" t="s">
        <v>296</v>
      </c>
      <c r="C15" s="13">
        <v>19.3</v>
      </c>
      <c r="D15" s="10" t="s">
        <v>40</v>
      </c>
    </row>
    <row r="16" spans="2:15">
      <c r="B16" s="10" t="s">
        <v>297</v>
      </c>
      <c r="C16" s="10">
        <v>17</v>
      </c>
      <c r="D16" s="10" t="s">
        <v>40</v>
      </c>
    </row>
  </sheetData>
  <mergeCells count="2">
    <mergeCell ref="B2:O5"/>
    <mergeCell ref="B10:D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95992-0F9B-4E74-9C5D-7F5280565EE0}">
  <dimension ref="A1:I47"/>
  <sheetViews>
    <sheetView topLeftCell="A16" workbookViewId="0">
      <selection activeCell="D55" sqref="D55"/>
    </sheetView>
  </sheetViews>
  <sheetFormatPr defaultColWidth="9.140625" defaultRowHeight="15.6"/>
  <cols>
    <col min="1" max="1" width="32.7109375" style="4" bestFit="1" customWidth="1"/>
    <col min="2" max="2" width="31.5703125" style="4" customWidth="1"/>
    <col min="3" max="3" width="20.140625" style="4" bestFit="1" customWidth="1"/>
    <col min="4" max="4" width="12.42578125" style="4" bestFit="1" customWidth="1"/>
    <col min="5" max="5" width="12.42578125" style="4" customWidth="1"/>
    <col min="6" max="6" width="12.42578125" style="4" bestFit="1" customWidth="1"/>
    <col min="7" max="7" width="9.140625" style="4"/>
    <col min="8" max="8" width="4.85546875" style="4" bestFit="1" customWidth="1"/>
    <col min="9" max="9" width="5" style="4" bestFit="1" customWidth="1"/>
    <col min="10" max="16384" width="9.140625" style="4"/>
  </cols>
  <sheetData>
    <row r="1" spans="1:9" ht="44.25" customHeight="1">
      <c r="A1" s="119" t="s">
        <v>298</v>
      </c>
      <c r="B1" s="119"/>
      <c r="C1" s="119"/>
      <c r="D1" s="119"/>
      <c r="E1" s="119"/>
      <c r="F1" s="119"/>
      <c r="G1" s="119"/>
      <c r="H1" s="119"/>
      <c r="I1" s="119"/>
    </row>
    <row r="2" spans="1:9">
      <c r="F2" s="7" t="s">
        <v>197</v>
      </c>
      <c r="G2" s="7" t="s">
        <v>198</v>
      </c>
      <c r="H2" s="7" t="s">
        <v>199</v>
      </c>
      <c r="I2" s="7" t="s">
        <v>65</v>
      </c>
    </row>
    <row r="3" spans="1:9">
      <c r="A3" s="63" t="s">
        <v>200</v>
      </c>
      <c r="B3" s="4" t="s">
        <v>299</v>
      </c>
      <c r="C3" s="7" t="s">
        <v>61</v>
      </c>
      <c r="D3" s="65">
        <v>400</v>
      </c>
      <c r="E3" s="7"/>
      <c r="F3" s="62">
        <v>12</v>
      </c>
      <c r="G3" s="7">
        <f>F3+1</f>
        <v>13</v>
      </c>
      <c r="H3" s="61">
        <f>(22*F3^2/28)</f>
        <v>113.14285714285714</v>
      </c>
      <c r="I3" s="7">
        <v>84</v>
      </c>
    </row>
    <row r="4" spans="1:9">
      <c r="A4" s="4" t="s">
        <v>201</v>
      </c>
      <c r="C4" s="10" t="s">
        <v>59</v>
      </c>
      <c r="D4" s="10">
        <v>410</v>
      </c>
      <c r="E4" s="10" t="s">
        <v>60</v>
      </c>
      <c r="F4" s="62">
        <v>14</v>
      </c>
      <c r="G4" s="7">
        <f>F4+1</f>
        <v>15</v>
      </c>
      <c r="H4" s="61">
        <f t="shared" ref="H4:H10" si="0">(22*F4^2/28)</f>
        <v>154</v>
      </c>
      <c r="I4" s="7">
        <v>115</v>
      </c>
    </row>
    <row r="5" spans="1:9">
      <c r="C5" s="10" t="s">
        <v>62</v>
      </c>
      <c r="D5" s="10">
        <v>1.25</v>
      </c>
      <c r="E5" s="7"/>
      <c r="F5" s="62">
        <v>16</v>
      </c>
      <c r="G5" s="7">
        <f>F5+2</f>
        <v>18</v>
      </c>
      <c r="H5" s="61">
        <f t="shared" si="0"/>
        <v>201.14285714285714</v>
      </c>
      <c r="I5" s="7">
        <v>157</v>
      </c>
    </row>
    <row r="6" spans="1:9">
      <c r="A6" s="118" t="s">
        <v>300</v>
      </c>
      <c r="B6" s="118"/>
      <c r="C6" s="10" t="s">
        <v>197</v>
      </c>
      <c r="D6" s="66">
        <v>20</v>
      </c>
      <c r="E6" s="10" t="s">
        <v>40</v>
      </c>
      <c r="F6" s="62">
        <v>18</v>
      </c>
      <c r="G6" s="7">
        <f t="shared" ref="G6:G9" si="1">F6+2</f>
        <v>20</v>
      </c>
      <c r="H6" s="61">
        <f t="shared" si="0"/>
        <v>254.57142857142858</v>
      </c>
      <c r="I6" s="7">
        <v>192</v>
      </c>
    </row>
    <row r="7" spans="1:9" ht="18">
      <c r="A7" s="118" t="s">
        <v>203</v>
      </c>
      <c r="B7" s="118"/>
      <c r="C7" s="10" t="s">
        <v>204</v>
      </c>
      <c r="D7" s="10">
        <v>22</v>
      </c>
      <c r="E7" s="10" t="s">
        <v>40</v>
      </c>
      <c r="F7" s="62">
        <v>20</v>
      </c>
      <c r="G7" s="7">
        <f t="shared" si="1"/>
        <v>22</v>
      </c>
      <c r="H7" s="61">
        <f t="shared" si="0"/>
        <v>314.28571428571428</v>
      </c>
      <c r="I7" s="7">
        <v>245</v>
      </c>
    </row>
    <row r="8" spans="1:9">
      <c r="C8" s="7" t="s">
        <v>205</v>
      </c>
      <c r="D8" s="7"/>
      <c r="E8" s="10" t="s">
        <v>40</v>
      </c>
      <c r="F8" s="62">
        <v>22</v>
      </c>
      <c r="G8" s="7">
        <f t="shared" si="1"/>
        <v>24</v>
      </c>
      <c r="H8" s="61">
        <f t="shared" si="0"/>
        <v>380.28571428571428</v>
      </c>
      <c r="I8" s="7">
        <v>303</v>
      </c>
    </row>
    <row r="9" spans="1:9">
      <c r="C9" s="10" t="s">
        <v>206</v>
      </c>
      <c r="D9" s="10"/>
      <c r="E9" s="10" t="s">
        <v>40</v>
      </c>
      <c r="F9" s="62">
        <v>24</v>
      </c>
      <c r="G9" s="7">
        <f t="shared" si="1"/>
        <v>26</v>
      </c>
      <c r="H9" s="61">
        <f t="shared" si="0"/>
        <v>452.57142857142856</v>
      </c>
      <c r="I9" s="7">
        <v>353</v>
      </c>
    </row>
    <row r="10" spans="1:9">
      <c r="C10" s="7" t="s">
        <v>207</v>
      </c>
      <c r="D10" s="65">
        <v>55</v>
      </c>
      <c r="E10" s="7" t="s">
        <v>40</v>
      </c>
      <c r="F10" s="62">
        <v>27</v>
      </c>
      <c r="G10" s="7">
        <f>F10+3</f>
        <v>30</v>
      </c>
      <c r="H10" s="61">
        <f t="shared" si="0"/>
        <v>572.78571428571433</v>
      </c>
      <c r="I10" s="7">
        <v>549</v>
      </c>
    </row>
    <row r="11" spans="1:9">
      <c r="A11" s="4" t="s">
        <v>208</v>
      </c>
      <c r="B11" s="32">
        <f>D3*I8/(SQRT(3))/1000</f>
        <v>69.974852625782646</v>
      </c>
      <c r="C11" s="10" t="s">
        <v>209</v>
      </c>
      <c r="D11" s="66">
        <v>25</v>
      </c>
      <c r="E11" s="10" t="s">
        <v>40</v>
      </c>
    </row>
    <row r="12" spans="1:9">
      <c r="C12" s="10" t="s">
        <v>210</v>
      </c>
      <c r="D12" s="10">
        <v>200</v>
      </c>
      <c r="E12" s="10" t="s">
        <v>69</v>
      </c>
    </row>
    <row r="13" spans="1:9">
      <c r="A13" s="4" t="s">
        <v>211</v>
      </c>
      <c r="B13" s="32">
        <f>B11/1.25</f>
        <v>55.979882100626114</v>
      </c>
      <c r="C13" s="2"/>
      <c r="D13" s="2"/>
      <c r="E13" s="2"/>
    </row>
    <row r="15" spans="1:9">
      <c r="A15" s="4" t="s">
        <v>212</v>
      </c>
    </row>
    <row r="16" spans="1:9">
      <c r="A16" s="4" t="s">
        <v>213</v>
      </c>
      <c r="C16" s="32">
        <f>MIN(B17:B20)</f>
        <v>0.37878787878787878</v>
      </c>
    </row>
    <row r="17" spans="1:4">
      <c r="A17" s="4">
        <v>1</v>
      </c>
      <c r="B17" s="32">
        <f>D11/(3*D7)</f>
        <v>0.37878787878787878</v>
      </c>
    </row>
    <row r="18" spans="1:4">
      <c r="A18" s="4">
        <v>2</v>
      </c>
      <c r="B18" s="32">
        <f>60/(3*D7)-0.25</f>
        <v>0.65909090909090906</v>
      </c>
    </row>
    <row r="19" spans="1:4">
      <c r="A19" s="4">
        <v>3</v>
      </c>
      <c r="B19" s="32">
        <f>D3/D4</f>
        <v>0.97560975609756095</v>
      </c>
    </row>
    <row r="20" spans="1:4">
      <c r="A20" s="4">
        <v>4</v>
      </c>
      <c r="B20" s="4">
        <v>1</v>
      </c>
    </row>
    <row r="22" spans="1:4" ht="54.75" customHeight="1">
      <c r="A22" s="119" t="s">
        <v>301</v>
      </c>
      <c r="B22" s="118"/>
      <c r="C22" s="4">
        <v>10.6</v>
      </c>
      <c r="D22" s="4" t="s">
        <v>40</v>
      </c>
    </row>
    <row r="24" spans="1:4">
      <c r="A24" s="4" t="s">
        <v>215</v>
      </c>
      <c r="B24" s="32">
        <f>2.5*C16*D6*C22*D3/1000</f>
        <v>80.303030303030312</v>
      </c>
      <c r="C24" s="4" t="s">
        <v>69</v>
      </c>
    </row>
    <row r="26" spans="1:4">
      <c r="A26" s="4" t="s">
        <v>216</v>
      </c>
      <c r="B26" s="32">
        <f>B24/1.25</f>
        <v>64.242424242424249</v>
      </c>
      <c r="C26" s="4" t="s">
        <v>69</v>
      </c>
    </row>
    <row r="28" spans="1:4">
      <c r="A28" s="118" t="s">
        <v>217</v>
      </c>
      <c r="B28" s="118"/>
      <c r="C28" s="32">
        <f>MIN(B13,B26)</f>
        <v>55.979882100626114</v>
      </c>
      <c r="D28" s="4" t="s">
        <v>69</v>
      </c>
    </row>
    <row r="31" spans="1:4">
      <c r="A31" s="4" t="s">
        <v>260</v>
      </c>
      <c r="B31" s="32">
        <f>D12/C28</f>
        <v>3.5727120618169912</v>
      </c>
      <c r="C31" s="4" t="s">
        <v>224</v>
      </c>
    </row>
    <row r="32" spans="1:4">
      <c r="A32" s="4" t="s">
        <v>240</v>
      </c>
      <c r="B32" s="4">
        <v>4</v>
      </c>
      <c r="C32" s="4" t="s">
        <v>224</v>
      </c>
    </row>
    <row r="45" spans="1:3">
      <c r="A45" s="4" t="s">
        <v>302</v>
      </c>
      <c r="B45" s="4">
        <v>140</v>
      </c>
      <c r="C45" s="4" t="s">
        <v>40</v>
      </c>
    </row>
    <row r="47" spans="1:3">
      <c r="A47" s="4" t="s">
        <v>262</v>
      </c>
    </row>
  </sheetData>
  <mergeCells count="5">
    <mergeCell ref="A1:I1"/>
    <mergeCell ref="A6:B6"/>
    <mergeCell ref="A7:B7"/>
    <mergeCell ref="A22:B22"/>
    <mergeCell ref="A28:B28"/>
  </mergeCell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34F7D68E061D1438D093AB6CE092698" ma:contentTypeVersion="0" ma:contentTypeDescription="Create a new document." ma:contentTypeScope="" ma:versionID="d85926ba1ba5c1cd671c7b105ffb75d5">
  <xsd:schema xmlns:xsd="http://www.w3.org/2001/XMLSchema" xmlns:xs="http://www.w3.org/2001/XMLSchema" xmlns:p="http://schemas.microsoft.com/office/2006/metadata/properties" targetNamespace="http://schemas.microsoft.com/office/2006/metadata/properties" ma:root="true" ma:fieldsID="d5bdcf26f133259999730471111e8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7B008A-547C-4964-A5AA-E0BC5E0C09AD}"/>
</file>

<file path=customXml/itemProps2.xml><?xml version="1.0" encoding="utf-8"?>
<ds:datastoreItem xmlns:ds="http://schemas.openxmlformats.org/officeDocument/2006/customXml" ds:itemID="{40750DAF-7E2D-459B-9D67-54D87E7E6A39}"/>
</file>

<file path=customXml/itemProps3.xml><?xml version="1.0" encoding="utf-8"?>
<ds:datastoreItem xmlns:ds="http://schemas.openxmlformats.org/officeDocument/2006/customXml" ds:itemID="{4364CB43-3FA2-4735-B33D-0810D82160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KUNAL</dc:creator>
  <cp:keywords/>
  <dc:description/>
  <cp:lastModifiedBy>Rakshita Meena</cp:lastModifiedBy>
  <cp:revision/>
  <dcterms:created xsi:type="dcterms:W3CDTF">2015-06-05T18:17:20Z</dcterms:created>
  <dcterms:modified xsi:type="dcterms:W3CDTF">2023-04-25T06:25:04Z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0x010100A34F7D68E061D1438D093AB6CE092698</vt:lpwstr>
  </property>
</Properties>
</file>