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Отчет по Джанкуату 2023\Влекомые наносы, кавказ гидормет\out\"/>
    </mc:Choice>
  </mc:AlternateContent>
  <bookViews>
    <workbookView xWindow="240" yWindow="15" windowWidth="16095" windowHeight="9660" activeTab="2"/>
  </bookViews>
  <sheets>
    <sheet name="Главная таблица" sheetId="1" r:id="rId1"/>
    <sheet name="суммарный сток наносов" sheetId="2" r:id="rId2"/>
    <sheet name="влекомый сток" sheetId="4" r:id="rId3"/>
  </sheets>
  <calcPr calcId="162913"/>
</workbook>
</file>

<file path=xl/calcChain.xml><?xml version="1.0" encoding="utf-8"?>
<calcChain xmlns="http://schemas.openxmlformats.org/spreadsheetml/2006/main">
  <c r="R24" i="4" l="1"/>
  <c r="L7" i="4"/>
  <c r="L8" i="4"/>
  <c r="L9" i="4"/>
  <c r="L11" i="4"/>
  <c r="L42" i="4"/>
  <c r="L43" i="4"/>
  <c r="L44" i="4"/>
  <c r="L45" i="4"/>
  <c r="L46" i="4"/>
  <c r="L48" i="4"/>
  <c r="L49" i="4"/>
  <c r="L50" i="4"/>
  <c r="L51" i="4"/>
  <c r="I14" i="4"/>
  <c r="Q8" i="1" l="1"/>
  <c r="Q9" i="1"/>
  <c r="Q10" i="1"/>
  <c r="Q11" i="1"/>
  <c r="Q12" i="1"/>
  <c r="S20" i="1"/>
  <c r="S21" i="1"/>
  <c r="S22" i="1"/>
  <c r="S23" i="1"/>
  <c r="S24" i="1"/>
  <c r="I15" i="4"/>
  <c r="M19" i="1"/>
  <c r="M25" i="1"/>
  <c r="M31" i="1"/>
  <c r="AJ28" i="1"/>
  <c r="AK28" i="1" s="1"/>
  <c r="M9" i="1" s="1"/>
  <c r="AJ29" i="1"/>
  <c r="AK29" i="1" s="1"/>
  <c r="M10" i="1" s="1"/>
  <c r="AJ30" i="1"/>
  <c r="AK30" i="1" s="1"/>
  <c r="M11" i="1" s="1"/>
  <c r="AJ31" i="1"/>
  <c r="AK31" i="1" s="1"/>
  <c r="M12" i="1" s="1"/>
  <c r="AJ27" i="1"/>
  <c r="AK27" i="1" l="1"/>
  <c r="M8" i="1" s="1"/>
  <c r="AJ32" i="1"/>
  <c r="AK32" i="1" s="1"/>
  <c r="M13" i="1" s="1"/>
  <c r="O22" i="4"/>
  <c r="K11" i="4" s="1"/>
  <c r="H9" i="4"/>
  <c r="I9" i="4"/>
  <c r="J9" i="4"/>
  <c r="K9" i="4" s="1"/>
  <c r="J7" i="4"/>
  <c r="K7" i="4" s="1"/>
  <c r="J8" i="4"/>
  <c r="K8" i="4" s="1"/>
  <c r="J42" i="4"/>
  <c r="K42" i="4" s="1"/>
  <c r="J43" i="4"/>
  <c r="K43" i="4" s="1"/>
  <c r="J44" i="4"/>
  <c r="K44" i="4" s="1"/>
  <c r="J45" i="4"/>
  <c r="K45" i="4" s="1"/>
  <c r="J46" i="4"/>
  <c r="K46" i="4" s="1"/>
  <c r="J48" i="4"/>
  <c r="K48" i="4" s="1"/>
  <c r="J49" i="4"/>
  <c r="K49" i="4" s="1"/>
  <c r="J50" i="4"/>
  <c r="K50" i="4" s="1"/>
  <c r="J51" i="4"/>
  <c r="K51" i="4" s="1"/>
  <c r="J1" i="4"/>
  <c r="I1" i="4"/>
  <c r="H1" i="4"/>
  <c r="H7" i="4"/>
  <c r="N2" i="4"/>
  <c r="I43" i="4"/>
  <c r="I44" i="4"/>
  <c r="I45" i="4"/>
  <c r="I46" i="4"/>
  <c r="I48" i="4"/>
  <c r="I49" i="4"/>
  <c r="I50" i="4"/>
  <c r="I51" i="4"/>
  <c r="I42" i="4"/>
  <c r="I8" i="4"/>
  <c r="I11" i="4"/>
  <c r="I7" i="4"/>
  <c r="H50" i="4"/>
  <c r="H8" i="4"/>
  <c r="H11" i="4"/>
  <c r="H42" i="4"/>
  <c r="H43" i="4"/>
  <c r="H44" i="4"/>
  <c r="H45" i="4"/>
  <c r="H46" i="4"/>
  <c r="H48" i="4"/>
  <c r="H49" i="4"/>
  <c r="H51" i="4"/>
  <c r="X32" i="1"/>
  <c r="L19" i="1"/>
  <c r="L20" i="1" s="1"/>
  <c r="L21" i="1" s="1"/>
  <c r="L22" i="1" s="1"/>
  <c r="L23" i="1" s="1"/>
  <c r="L24" i="1" s="1"/>
  <c r="L9" i="1"/>
  <c r="L10" i="1" s="1"/>
  <c r="L11" i="1" s="1"/>
  <c r="L12" i="1" s="1"/>
  <c r="K31" i="1"/>
  <c r="AA38" i="1"/>
  <c r="S55" i="1"/>
  <c r="D19" i="1"/>
  <c r="P59" i="1"/>
  <c r="P55" i="1"/>
  <c r="P56" i="1"/>
  <c r="P57" i="1"/>
  <c r="P58" i="1"/>
  <c r="P54" i="1"/>
  <c r="O2" i="4" l="1"/>
  <c r="M2" i="4"/>
  <c r="P2" i="4" s="1"/>
  <c r="L7" i="1" l="1"/>
  <c r="L31" i="1"/>
  <c r="N41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C13" i="1"/>
  <c r="L22" i="2"/>
  <c r="L23" i="2"/>
  <c r="L24" i="2"/>
  <c r="L25" i="2"/>
  <c r="L26" i="2"/>
  <c r="L27" i="2"/>
  <c r="L28" i="2"/>
  <c r="L29" i="2"/>
  <c r="L30" i="2"/>
  <c r="L31" i="2"/>
  <c r="L32" i="2"/>
  <c r="L14" i="2"/>
  <c r="L15" i="2"/>
  <c r="L16" i="2"/>
  <c r="L17" i="2"/>
  <c r="L11" i="2" l="1"/>
  <c r="L3" i="2"/>
  <c r="L4" i="2"/>
  <c r="L5" i="2"/>
  <c r="L6" i="2"/>
  <c r="L7" i="2"/>
  <c r="L8" i="2"/>
  <c r="L9" i="2"/>
  <c r="L10" i="2"/>
  <c r="L12" i="2"/>
  <c r="L13" i="2"/>
  <c r="L18" i="2"/>
  <c r="L19" i="2"/>
  <c r="L20" i="2"/>
  <c r="L21" i="2"/>
  <c r="L33" i="2"/>
  <c r="L34" i="2"/>
  <c r="L35" i="2"/>
  <c r="L36" i="2"/>
  <c r="L37" i="2"/>
  <c r="L38" i="2"/>
  <c r="L39" i="2"/>
  <c r="L40" i="2"/>
  <c r="L41" i="2"/>
  <c r="L42" i="2"/>
  <c r="L43" i="2"/>
  <c r="L2" i="2"/>
  <c r="I9" i="2"/>
  <c r="I10" i="2"/>
  <c r="I11" i="2"/>
  <c r="I12" i="2"/>
  <c r="I13" i="2"/>
  <c r="I14" i="2"/>
  <c r="I15" i="2"/>
  <c r="I16" i="2"/>
  <c r="I17" i="2"/>
  <c r="K3" i="2"/>
  <c r="T9" i="1"/>
  <c r="U9" i="1" s="1"/>
  <c r="I2" i="2" l="1"/>
  <c r="I3" i="2"/>
  <c r="I4" i="2"/>
  <c r="I5" i="2"/>
  <c r="I6" i="2"/>
  <c r="I7" i="2"/>
  <c r="I8" i="2"/>
  <c r="H3" i="2"/>
  <c r="H4" i="2"/>
  <c r="H5" i="2"/>
  <c r="H6" i="2"/>
  <c r="H7" i="2"/>
  <c r="H8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" i="2"/>
  <c r="G9" i="2"/>
  <c r="G13" i="2"/>
  <c r="G17" i="2"/>
  <c r="G16" i="2"/>
  <c r="G11" i="2"/>
  <c r="G10" i="2"/>
  <c r="F2" i="2"/>
  <c r="G12" i="2"/>
  <c r="G14" i="2"/>
  <c r="G15" i="2"/>
  <c r="F3" i="2"/>
  <c r="F4" i="2"/>
  <c r="F5" i="2"/>
  <c r="F6" i="2"/>
  <c r="F7" i="2"/>
  <c r="F8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E12" i="2"/>
  <c r="E13" i="2"/>
  <c r="E14" i="2"/>
  <c r="E15" i="2"/>
  <c r="E16" i="2"/>
  <c r="E11" i="2"/>
  <c r="C31" i="1"/>
  <c r="D31" i="1"/>
  <c r="E31" i="1"/>
  <c r="F31" i="1"/>
  <c r="G31" i="1"/>
  <c r="H31" i="1"/>
  <c r="I31" i="1"/>
  <c r="J31" i="1"/>
  <c r="B31" i="1"/>
  <c r="C25" i="1"/>
  <c r="D25" i="1"/>
  <c r="E25" i="1"/>
  <c r="F25" i="1"/>
  <c r="G25" i="1"/>
  <c r="H25" i="1"/>
  <c r="I25" i="1"/>
  <c r="J25" i="1"/>
  <c r="B25" i="1"/>
  <c r="C19" i="1"/>
  <c r="E19" i="1"/>
  <c r="F19" i="1"/>
  <c r="G19" i="1"/>
  <c r="H19" i="1"/>
  <c r="I19" i="1"/>
  <c r="J19" i="1"/>
  <c r="B19" i="1"/>
  <c r="D7" i="1"/>
  <c r="E7" i="1"/>
  <c r="F7" i="1"/>
  <c r="G7" i="1"/>
  <c r="H7" i="1"/>
  <c r="I7" i="1"/>
  <c r="J7" i="1"/>
  <c r="B7" i="1"/>
  <c r="V20" i="1"/>
  <c r="W20" i="1"/>
  <c r="X20" i="1"/>
  <c r="Y20" i="1"/>
  <c r="Z20" i="1"/>
  <c r="AA20" i="1"/>
  <c r="AB20" i="1"/>
  <c r="T20" i="1"/>
  <c r="AK6" i="1"/>
  <c r="AL6" i="1" s="1"/>
  <c r="AK8" i="1"/>
  <c r="AL8" i="1" s="1"/>
  <c r="AK9" i="1"/>
  <c r="AL9" i="1" s="1"/>
  <c r="AK10" i="1"/>
  <c r="AL10" i="1" s="1"/>
  <c r="AK5" i="1"/>
  <c r="AL5" i="1" s="1"/>
  <c r="AH6" i="1"/>
  <c r="AH8" i="1"/>
  <c r="AH9" i="1"/>
  <c r="AH10" i="1"/>
  <c r="AH5" i="1"/>
</calcChain>
</file>

<file path=xl/sharedStrings.xml><?xml version="1.0" encoding="utf-8"?>
<sst xmlns="http://schemas.openxmlformats.org/spreadsheetml/2006/main" count="423" uniqueCount="163">
  <si>
    <t>Год</t>
  </si>
  <si>
    <t>Осадки, мм</t>
  </si>
  <si>
    <t>Q А, м3/с</t>
  </si>
  <si>
    <t>SSC А, мг/л</t>
  </si>
  <si>
    <t>R А, кг/с</t>
  </si>
  <si>
    <t>G А, кг/с</t>
  </si>
  <si>
    <t>D50 А, мм</t>
  </si>
  <si>
    <t>G Б, кг/с</t>
  </si>
  <si>
    <t>D50 Б, мм</t>
  </si>
  <si>
    <t>Статистика</t>
  </si>
  <si>
    <t>2015</t>
  </si>
  <si>
    <t>-</t>
  </si>
  <si>
    <t>2016</t>
  </si>
  <si>
    <t>2017</t>
  </si>
  <si>
    <t>2019</t>
  </si>
  <si>
    <t>2023</t>
  </si>
  <si>
    <t>Min</t>
  </si>
  <si>
    <t>Max</t>
  </si>
  <si>
    <t>Ср.кв.откл.</t>
  </si>
  <si>
    <t>12.5 · 10 ⁶</t>
  </si>
  <si>
    <r>
      <t xml:space="preserve">18.1 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 xml:space="preserve"> 10 </t>
    </r>
    <r>
      <rPr>
        <sz val="11"/>
        <color theme="1"/>
        <rFont val="Calibri"/>
        <family val="2"/>
        <charset val="204"/>
      </rPr>
      <t>⁶</t>
    </r>
  </si>
  <si>
    <t>15.5 · 10 ⁶</t>
  </si>
  <si>
    <t>13.0 · 10 ⁶</t>
  </si>
  <si>
    <t>10.0 · 10 ⁶</t>
  </si>
  <si>
    <t>16.2 · 10 ⁶</t>
  </si>
  <si>
    <t>11.4 · 10 ⁶</t>
  </si>
  <si>
    <t>8.3 · 10 ⁶</t>
  </si>
  <si>
    <t>3.0 · 10 ⁶</t>
  </si>
  <si>
    <t>5.9 · 10 ⁶</t>
  </si>
  <si>
    <t>Сумма, год</t>
  </si>
  <si>
    <t>18.1·10⁶</t>
  </si>
  <si>
    <t>16.2·10⁶</t>
  </si>
  <si>
    <t>15.5·10⁶</t>
  </si>
  <si>
    <t>11.4·10⁶</t>
  </si>
  <si>
    <t>13.0·10⁶</t>
  </si>
  <si>
    <t>10.0·10⁶</t>
  </si>
  <si>
    <t>Cр.знач, в день</t>
  </si>
  <si>
    <t>Т воздуха, оС</t>
  </si>
  <si>
    <t>Все года</t>
  </si>
  <si>
    <t>bds</t>
  </si>
  <si>
    <t>data</t>
  </si>
  <si>
    <t>ssd</t>
  </si>
  <si>
    <t>q</t>
  </si>
  <si>
    <t>tsd</t>
  </si>
  <si>
    <t>18,06,2016</t>
  </si>
  <si>
    <t>19,06,2016</t>
  </si>
  <si>
    <t>20,06,2016</t>
  </si>
  <si>
    <t>21,06,2016</t>
  </si>
  <si>
    <t>22,06,2016</t>
  </si>
  <si>
    <t>24,06,2016</t>
  </si>
  <si>
    <t>25,06,2016</t>
  </si>
  <si>
    <t>28,06,2016</t>
  </si>
  <si>
    <t>30,06,2016</t>
  </si>
  <si>
    <t>01,07,2016</t>
  </si>
  <si>
    <t>05,07,2016</t>
  </si>
  <si>
    <t>26,07,2017</t>
  </si>
  <si>
    <t>27,07,2017</t>
  </si>
  <si>
    <t>29,07,2017</t>
  </si>
  <si>
    <t>30,07,2017</t>
  </si>
  <si>
    <t>31,07,2017</t>
  </si>
  <si>
    <t>02,08,2017</t>
  </si>
  <si>
    <t>06,08,2017</t>
  </si>
  <si>
    <t>07,08,2017</t>
  </si>
  <si>
    <t>09,08,2017</t>
  </si>
  <si>
    <t>10,08,2017</t>
  </si>
  <si>
    <t>11,08,2017</t>
  </si>
  <si>
    <t>13,08,2017</t>
  </si>
  <si>
    <t>16,08,2017</t>
  </si>
  <si>
    <t>18,08,2017</t>
  </si>
  <si>
    <t>20,08,2017</t>
  </si>
  <si>
    <t>23,08,2017</t>
  </si>
  <si>
    <t>11,08,2023</t>
  </si>
  <si>
    <t>12,08,2023</t>
  </si>
  <si>
    <t>14,08,2023</t>
  </si>
  <si>
    <t>17,08,2023</t>
  </si>
  <si>
    <t>18,08,2023</t>
  </si>
  <si>
    <t>20,08,2023</t>
  </si>
  <si>
    <t>21,08,2023</t>
  </si>
  <si>
    <t>23,08,2023</t>
  </si>
  <si>
    <t>25,08,2023</t>
  </si>
  <si>
    <t>tds &lt; 2</t>
  </si>
  <si>
    <t>tds &gt; 2</t>
  </si>
  <si>
    <t>bds &lt; 2</t>
  </si>
  <si>
    <t>bds &gt; 2</t>
  </si>
  <si>
    <t>(R+G), кг/с</t>
  </si>
  <si>
    <t>bds &lt;&lt; 2</t>
  </si>
  <si>
    <t>q &lt;&lt; 2</t>
  </si>
  <si>
    <t>9.98</t>
  </si>
  <si>
    <t>3.97</t>
  </si>
  <si>
    <t>2.56</t>
  </si>
  <si>
    <t>2.88</t>
  </si>
  <si>
    <t>dolya</t>
  </si>
  <si>
    <t>10,2·10⁶</t>
  </si>
  <si>
    <t>Среднемноголетн.</t>
  </si>
  <si>
    <t>0,80·10⁶</t>
  </si>
  <si>
    <t>1,19·10⁶</t>
  </si>
  <si>
    <t>1,91·10⁶</t>
  </si>
  <si>
    <t>1,48·10⁶</t>
  </si>
  <si>
    <t>1,60·10⁶</t>
  </si>
  <si>
    <t>1,90·10⁶</t>
  </si>
  <si>
    <t>0.287</t>
  </si>
  <si>
    <t>0.360</t>
  </si>
  <si>
    <t>0.430</t>
  </si>
  <si>
    <t>0.667</t>
  </si>
  <si>
    <t>0.471</t>
  </si>
  <si>
    <t>ДОЛЯ ВЛЕКОМОГО СТОКА</t>
  </si>
  <si>
    <t>G/(R+G)</t>
  </si>
  <si>
    <t>Т воздб оС</t>
  </si>
  <si>
    <t>Cуммарный сток наносов, кг/с</t>
  </si>
  <si>
    <t>NA</t>
  </si>
  <si>
    <t>536</t>
  </si>
  <si>
    <t>Cр.знач</t>
  </si>
  <si>
    <t>594</t>
  </si>
  <si>
    <t>548</t>
  </si>
  <si>
    <t>273</t>
  </si>
  <si>
    <t>402</t>
  </si>
  <si>
    <t>1089</t>
  </si>
  <si>
    <t>511</t>
  </si>
  <si>
    <t>53601</t>
  </si>
  <si>
    <t>Сумма</t>
  </si>
  <si>
    <t>1006</t>
  </si>
  <si>
    <t>570</t>
  </si>
  <si>
    <t>60615</t>
  </si>
  <si>
    <t>1241</t>
  </si>
  <si>
    <t>482</t>
  </si>
  <si>
    <t>59142</t>
  </si>
  <si>
    <t>1025</t>
  </si>
  <si>
    <t>26782</t>
  </si>
  <si>
    <t>803</t>
  </si>
  <si>
    <t>746</t>
  </si>
  <si>
    <t>49392</t>
  </si>
  <si>
    <t>213</t>
  </si>
  <si>
    <t>214</t>
  </si>
  <si>
    <t>8680</t>
  </si>
  <si>
    <t>6768</t>
  </si>
  <si>
    <t>12964</t>
  </si>
  <si>
    <t>2054</t>
  </si>
  <si>
    <t>117</t>
  </si>
  <si>
    <t>10846</t>
  </si>
  <si>
    <t>1107</t>
  </si>
  <si>
    <t>972</t>
  </si>
  <si>
    <t>1605</t>
  </si>
  <si>
    <t>269</t>
  </si>
  <si>
    <t>1371</t>
  </si>
  <si>
    <t>10.9·10⁶</t>
  </si>
  <si>
    <t>13,5·10⁶</t>
  </si>
  <si>
    <t>3.00·10⁶</t>
  </si>
  <si>
    <t>8.30·10⁶</t>
  </si>
  <si>
    <t>5.50·10⁶</t>
  </si>
  <si>
    <t>8,86·10⁶</t>
  </si>
  <si>
    <t>bsd</t>
  </si>
  <si>
    <t>date</t>
  </si>
  <si>
    <t>D50_A</t>
  </si>
  <si>
    <t>bsd_B</t>
  </si>
  <si>
    <t>D50_B</t>
  </si>
  <si>
    <t>16,9·10⁶</t>
  </si>
  <si>
    <t>12,8·10⁶</t>
  </si>
  <si>
    <t>9,94·10⁶</t>
  </si>
  <si>
    <t>4,02·10⁶</t>
  </si>
  <si>
    <t>7,32·10⁶</t>
  </si>
  <si>
    <t>bsd-bsd_B , %</t>
  </si>
  <si>
    <t>bsd-bsd_B, %</t>
  </si>
  <si>
    <t>Аккумуляция*, кг/с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</si>
</sst>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.000\ _₽_-;\-* #,##0.000\ _₽_-;_-* &quot;-&quot;??\ _₽_-;_-@_-"/>
    <numFmt numFmtId="165" formatCode="0.0"/>
    <numFmt numFmtId="166" formatCode="_-* #,##0.0\ _₽_-;\-* #,##0.0\ _₽_-;_-* &quot;-&quot;??\ _₽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rgb="FFE6E1DC"/>
      <name val="Segoe UI"/>
      <family val="2"/>
      <charset val="204"/>
    </font>
    <font>
      <sz val="8"/>
      <color theme="1"/>
      <name val="Segoe U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5" fillId="0" borderId="1" xfId="0" applyFont="1" applyBorder="1" applyAlignment="1">
      <alignment horizontal="center" wrapText="1"/>
    </xf>
    <xf numFmtId="165" fontId="0" fillId="0" borderId="1" xfId="0" applyNumberFormat="1" applyBorder="1"/>
    <xf numFmtId="14" fontId="7" fillId="3" borderId="2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0" fillId="0" borderId="0" xfId="0" applyNumberFormat="1"/>
    <xf numFmtId="0" fontId="6" fillId="2" borderId="0" xfId="0" applyFont="1" applyFill="1" applyBorder="1" applyAlignment="1">
      <alignment horizontal="center" wrapText="1"/>
    </xf>
    <xf numFmtId="0" fontId="6" fillId="0" borderId="0" xfId="0" applyFont="1" applyFill="1" applyBorder="1"/>
    <xf numFmtId="0" fontId="6" fillId="2" borderId="0" xfId="0" applyFont="1" applyFill="1" applyBorder="1"/>
    <xf numFmtId="0" fontId="0" fillId="2" borderId="0" xfId="0" applyFill="1"/>
    <xf numFmtId="43" fontId="0" fillId="0" borderId="0" xfId="1" applyFont="1"/>
    <xf numFmtId="166" fontId="0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/>
    <xf numFmtId="43" fontId="1" fillId="0" borderId="0" xfId="1" applyFont="1" applyAlignment="1">
      <alignment horizontal="center"/>
    </xf>
    <xf numFmtId="43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4" borderId="1" xfId="0" applyFill="1" applyBorder="1"/>
    <xf numFmtId="0" fontId="5" fillId="2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3393205456421"/>
          <c:y val="0.11946949228071804"/>
          <c:w val="0.87373101529103026"/>
          <c:h val="0.7285015759149170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'суммарный сток наносов'!$D$2:$D$43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1.4562294</c:v>
                </c:pt>
                <c:pt idx="33">
                  <c:v>1.4511657</c:v>
                </c:pt>
                <c:pt idx="34">
                  <c:v>1.3547157999999999</c:v>
                </c:pt>
                <c:pt idx="35">
                  <c:v>1.1954099</c:v>
                </c:pt>
                <c:pt idx="36">
                  <c:v>1.1633933999999999</c:v>
                </c:pt>
                <c:pt idx="37">
                  <c:v>1.0180883999999999</c:v>
                </c:pt>
                <c:pt idx="38">
                  <c:v>1.0016925999999999</c:v>
                </c:pt>
                <c:pt idx="39">
                  <c:v>1.0046206</c:v>
                </c:pt>
                <c:pt idx="40">
                  <c:v>1.0046206</c:v>
                </c:pt>
                <c:pt idx="41">
                  <c:v>0.95423389999999997</c:v>
                </c:pt>
              </c:numCache>
            </c:numRef>
          </c:xVal>
          <c:yVal>
            <c:numRef>
              <c:f>'суммарный сток наносов'!$H$2:$H$43</c:f>
              <c:numCache>
                <c:formatCode>General</c:formatCode>
                <c:ptCount val="42"/>
                <c:pt idx="0">
                  <c:v>8.4911089999999995E-2</c:v>
                </c:pt>
                <c:pt idx="1">
                  <c:v>0.13526750000000001</c:v>
                </c:pt>
                <c:pt idx="2">
                  <c:v>3.1872869999999998E-2</c:v>
                </c:pt>
                <c:pt idx="3">
                  <c:v>1.9109999999999999E-2</c:v>
                </c:pt>
                <c:pt idx="4">
                  <c:v>9.8599999999999993E-2</c:v>
                </c:pt>
                <c:pt idx="5">
                  <c:v>5.1999999999999998E-2</c:v>
                </c:pt>
                <c:pt idx="6">
                  <c:v>1.008E-2</c:v>
                </c:pt>
                <c:pt idx="16">
                  <c:v>0.11537778</c:v>
                </c:pt>
                <c:pt idx="17">
                  <c:v>4.6822219999999998E-2</c:v>
                </c:pt>
                <c:pt idx="18">
                  <c:v>7.7288889999999999E-2</c:v>
                </c:pt>
                <c:pt idx="19">
                  <c:v>0.10053333</c:v>
                </c:pt>
                <c:pt idx="20">
                  <c:v>1.9328000000000001</c:v>
                </c:pt>
                <c:pt idx="21">
                  <c:v>0.45333332999999998</c:v>
                </c:pt>
                <c:pt idx="22">
                  <c:v>0.22244443999999999</c:v>
                </c:pt>
                <c:pt idx="23">
                  <c:v>0.33800000000000002</c:v>
                </c:pt>
                <c:pt idx="24">
                  <c:v>0.23324444</c:v>
                </c:pt>
                <c:pt idx="25">
                  <c:v>0.43804443999999998</c:v>
                </c:pt>
                <c:pt idx="26">
                  <c:v>0.22044443999999999</c:v>
                </c:pt>
                <c:pt idx="27">
                  <c:v>9.6777779999999994E-2</c:v>
                </c:pt>
                <c:pt idx="28">
                  <c:v>0.11377778</c:v>
                </c:pt>
                <c:pt idx="29">
                  <c:v>0.14506667000000001</c:v>
                </c:pt>
                <c:pt idx="30">
                  <c:v>7.0000000000000007E-2</c:v>
                </c:pt>
                <c:pt idx="31">
                  <c:v>1.71733333</c:v>
                </c:pt>
                <c:pt idx="32">
                  <c:v>0.03</c:v>
                </c:pt>
                <c:pt idx="33">
                  <c:v>0.02</c:v>
                </c:pt>
                <c:pt idx="34">
                  <c:v>0.05</c:v>
                </c:pt>
                <c:pt idx="35">
                  <c:v>0.03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0.02</c:v>
                </c:pt>
                <c:pt idx="40">
                  <c:v>0.04</c:v>
                </c:pt>
                <c:pt idx="4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A-4AEA-828D-3ED21CB681EA}"/>
            </c:ext>
          </c:extLst>
        </c:ser>
        <c:ser>
          <c:idx val="2"/>
          <c:order val="1"/>
          <c:tx>
            <c:strRef>
              <c:f>'суммарный сток наносов'!$J$1</c:f>
              <c:strCache>
                <c:ptCount val="1"/>
                <c:pt idx="0">
                  <c:v>q &lt;&lt;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49866787765044E-2"/>
                  <c:y val="-3.0985650547310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3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'суммарный сток наносов'!$K$2:$K$3</c:f>
              <c:numCache>
                <c:formatCode>General</c:formatCode>
                <c:ptCount val="2"/>
                <c:pt idx="0">
                  <c:v>0</c:v>
                </c:pt>
                <c:pt idx="1">
                  <c:v>0.95423389999999997</c:v>
                </c:pt>
              </c:numCache>
            </c:numRef>
          </c:xVal>
          <c:yVal>
            <c:numRef>
              <c:f>'суммарный сток наносов'!$J$2:$J$3</c:f>
              <c:numCache>
                <c:formatCode>General</c:formatCode>
                <c:ptCount val="2"/>
                <c:pt idx="0">
                  <c:v>0</c:v>
                </c:pt>
                <c:pt idx="1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9-43A0-975D-0CC94BFF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1247"/>
        <c:axId val="209752495"/>
      </c:scatterChart>
      <c:valAx>
        <c:axId val="209751247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Расход воды, м3/с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2495"/>
        <c:crosses val="autoZero"/>
        <c:crossBetween val="midCat"/>
      </c:valAx>
      <c:valAx>
        <c:axId val="2097524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Суммарный сток наносов, кг/с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1181963347641984"/>
          <c:y val="0.50323459885215394"/>
          <c:w val="0.12415156339394971"/>
          <c:h val="0.13748053921552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3393205456421"/>
          <c:y val="0.11946949228071804"/>
          <c:w val="0.87373101529103026"/>
          <c:h val="0.7285015759149170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'суммарный сток наносов'!$D$2:$D$42</c:f>
              <c:numCache>
                <c:formatCode>General</c:formatCode>
                <c:ptCount val="41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1.4562294</c:v>
                </c:pt>
                <c:pt idx="33">
                  <c:v>1.4511657</c:v>
                </c:pt>
                <c:pt idx="34">
                  <c:v>1.3547157999999999</c:v>
                </c:pt>
                <c:pt idx="35">
                  <c:v>1.1954099</c:v>
                </c:pt>
                <c:pt idx="36">
                  <c:v>1.1633933999999999</c:v>
                </c:pt>
                <c:pt idx="37">
                  <c:v>1.0180883999999999</c:v>
                </c:pt>
                <c:pt idx="38">
                  <c:v>1.0016925999999999</c:v>
                </c:pt>
                <c:pt idx="39">
                  <c:v>1.0046206</c:v>
                </c:pt>
                <c:pt idx="40">
                  <c:v>1.0046206</c:v>
                </c:pt>
              </c:numCache>
            </c:numRef>
          </c:xVal>
          <c:yVal>
            <c:numRef>
              <c:f>'суммарный сток наносов'!$H$2:$H$42</c:f>
              <c:numCache>
                <c:formatCode>General</c:formatCode>
                <c:ptCount val="41"/>
                <c:pt idx="0">
                  <c:v>8.4911089999999995E-2</c:v>
                </c:pt>
                <c:pt idx="1">
                  <c:v>0.13526750000000001</c:v>
                </c:pt>
                <c:pt idx="2">
                  <c:v>3.1872869999999998E-2</c:v>
                </c:pt>
                <c:pt idx="3">
                  <c:v>1.9109999999999999E-2</c:v>
                </c:pt>
                <c:pt idx="4">
                  <c:v>9.8599999999999993E-2</c:v>
                </c:pt>
                <c:pt idx="5">
                  <c:v>5.1999999999999998E-2</c:v>
                </c:pt>
                <c:pt idx="6">
                  <c:v>1.008E-2</c:v>
                </c:pt>
                <c:pt idx="16">
                  <c:v>0.11537778</c:v>
                </c:pt>
                <c:pt idx="17">
                  <c:v>4.6822219999999998E-2</c:v>
                </c:pt>
                <c:pt idx="18">
                  <c:v>7.7288889999999999E-2</c:v>
                </c:pt>
                <c:pt idx="19">
                  <c:v>0.10053333</c:v>
                </c:pt>
                <c:pt idx="20">
                  <c:v>1.9328000000000001</c:v>
                </c:pt>
                <c:pt idx="21">
                  <c:v>0.45333332999999998</c:v>
                </c:pt>
                <c:pt idx="22">
                  <c:v>0.22244443999999999</c:v>
                </c:pt>
                <c:pt idx="23">
                  <c:v>0.33800000000000002</c:v>
                </c:pt>
                <c:pt idx="24">
                  <c:v>0.23324444</c:v>
                </c:pt>
                <c:pt idx="25">
                  <c:v>0.43804443999999998</c:v>
                </c:pt>
                <c:pt idx="26">
                  <c:v>0.22044443999999999</c:v>
                </c:pt>
                <c:pt idx="27">
                  <c:v>9.6777779999999994E-2</c:v>
                </c:pt>
                <c:pt idx="28">
                  <c:v>0.11377778</c:v>
                </c:pt>
                <c:pt idx="29">
                  <c:v>0.14506667000000001</c:v>
                </c:pt>
                <c:pt idx="30">
                  <c:v>7.0000000000000007E-2</c:v>
                </c:pt>
                <c:pt idx="31">
                  <c:v>1.71733333</c:v>
                </c:pt>
                <c:pt idx="32">
                  <c:v>0.03</c:v>
                </c:pt>
                <c:pt idx="33">
                  <c:v>0.02</c:v>
                </c:pt>
                <c:pt idx="34">
                  <c:v>0.05</c:v>
                </c:pt>
                <c:pt idx="35">
                  <c:v>0.03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0.02</c:v>
                </c:pt>
                <c:pt idx="4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4BC9-BAC2-E9252688EB0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'суммарный сток наносов'!$D$2:$D$43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1.4562294</c:v>
                </c:pt>
                <c:pt idx="33">
                  <c:v>1.4511657</c:v>
                </c:pt>
                <c:pt idx="34">
                  <c:v>1.3547157999999999</c:v>
                </c:pt>
                <c:pt idx="35">
                  <c:v>1.1954099</c:v>
                </c:pt>
                <c:pt idx="36">
                  <c:v>1.1633933999999999</c:v>
                </c:pt>
                <c:pt idx="37">
                  <c:v>1.0180883999999999</c:v>
                </c:pt>
                <c:pt idx="38">
                  <c:v>1.0016925999999999</c:v>
                </c:pt>
                <c:pt idx="39">
                  <c:v>1.0046206</c:v>
                </c:pt>
                <c:pt idx="40">
                  <c:v>1.0046206</c:v>
                </c:pt>
                <c:pt idx="41">
                  <c:v>0.95423389999999997</c:v>
                </c:pt>
              </c:numCache>
            </c:numRef>
          </c:xVal>
          <c:yVal>
            <c:numRef>
              <c:f>'суммарный сток наносов'!$I$2:$I$43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0.21290799999999999</c:v>
                </c:pt>
                <c:pt idx="8">
                  <c:v>3.9826670000000002E-2</c:v>
                </c:pt>
                <c:pt idx="9">
                  <c:v>0.53660571000000001</c:v>
                </c:pt>
                <c:pt idx="10">
                  <c:v>5.9200000000000003E-2</c:v>
                </c:pt>
                <c:pt idx="11">
                  <c:v>2.5440000000000001E-2</c:v>
                </c:pt>
                <c:pt idx="12">
                  <c:v>0.09</c:v>
                </c:pt>
                <c:pt idx="13">
                  <c:v>1.9588000000000001E-2</c:v>
                </c:pt>
                <c:pt idx="14">
                  <c:v>5.7593329999999998E-2</c:v>
                </c:pt>
                <c:pt idx="15">
                  <c:v>5.0099999999999999E-2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B-4BC9-BAC2-E9252688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1247"/>
        <c:axId val="209752495"/>
      </c:scatterChart>
      <c:valAx>
        <c:axId val="2097512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Расход воды, м3/с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2495"/>
        <c:crosses val="autoZero"/>
        <c:crossBetween val="midCat"/>
      </c:valAx>
      <c:valAx>
        <c:axId val="2097524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Суммарный сток наносов, кг/с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'суммарный сток наносов'!$D$9:$D$17</c:f>
              <c:numCache>
                <c:formatCode>General</c:formatCode>
                <c:ptCount val="9"/>
                <c:pt idx="0">
                  <c:v>3.03</c:v>
                </c:pt>
                <c:pt idx="1">
                  <c:v>3.03</c:v>
                </c:pt>
                <c:pt idx="2">
                  <c:v>2.87</c:v>
                </c:pt>
                <c:pt idx="3">
                  <c:v>2.87</c:v>
                </c:pt>
                <c:pt idx="4">
                  <c:v>2.86</c:v>
                </c:pt>
                <c:pt idx="5">
                  <c:v>3.21</c:v>
                </c:pt>
                <c:pt idx="6">
                  <c:v>3.21</c:v>
                </c:pt>
                <c:pt idx="7">
                  <c:v>3.67</c:v>
                </c:pt>
                <c:pt idx="8">
                  <c:v>2.87</c:v>
                </c:pt>
              </c:numCache>
            </c:numRef>
          </c:xVal>
          <c:yVal>
            <c:numRef>
              <c:f>'суммарный сток наносов'!$I$9:$I$17</c:f>
              <c:numCache>
                <c:formatCode>General</c:formatCode>
                <c:ptCount val="9"/>
                <c:pt idx="0">
                  <c:v>0.21290799999999999</c:v>
                </c:pt>
                <c:pt idx="1">
                  <c:v>3.9826670000000002E-2</c:v>
                </c:pt>
                <c:pt idx="2">
                  <c:v>0.53660571000000001</c:v>
                </c:pt>
                <c:pt idx="3">
                  <c:v>5.9200000000000003E-2</c:v>
                </c:pt>
                <c:pt idx="4">
                  <c:v>2.5440000000000001E-2</c:v>
                </c:pt>
                <c:pt idx="5">
                  <c:v>0.09</c:v>
                </c:pt>
                <c:pt idx="6">
                  <c:v>1.9588000000000001E-2</c:v>
                </c:pt>
                <c:pt idx="7">
                  <c:v>5.7593329999999998E-2</c:v>
                </c:pt>
                <c:pt idx="8">
                  <c:v>5.0099999999999999E-2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7-41B0-9804-E12347F0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96656"/>
        <c:axId val="685590000"/>
      </c:scatterChart>
      <c:valAx>
        <c:axId val="685596656"/>
        <c:scaling>
          <c:orientation val="minMax"/>
          <c:max val="4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590000"/>
        <c:crosses val="autoZero"/>
        <c:crossBetween val="midCat"/>
      </c:valAx>
      <c:valAx>
        <c:axId val="6855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5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'суммарный сток наносов'!$L$1</c:f>
              <c:strCache>
                <c:ptCount val="1"/>
                <c:pt idx="0">
                  <c:v>dolya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0.2"/>
            <c:dispRSqr val="1"/>
            <c:dispEq val="1"/>
            <c:trendlineLbl>
              <c:layout>
                <c:manualLayout>
                  <c:x val="2.0584602935851615E-2"/>
                  <c:y val="-0.46452442267085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'суммарный сток наносов'!$D$2:$D$43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1.4562294</c:v>
                </c:pt>
                <c:pt idx="33">
                  <c:v>1.4511657</c:v>
                </c:pt>
                <c:pt idx="34">
                  <c:v>1.3547157999999999</c:v>
                </c:pt>
                <c:pt idx="35">
                  <c:v>1.1954099</c:v>
                </c:pt>
                <c:pt idx="36">
                  <c:v>1.1633933999999999</c:v>
                </c:pt>
                <c:pt idx="37">
                  <c:v>1.0180883999999999</c:v>
                </c:pt>
                <c:pt idx="38">
                  <c:v>1.0016925999999999</c:v>
                </c:pt>
                <c:pt idx="39">
                  <c:v>1.0046206</c:v>
                </c:pt>
                <c:pt idx="40">
                  <c:v>1.0046206</c:v>
                </c:pt>
                <c:pt idx="41">
                  <c:v>0.95423389999999997</c:v>
                </c:pt>
              </c:numCache>
            </c:numRef>
          </c:xVal>
          <c:yVal>
            <c:numRef>
              <c:f>'суммарный сток наносов'!$L$2:$L$43</c:f>
              <c:numCache>
                <c:formatCode>General</c:formatCode>
                <c:ptCount val="42"/>
                <c:pt idx="0">
                  <c:v>0.14172904781752504</c:v>
                </c:pt>
                <c:pt idx="1">
                  <c:v>0.28335265572874896</c:v>
                </c:pt>
                <c:pt idx="2">
                  <c:v>8.2917064023119158E-2</c:v>
                </c:pt>
                <c:pt idx="3">
                  <c:v>5.142187678225843E-2</c:v>
                </c:pt>
                <c:pt idx="4">
                  <c:v>0.22710665840790767</c:v>
                </c:pt>
                <c:pt idx="5">
                  <c:v>0.11249441989818605</c:v>
                </c:pt>
                <c:pt idx="6">
                  <c:v>2.3981434372889656E-2</c:v>
                </c:pt>
                <c:pt idx="7">
                  <c:v>4.1574298970987092E-2</c:v>
                </c:pt>
                <c:pt idx="8">
                  <c:v>8.0489410063838418E-3</c:v>
                </c:pt>
                <c:pt idx="9">
                  <c:v>0.33822794683493962</c:v>
                </c:pt>
                <c:pt idx="10">
                  <c:v>5.3375880161050902E-2</c:v>
                </c:pt>
                <c:pt idx="11">
                  <c:v>4.1722822869235694E-3</c:v>
                </c:pt>
                <c:pt idx="12">
                  <c:v>3.375719353135205E-2</c:v>
                </c:pt>
                <c:pt idx="13">
                  <c:v>7.5463661267155917E-3</c:v>
                </c:pt>
                <c:pt idx="14">
                  <c:v>2.3132620064377093E-3</c:v>
                </c:pt>
                <c:pt idx="15">
                  <c:v>2.0902968607475311E-2</c:v>
                </c:pt>
                <c:pt idx="16">
                  <c:v>0.24309304239703877</c:v>
                </c:pt>
                <c:pt idx="17">
                  <c:v>0.11233963060440391</c:v>
                </c:pt>
                <c:pt idx="18">
                  <c:v>0.15010679798568505</c:v>
                </c:pt>
                <c:pt idx="19">
                  <c:v>0.19283805945161764</c:v>
                </c:pt>
                <c:pt idx="20">
                  <c:v>0.82458978268838179</c:v>
                </c:pt>
                <c:pt idx="21">
                  <c:v>0.48942824721834266</c:v>
                </c:pt>
                <c:pt idx="22">
                  <c:v>0.38181476140143339</c:v>
                </c:pt>
                <c:pt idx="23">
                  <c:v>0.43534835435424024</c:v>
                </c:pt>
                <c:pt idx="24">
                  <c:v>0.36421017068927192</c:v>
                </c:pt>
                <c:pt idx="25">
                  <c:v>0.49085148456360894</c:v>
                </c:pt>
                <c:pt idx="26">
                  <c:v>0.34429671269171069</c:v>
                </c:pt>
                <c:pt idx="27">
                  <c:v>0.22946964266076511</c:v>
                </c:pt>
                <c:pt idx="28">
                  <c:v>0.24749835364050032</c:v>
                </c:pt>
                <c:pt idx="29">
                  <c:v>0.16775136500731894</c:v>
                </c:pt>
                <c:pt idx="30">
                  <c:v>0.17530899964277036</c:v>
                </c:pt>
                <c:pt idx="31">
                  <c:v>0.84691076025520451</c:v>
                </c:pt>
                <c:pt idx="32">
                  <c:v>0.37382651185098575</c:v>
                </c:pt>
                <c:pt idx="33">
                  <c:v>0.16088924127208043</c:v>
                </c:pt>
                <c:pt idx="34">
                  <c:v>0.39613486459001146</c:v>
                </c:pt>
                <c:pt idx="35">
                  <c:v>0.39357574188043404</c:v>
                </c:pt>
                <c:pt idx="36">
                  <c:v>0.43994124496685216</c:v>
                </c:pt>
                <c:pt idx="37">
                  <c:v>0.67789385429566418</c:v>
                </c:pt>
                <c:pt idx="38">
                  <c:v>0.50912997324521991</c:v>
                </c:pt>
                <c:pt idx="39">
                  <c:v>0.34990421372149372</c:v>
                </c:pt>
                <c:pt idx="40">
                  <c:v>0.51841339580214763</c:v>
                </c:pt>
                <c:pt idx="41">
                  <c:v>0.28775111140269888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F-4C38-9153-CA642167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95568"/>
        <c:axId val="535293904"/>
      </c:scatterChart>
      <c:valAx>
        <c:axId val="5352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293904"/>
        <c:crosses val="autoZero"/>
        <c:crossBetween val="midCat"/>
      </c:valAx>
      <c:valAx>
        <c:axId val="535293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2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'влекомый сток'!$J$1</c:f>
              <c:strCache>
                <c:ptCount val="1"/>
                <c:pt idx="0">
                  <c:v>bsd-bsd_B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0613079615048164E-2"/>
                  <c:y val="0.140796150481189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y = 0,1318x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- 0,3266x + 0,2114</a:t>
                    </a:r>
                    <a:br>
                      <a:rPr lang="en-US" baseline="0"/>
                    </a:br>
                    <a:r>
                      <a:rPr lang="en-US" baseline="0"/>
                      <a:t>R² = 0,70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'влекомый сток'!$A$2:$A$55</c:f>
              <c:numCache>
                <c:formatCode>General</c:formatCode>
                <c:ptCount val="54"/>
                <c:pt idx="0">
                  <c:v>1.67</c:v>
                </c:pt>
                <c:pt idx="1">
                  <c:v>1.66</c:v>
                </c:pt>
                <c:pt idx="2">
                  <c:v>1.53</c:v>
                </c:pt>
                <c:pt idx="3">
                  <c:v>1.56</c:v>
                </c:pt>
                <c:pt idx="4">
                  <c:v>1.81</c:v>
                </c:pt>
                <c:pt idx="5">
                  <c:v>1.69</c:v>
                </c:pt>
                <c:pt idx="6">
                  <c:v>2.81</c:v>
                </c:pt>
                <c:pt idx="7">
                  <c:v>2.71</c:v>
                </c:pt>
                <c:pt idx="8">
                  <c:v>2.75</c:v>
                </c:pt>
                <c:pt idx="9">
                  <c:v>3.08</c:v>
                </c:pt>
                <c:pt idx="10">
                  <c:v>2.46</c:v>
                </c:pt>
                <c:pt idx="11">
                  <c:v>2.57</c:v>
                </c:pt>
                <c:pt idx="12">
                  <c:v>1.759094853199993</c:v>
                </c:pt>
                <c:pt idx="13">
                  <c:v>1.5474190133999961</c:v>
                </c:pt>
                <c:pt idx="14">
                  <c:v>1.05515617679999</c:v>
                </c:pt>
                <c:pt idx="15">
                  <c:v>1.7244908802000041</c:v>
                </c:pt>
                <c:pt idx="16">
                  <c:v>1.3416103116000031</c:v>
                </c:pt>
                <c:pt idx="17">
                  <c:v>1.598238723599996</c:v>
                </c:pt>
                <c:pt idx="18">
                  <c:v>1.5183920825999939</c:v>
                </c:pt>
                <c:pt idx="19">
                  <c:v>1.5160689053999949</c:v>
                </c:pt>
                <c:pt idx="20">
                  <c:v>1.3825680101999891</c:v>
                </c:pt>
                <c:pt idx="21">
                  <c:v>1.3972884155999981</c:v>
                </c:pt>
                <c:pt idx="22">
                  <c:v>1.225799038800006</c:v>
                </c:pt>
                <c:pt idx="23">
                  <c:v>1.554329741400007</c:v>
                </c:pt>
                <c:pt idx="24">
                  <c:v>1.7290153312712271</c:v>
                </c:pt>
                <c:pt idx="25">
                  <c:v>1.7709427945317699</c:v>
                </c:pt>
                <c:pt idx="26">
                  <c:v>1.7436416392789249</c:v>
                </c:pt>
                <c:pt idx="27">
                  <c:v>1.8043718316612489</c:v>
                </c:pt>
                <c:pt idx="28">
                  <c:v>2.204039871754699</c:v>
                </c:pt>
                <c:pt idx="29">
                  <c:v>2.063020294670971</c:v>
                </c:pt>
                <c:pt idx="30">
                  <c:v>2.0169034876951701</c:v>
                </c:pt>
                <c:pt idx="31">
                  <c:v>2.1136497507983401</c:v>
                </c:pt>
                <c:pt idx="32">
                  <c:v>2.3390219687048299</c:v>
                </c:pt>
                <c:pt idx="33">
                  <c:v>2.3167505278715348</c:v>
                </c:pt>
                <c:pt idx="34">
                  <c:v>1.724478376766043</c:v>
                </c:pt>
                <c:pt idx="35">
                  <c:v>1.6658511142043331</c:v>
                </c:pt>
                <c:pt idx="36">
                  <c:v>1.7251051199999961</c:v>
                </c:pt>
                <c:pt idx="37">
                  <c:v>2.0705433600000038</c:v>
                </c:pt>
                <c:pt idx="38">
                  <c:v>1.868013759999992</c:v>
                </c:pt>
                <c:pt idx="39">
                  <c:v>2.5335758399999908</c:v>
                </c:pt>
                <c:pt idx="40">
                  <c:v>1.4562294</c:v>
                </c:pt>
                <c:pt idx="41">
                  <c:v>1.4511657</c:v>
                </c:pt>
                <c:pt idx="42">
                  <c:v>1.3547157999999999</c:v>
                </c:pt>
                <c:pt idx="43">
                  <c:v>1.1954099</c:v>
                </c:pt>
                <c:pt idx="44">
                  <c:v>1.1633933999999999</c:v>
                </c:pt>
                <c:pt idx="45">
                  <c:v>1.0180883999999999</c:v>
                </c:pt>
                <c:pt idx="46">
                  <c:v>1.0016925999999999</c:v>
                </c:pt>
                <c:pt idx="47">
                  <c:v>1.0046206</c:v>
                </c:pt>
                <c:pt idx="48">
                  <c:v>1.0046206</c:v>
                </c:pt>
                <c:pt idx="49">
                  <c:v>0.95423389999999997</c:v>
                </c:pt>
              </c:numCache>
            </c:numRef>
          </c:xVal>
          <c:yVal>
            <c:numRef>
              <c:f>'влекомый сток'!$J$2:$J$55</c:f>
              <c:numCache>
                <c:formatCode>General</c:formatCode>
                <c:ptCount val="54"/>
                <c:pt idx="5">
                  <c:v>4.1919999999999999E-2</c:v>
                </c:pt>
                <c:pt idx="6">
                  <c:v>0.17308133333333331</c:v>
                </c:pt>
                <c:pt idx="7">
                  <c:v>0.47740571428571432</c:v>
                </c:pt>
                <c:pt idx="40">
                  <c:v>-0.03</c:v>
                </c:pt>
                <c:pt idx="41">
                  <c:v>0.01</c:v>
                </c:pt>
                <c:pt idx="42">
                  <c:v>0</c:v>
                </c:pt>
                <c:pt idx="43">
                  <c:v>-1.0000000000000002E-2</c:v>
                </c:pt>
                <c:pt idx="44">
                  <c:v>3.0000000000000002E-2</c:v>
                </c:pt>
                <c:pt idx="46">
                  <c:v>4.9999999999999996E-2</c:v>
                </c:pt>
                <c:pt idx="47">
                  <c:v>0.01</c:v>
                </c:pt>
                <c:pt idx="48">
                  <c:v>0.03</c:v>
                </c:pt>
                <c:pt idx="4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D-4A1B-90B1-7D31661C49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'влекомый сток'!$A$11</c:f>
              <c:numCache>
                <c:formatCode>General</c:formatCode>
                <c:ptCount val="1"/>
                <c:pt idx="0">
                  <c:v>3.08</c:v>
                </c:pt>
              </c:numCache>
            </c:numRef>
          </c:xVal>
          <c:yVal>
            <c:numRef>
              <c:f>'влекомый сток'!$O$22</c:f>
              <c:numCache>
                <c:formatCode>General</c:formatCode>
                <c:ptCount val="1"/>
                <c:pt idx="0">
                  <c:v>7.0412000000000002E-2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D-4A1B-90B1-7D31661C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78800"/>
        <c:axId val="1245579216"/>
      </c:scatterChart>
      <c:valAx>
        <c:axId val="12455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Расход воды, м³/с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45579216"/>
        <c:crosses val="autoZero"/>
        <c:crossBetween val="midCat"/>
      </c:valAx>
      <c:valAx>
        <c:axId val="12455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Баланс наносов на учатске, кг/с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4557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0603674540683"/>
          <c:y val="0.16245370370370371"/>
          <c:w val="0.83362029746281729"/>
          <c:h val="0.68848024205307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'влекомый сток'!$C$1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95134781424673"/>
                  <c:y val="-0.49481445027704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'влекомый сток'!$A$2:$A$51</c:f>
              <c:numCache>
                <c:formatCode>General</c:formatCode>
                <c:ptCount val="50"/>
                <c:pt idx="0">
                  <c:v>1.67</c:v>
                </c:pt>
                <c:pt idx="1">
                  <c:v>1.66</c:v>
                </c:pt>
                <c:pt idx="2">
                  <c:v>1.53</c:v>
                </c:pt>
                <c:pt idx="3">
                  <c:v>1.56</c:v>
                </c:pt>
                <c:pt idx="4">
                  <c:v>1.81</c:v>
                </c:pt>
                <c:pt idx="5">
                  <c:v>1.69</c:v>
                </c:pt>
                <c:pt idx="6">
                  <c:v>2.81</c:v>
                </c:pt>
                <c:pt idx="7">
                  <c:v>2.71</c:v>
                </c:pt>
                <c:pt idx="8">
                  <c:v>2.75</c:v>
                </c:pt>
                <c:pt idx="9">
                  <c:v>3.08</c:v>
                </c:pt>
                <c:pt idx="10">
                  <c:v>2.46</c:v>
                </c:pt>
                <c:pt idx="11">
                  <c:v>2.57</c:v>
                </c:pt>
                <c:pt idx="12">
                  <c:v>1.759094853199993</c:v>
                </c:pt>
                <c:pt idx="13">
                  <c:v>1.5474190133999961</c:v>
                </c:pt>
                <c:pt idx="14">
                  <c:v>1.05515617679999</c:v>
                </c:pt>
                <c:pt idx="15">
                  <c:v>1.7244908802000041</c:v>
                </c:pt>
                <c:pt idx="16">
                  <c:v>1.3416103116000031</c:v>
                </c:pt>
                <c:pt idx="17">
                  <c:v>1.598238723599996</c:v>
                </c:pt>
                <c:pt idx="18">
                  <c:v>1.5183920825999939</c:v>
                </c:pt>
                <c:pt idx="19">
                  <c:v>1.5160689053999949</c:v>
                </c:pt>
                <c:pt idx="20">
                  <c:v>1.3825680101999891</c:v>
                </c:pt>
                <c:pt idx="21">
                  <c:v>1.3972884155999981</c:v>
                </c:pt>
                <c:pt idx="22">
                  <c:v>1.225799038800006</c:v>
                </c:pt>
                <c:pt idx="23">
                  <c:v>1.554329741400007</c:v>
                </c:pt>
                <c:pt idx="24">
                  <c:v>1.7290153312712271</c:v>
                </c:pt>
                <c:pt idx="25">
                  <c:v>1.7709427945317699</c:v>
                </c:pt>
                <c:pt idx="26">
                  <c:v>1.7436416392789249</c:v>
                </c:pt>
                <c:pt idx="27">
                  <c:v>1.8043718316612489</c:v>
                </c:pt>
                <c:pt idx="28">
                  <c:v>2.204039871754699</c:v>
                </c:pt>
                <c:pt idx="29">
                  <c:v>2.063020294670971</c:v>
                </c:pt>
                <c:pt idx="30">
                  <c:v>2.0169034876951701</c:v>
                </c:pt>
                <c:pt idx="31">
                  <c:v>2.1136497507983401</c:v>
                </c:pt>
                <c:pt idx="32">
                  <c:v>2.3390219687048299</c:v>
                </c:pt>
                <c:pt idx="33">
                  <c:v>2.3167505278715348</c:v>
                </c:pt>
                <c:pt idx="34">
                  <c:v>1.724478376766043</c:v>
                </c:pt>
                <c:pt idx="35">
                  <c:v>1.6658511142043331</c:v>
                </c:pt>
                <c:pt idx="36">
                  <c:v>1.7251051199999961</c:v>
                </c:pt>
                <c:pt idx="37">
                  <c:v>2.0705433600000038</c:v>
                </c:pt>
                <c:pt idx="38">
                  <c:v>1.868013759999992</c:v>
                </c:pt>
                <c:pt idx="39">
                  <c:v>2.5335758399999908</c:v>
                </c:pt>
                <c:pt idx="40">
                  <c:v>1.4562294</c:v>
                </c:pt>
                <c:pt idx="41">
                  <c:v>1.4511657</c:v>
                </c:pt>
                <c:pt idx="42">
                  <c:v>1.3547157999999999</c:v>
                </c:pt>
                <c:pt idx="43">
                  <c:v>1.1954099</c:v>
                </c:pt>
                <c:pt idx="44">
                  <c:v>1.1633933999999999</c:v>
                </c:pt>
                <c:pt idx="45">
                  <c:v>1.0180883999999999</c:v>
                </c:pt>
                <c:pt idx="46">
                  <c:v>1.0016925999999999</c:v>
                </c:pt>
                <c:pt idx="47">
                  <c:v>1.0046206</c:v>
                </c:pt>
                <c:pt idx="48">
                  <c:v>1.0046206</c:v>
                </c:pt>
                <c:pt idx="49">
                  <c:v>0.95423389999999997</c:v>
                </c:pt>
              </c:numCache>
            </c:numRef>
          </c:xVal>
          <c:yVal>
            <c:numRef>
              <c:f>'влекомый сток'!$C$2:$C$51</c:f>
              <c:numCache>
                <c:formatCode>General</c:formatCode>
                <c:ptCount val="50"/>
                <c:pt idx="0">
                  <c:v>8.491108641975309E-2</c:v>
                </c:pt>
                <c:pt idx="1">
                  <c:v>0.13526750000000001</c:v>
                </c:pt>
                <c:pt idx="2">
                  <c:v>3.1872866666666673E-2</c:v>
                </c:pt>
                <c:pt idx="3">
                  <c:v>1.9109999999999999E-2</c:v>
                </c:pt>
                <c:pt idx="4">
                  <c:v>9.8599999999999993E-2</c:v>
                </c:pt>
                <c:pt idx="5">
                  <c:v>5.1999999999999998E-2</c:v>
                </c:pt>
                <c:pt idx="6">
                  <c:v>0.21290799999999999</c:v>
                </c:pt>
                <c:pt idx="7">
                  <c:v>0.53660571428571435</c:v>
                </c:pt>
                <c:pt idx="8">
                  <c:v>2.5440000000000001E-2</c:v>
                </c:pt>
                <c:pt idx="9">
                  <c:v>9.0000000000000011E-2</c:v>
                </c:pt>
                <c:pt idx="10">
                  <c:v>5.7593333333333323E-2</c:v>
                </c:pt>
                <c:pt idx="11">
                  <c:v>5.0099999999999999E-2</c:v>
                </c:pt>
                <c:pt idx="24">
                  <c:v>0.1153777777777778</c:v>
                </c:pt>
                <c:pt idx="25">
                  <c:v>4.6822222222222223E-2</c:v>
                </c:pt>
                <c:pt idx="26">
                  <c:v>7.7288888888888893E-2</c:v>
                </c:pt>
                <c:pt idx="27">
                  <c:v>0.10053333333333329</c:v>
                </c:pt>
                <c:pt idx="29">
                  <c:v>0.45333333333333331</c:v>
                </c:pt>
                <c:pt idx="30">
                  <c:v>0.2224444444444445</c:v>
                </c:pt>
                <c:pt idx="31">
                  <c:v>0.33800000000000002</c:v>
                </c:pt>
                <c:pt idx="32">
                  <c:v>0.23324444444444439</c:v>
                </c:pt>
                <c:pt idx="33">
                  <c:v>0.43804444444444451</c:v>
                </c:pt>
                <c:pt idx="34">
                  <c:v>0.2204444444444445</c:v>
                </c:pt>
                <c:pt idx="35">
                  <c:v>9.6777777777777782E-2</c:v>
                </c:pt>
                <c:pt idx="36">
                  <c:v>0.1137777777777778</c:v>
                </c:pt>
                <c:pt idx="37">
                  <c:v>0.1450666666666667</c:v>
                </c:pt>
                <c:pt idx="38">
                  <c:v>7.0000000000000007E-2</c:v>
                </c:pt>
                <c:pt idx="40">
                  <c:v>0.03</c:v>
                </c:pt>
                <c:pt idx="41">
                  <c:v>0.02</c:v>
                </c:pt>
                <c:pt idx="42">
                  <c:v>0.05</c:v>
                </c:pt>
                <c:pt idx="43">
                  <c:v>0.03</c:v>
                </c:pt>
                <c:pt idx="44">
                  <c:v>0.05</c:v>
                </c:pt>
                <c:pt idx="45">
                  <c:v>0.05</c:v>
                </c:pt>
                <c:pt idx="46">
                  <c:v>0.06</c:v>
                </c:pt>
                <c:pt idx="47">
                  <c:v>0.02</c:v>
                </c:pt>
                <c:pt idx="48">
                  <c:v>0.04</c:v>
                </c:pt>
                <c:pt idx="4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5-42A8-ACC8-2AA61E8A13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'влекомый сток'!$O$29:$O$30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'влекомый сток'!$P$29:$P$30</c:f>
              <c:numCache>
                <c:formatCode>General</c:formatCode>
                <c:ptCount val="2"/>
                <c:pt idx="0">
                  <c:v>0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5-42A8-ACC8-2AA61E8A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964640"/>
        <c:axId val="1378965472"/>
      </c:scatterChart>
      <c:valAx>
        <c:axId val="13789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воды, м3/с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965472"/>
        <c:crosses val="autoZero"/>
        <c:crossBetween val="midCat"/>
      </c:valAx>
      <c:valAx>
        <c:axId val="1378965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влекомых наносов, кг/с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9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'влекомый сток'!$E$1</c:f>
              <c:strCache>
                <c:ptCount val="1"/>
                <c:pt idx="0">
                  <c:v>D50_A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'влекомый сток'!$L$2:$L$51</c:f>
              <c:numCache>
                <c:formatCode>General</c:formatCode>
                <c:ptCount val="50"/>
                <c:pt idx="5">
                  <c:v>0.22788670461367352</c:v>
                </c:pt>
                <c:pt idx="6">
                  <c:v>0.44870631990507992</c:v>
                </c:pt>
                <c:pt idx="7">
                  <c:v>0.43296929087440572</c:v>
                </c:pt>
                <c:pt idx="9">
                  <c:v>0.48855071650044429</c:v>
                </c:pt>
                <c:pt idx="40">
                  <c:v>0.16322979483045072</c:v>
                </c:pt>
                <c:pt idx="41">
                  <c:v>0.16171700477888273</c:v>
                </c:pt>
                <c:pt idx="42">
                  <c:v>0.13184819599462522</c:v>
                </c:pt>
                <c:pt idx="43">
                  <c:v>7.7516848199659788E-2</c:v>
                </c:pt>
                <c:pt idx="44">
                  <c:v>6.5726595690893758E-2</c:v>
                </c:pt>
                <c:pt idx="46">
                  <c:v>7.3446543716888335E-4</c:v>
                </c:pt>
                <c:pt idx="47">
                  <c:v>2.0020792332475961E-3</c:v>
                </c:pt>
                <c:pt idx="48">
                  <c:v>2.0020792332475961E-3</c:v>
                </c:pt>
                <c:pt idx="49">
                  <c:v>-2.0345158808933984E-2</c:v>
                </c:pt>
              </c:numCache>
            </c:numRef>
          </c:xVal>
          <c:yVal>
            <c:numRef>
              <c:f>'влекомый сток'!$G$2:$G$51</c:f>
              <c:numCache>
                <c:formatCode>General</c:formatCode>
                <c:ptCount val="50"/>
                <c:pt idx="5">
                  <c:v>1.6760822510822511</c:v>
                </c:pt>
                <c:pt idx="6">
                  <c:v>3.8609307359307361</c:v>
                </c:pt>
                <c:pt idx="7">
                  <c:v>2.387337662337663</c:v>
                </c:pt>
                <c:pt idx="9">
                  <c:v>0.49372294372294379</c:v>
                </c:pt>
                <c:pt idx="40">
                  <c:v>0.32</c:v>
                </c:pt>
                <c:pt idx="41">
                  <c:v>0.33</c:v>
                </c:pt>
                <c:pt idx="42">
                  <c:v>4.78</c:v>
                </c:pt>
                <c:pt idx="43">
                  <c:v>4.63</c:v>
                </c:pt>
                <c:pt idx="44">
                  <c:v>2.2400000000000002</c:v>
                </c:pt>
                <c:pt idx="46">
                  <c:v>0.42</c:v>
                </c:pt>
                <c:pt idx="47">
                  <c:v>1.54</c:v>
                </c:pt>
                <c:pt idx="48">
                  <c:v>12.8</c:v>
                </c:pt>
                <c:pt idx="49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D-430A-9BBE-49B0116F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55968"/>
        <c:axId val="1273554304"/>
      </c:scatterChart>
      <c:valAx>
        <c:axId val="12735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554304"/>
        <c:crosses val="autoZero"/>
        <c:crossBetween val="midCat"/>
      </c:valAx>
      <c:valAx>
        <c:axId val="12735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5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302559</xdr:colOff>
      <xdr:row>5</xdr:row>
      <xdr:rowOff>112058</xdr:rowOff>
    </xdr:from>
    <xdr:to>
      <xdr:col>24</xdr:col>
      <xdr:colOff>56029</xdr:colOff>
      <xdr:row>25</xdr:row>
      <xdr:rowOff>22412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549088</xdr:colOff>
      <xdr:row>29</xdr:row>
      <xdr:rowOff>190500</xdr:rowOff>
    </xdr:from>
    <xdr:to>
      <xdr:col>34</xdr:col>
      <xdr:colOff>56029</xdr:colOff>
      <xdr:row>43</xdr:row>
      <xdr:rowOff>56029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162485</xdr:colOff>
      <xdr:row>5</xdr:row>
      <xdr:rowOff>96370</xdr:rowOff>
    </xdr:from>
    <xdr:to>
      <xdr:col>31</xdr:col>
      <xdr:colOff>498662</xdr:colOff>
      <xdr:row>25</xdr:row>
      <xdr:rowOff>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302558</xdr:colOff>
      <xdr:row>11</xdr:row>
      <xdr:rowOff>118781</xdr:rowOff>
    </xdr:from>
    <xdr:to>
      <xdr:col>22</xdr:col>
      <xdr:colOff>504264</xdr:colOff>
      <xdr:row>32</xdr:row>
      <xdr:rowOff>179294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4</xdr:row>
      <xdr:rowOff>114300</xdr:rowOff>
    </xdr:from>
    <xdr:to>
      <xdr:col>19</xdr:col>
      <xdr:colOff>342900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269421</xdr:colOff>
      <xdr:row>4</xdr:row>
      <xdr:rowOff>134712</xdr:rowOff>
    </xdr:from>
    <xdr:to>
      <xdr:col>27</xdr:col>
      <xdr:colOff>576942</xdr:colOff>
      <xdr:row>19</xdr:row>
      <xdr:rowOff>20412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585107</xdr:colOff>
      <xdr:row>21</xdr:row>
      <xdr:rowOff>166006</xdr:rowOff>
    </xdr:from>
    <xdr:to>
      <xdr:col>29</xdr:col>
      <xdr:colOff>435429</xdr:colOff>
      <xdr:row>55</xdr:row>
      <xdr:rowOff>108857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topLeftCell="J1" zoomScale="70" zoomScaleNormal="70" workbookViewId="0">
      <selection activeCell="P2" sqref="P2:Q27"/>
    </sheetView>
  </sheetViews>
  <sheetFormatPr defaultRowHeight="15" x14ac:dyDescent="0.25"/>
  <cols>
    <col min="1" max="1" width="11.42578125" customWidth="1"/>
    <col min="14" max="15" width="15.7109375" customWidth="1"/>
  </cols>
  <sheetData>
    <row r="1" spans="1:39" s="1" customFormat="1" ht="25.5" x14ac:dyDescent="0.25">
      <c r="A1" s="18" t="s">
        <v>0</v>
      </c>
      <c r="B1" s="18" t="s">
        <v>37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84</v>
      </c>
      <c r="L1" s="18" t="s">
        <v>106</v>
      </c>
      <c r="M1" s="18" t="s">
        <v>162</v>
      </c>
      <c r="N1" s="18" t="s">
        <v>9</v>
      </c>
      <c r="O1" s="12"/>
    </row>
    <row r="2" spans="1:39" x14ac:dyDescent="0.25">
      <c r="A2" s="19" t="s">
        <v>10</v>
      </c>
      <c r="B2" s="20">
        <v>10.7</v>
      </c>
      <c r="C2" s="19" t="s">
        <v>11</v>
      </c>
      <c r="D2" s="21">
        <v>2.1</v>
      </c>
      <c r="E2" s="22">
        <v>536</v>
      </c>
      <c r="F2" s="19">
        <v>1.87</v>
      </c>
      <c r="G2" s="19" t="s">
        <v>11</v>
      </c>
      <c r="H2" s="19" t="s">
        <v>11</v>
      </c>
      <c r="I2" s="19" t="s">
        <v>11</v>
      </c>
      <c r="J2" s="19" t="s">
        <v>11</v>
      </c>
      <c r="K2" s="19" t="s">
        <v>11</v>
      </c>
      <c r="L2" s="23">
        <v>0.251</v>
      </c>
      <c r="M2" s="29">
        <v>0.23400000000000001</v>
      </c>
      <c r="N2" s="19" t="s">
        <v>36</v>
      </c>
      <c r="O2" s="13"/>
      <c r="P2">
        <v>3.57</v>
      </c>
    </row>
    <row r="3" spans="1:39" x14ac:dyDescent="0.25">
      <c r="A3" s="19" t="s">
        <v>12</v>
      </c>
      <c r="B3" s="21">
        <v>8.98</v>
      </c>
      <c r="C3" s="19" t="s">
        <v>11</v>
      </c>
      <c r="D3" s="19">
        <v>1.77</v>
      </c>
      <c r="E3" s="22">
        <v>594</v>
      </c>
      <c r="F3" s="21">
        <v>1.3</v>
      </c>
      <c r="G3" s="21">
        <v>9.5000000000000001E-2</v>
      </c>
      <c r="H3" s="19">
        <v>4.16</v>
      </c>
      <c r="I3" s="21">
        <v>3.2000000000000001E-2</v>
      </c>
      <c r="J3" s="21">
        <v>2.1</v>
      </c>
      <c r="K3" s="19" t="s">
        <v>11</v>
      </c>
      <c r="L3" s="23">
        <v>0.307</v>
      </c>
      <c r="M3" s="29">
        <v>0.109</v>
      </c>
      <c r="N3" s="19" t="s">
        <v>36</v>
      </c>
      <c r="O3" s="13"/>
      <c r="P3">
        <v>1.1499999999999999</v>
      </c>
    </row>
    <row r="4" spans="1:39" x14ac:dyDescent="0.25">
      <c r="A4" s="19" t="s">
        <v>13</v>
      </c>
      <c r="B4" s="20">
        <v>11.4</v>
      </c>
      <c r="C4" s="19" t="s">
        <v>11</v>
      </c>
      <c r="D4" s="21">
        <v>1.4</v>
      </c>
      <c r="E4" s="22">
        <v>548</v>
      </c>
      <c r="F4" s="19">
        <v>0.89</v>
      </c>
      <c r="G4" s="21">
        <v>0.39500000000000002</v>
      </c>
      <c r="H4" s="19">
        <v>2.96</v>
      </c>
      <c r="I4" s="21" t="s">
        <v>11</v>
      </c>
      <c r="J4" s="19" t="s">
        <v>11</v>
      </c>
      <c r="K4" s="19" t="s">
        <v>11</v>
      </c>
      <c r="L4" s="23">
        <v>0.38500000000000001</v>
      </c>
      <c r="M4" s="29">
        <v>2.5999999999999999E-2</v>
      </c>
      <c r="N4" s="19" t="s">
        <v>36</v>
      </c>
      <c r="O4" s="13"/>
      <c r="P4">
        <v>0.42499999999999999</v>
      </c>
    </row>
    <row r="5" spans="1:39" x14ac:dyDescent="0.25">
      <c r="A5" s="19" t="s">
        <v>14</v>
      </c>
      <c r="B5" s="21">
        <v>9.4</v>
      </c>
      <c r="C5" s="19" t="s">
        <v>11</v>
      </c>
      <c r="D5" s="19">
        <v>1.1599999999999999</v>
      </c>
      <c r="E5" s="22">
        <v>273</v>
      </c>
      <c r="F5" s="21">
        <v>0.34899999999999998</v>
      </c>
      <c r="G5" s="19" t="s">
        <v>11</v>
      </c>
      <c r="H5" s="19" t="s">
        <v>11</v>
      </c>
      <c r="I5" s="21" t="s">
        <v>11</v>
      </c>
      <c r="J5" s="19" t="s">
        <v>11</v>
      </c>
      <c r="K5" s="19" t="s">
        <v>11</v>
      </c>
      <c r="L5" s="23">
        <v>0.60199999999999998</v>
      </c>
      <c r="M5" s="29">
        <v>2.9000000000000001E-2</v>
      </c>
      <c r="N5" s="19" t="s">
        <v>36</v>
      </c>
      <c r="O5" s="13"/>
      <c r="P5">
        <v>0.34699999999999998</v>
      </c>
      <c r="AH5" s="2" t="e">
        <f>D8*60*60*24</f>
        <v>#VALUE!</v>
      </c>
      <c r="AI5" t="s">
        <v>20</v>
      </c>
      <c r="AK5" s="3" t="e">
        <f>F8*60*60*24</f>
        <v>#VALUE!</v>
      </c>
      <c r="AL5" s="5" t="e">
        <f>AK5/1000000</f>
        <v>#VALUE!</v>
      </c>
      <c r="AM5" t="s">
        <v>24</v>
      </c>
    </row>
    <row r="6" spans="1:39" x14ac:dyDescent="0.25">
      <c r="A6" s="19" t="s">
        <v>15</v>
      </c>
      <c r="B6" s="20">
        <v>10.7</v>
      </c>
      <c r="C6" s="19" t="s">
        <v>11</v>
      </c>
      <c r="D6" s="19">
        <v>1.21</v>
      </c>
      <c r="E6" s="22">
        <v>402</v>
      </c>
      <c r="F6" s="21">
        <v>0.60499999999999998</v>
      </c>
      <c r="G6" s="21">
        <v>3.6999999999999998E-2</v>
      </c>
      <c r="H6" s="19">
        <v>2.42</v>
      </c>
      <c r="I6" s="21">
        <v>2.4E-2</v>
      </c>
      <c r="J6" s="19">
        <v>3.18</v>
      </c>
      <c r="K6" s="19" t="s">
        <v>11</v>
      </c>
      <c r="L6" s="23">
        <v>0.60599999999999998</v>
      </c>
      <c r="M6" s="29">
        <v>1.6E-2</v>
      </c>
      <c r="N6" s="19" t="s">
        <v>36</v>
      </c>
      <c r="O6" s="13"/>
      <c r="P6">
        <v>0.317</v>
      </c>
      <c r="W6">
        <v>25.1</v>
      </c>
      <c r="AC6" s="16">
        <v>0.28699999999999998</v>
      </c>
      <c r="AH6" s="2" t="e">
        <f>D9*60*60*24</f>
        <v>#VALUE!</v>
      </c>
      <c r="AI6" t="s">
        <v>21</v>
      </c>
      <c r="AK6" s="3" t="e">
        <f>F9*60*60*24</f>
        <v>#VALUE!</v>
      </c>
      <c r="AL6" s="5" t="e">
        <f t="shared" ref="AL6:AL10" si="0">AK6/1000000</f>
        <v>#VALUE!</v>
      </c>
      <c r="AM6" t="s">
        <v>25</v>
      </c>
    </row>
    <row r="7" spans="1:39" x14ac:dyDescent="0.25">
      <c r="A7" s="24" t="s">
        <v>38</v>
      </c>
      <c r="B7" s="25">
        <f>AVERAGE(B2:B6)</f>
        <v>10.235999999999999</v>
      </c>
      <c r="C7" s="25"/>
      <c r="D7" s="26">
        <f t="shared" ref="D7:J7" si="1">AVERAGE(D2:D6)</f>
        <v>1.528</v>
      </c>
      <c r="E7" s="27">
        <f t="shared" si="1"/>
        <v>470.6</v>
      </c>
      <c r="F7" s="25">
        <f t="shared" si="1"/>
        <v>1.0027999999999999</v>
      </c>
      <c r="G7" s="26">
        <f t="shared" si="1"/>
        <v>0.17566666666666667</v>
      </c>
      <c r="H7" s="26">
        <f t="shared" si="1"/>
        <v>3.1799999999999997</v>
      </c>
      <c r="I7" s="26">
        <f t="shared" si="1"/>
        <v>2.8000000000000001E-2</v>
      </c>
      <c r="J7" s="26">
        <f t="shared" si="1"/>
        <v>2.64</v>
      </c>
      <c r="K7" s="24" t="s">
        <v>11</v>
      </c>
      <c r="L7" s="26">
        <f>AVERAGE(L2:L6)</f>
        <v>0.43019999999999997</v>
      </c>
      <c r="M7" s="26"/>
      <c r="N7" s="24" t="s">
        <v>36</v>
      </c>
      <c r="O7" s="14"/>
      <c r="W7">
        <v>31.3</v>
      </c>
      <c r="AC7" s="16">
        <v>0.36</v>
      </c>
      <c r="AE7">
        <v>0.17</v>
      </c>
      <c r="AH7" s="2"/>
      <c r="AK7" s="3"/>
      <c r="AL7" s="5"/>
    </row>
    <row r="8" spans="1:39" x14ac:dyDescent="0.25">
      <c r="A8" s="19" t="s">
        <v>10</v>
      </c>
      <c r="B8" s="19" t="s">
        <v>11</v>
      </c>
      <c r="C8" s="22">
        <v>511</v>
      </c>
      <c r="D8" s="22" t="s">
        <v>30</v>
      </c>
      <c r="E8" s="19" t="s">
        <v>11</v>
      </c>
      <c r="F8" s="22" t="s">
        <v>31</v>
      </c>
      <c r="G8" s="21" t="s">
        <v>94</v>
      </c>
      <c r="H8" s="19" t="s">
        <v>11</v>
      </c>
      <c r="I8" s="19" t="s">
        <v>11</v>
      </c>
      <c r="J8" s="19" t="s">
        <v>11</v>
      </c>
      <c r="K8" s="28" t="s">
        <v>155</v>
      </c>
      <c r="L8" s="19" t="s">
        <v>11</v>
      </c>
      <c r="M8" s="29" t="str">
        <f>AK27</f>
        <v>2,02·10⁶</v>
      </c>
      <c r="N8" s="19" t="s">
        <v>29</v>
      </c>
      <c r="O8" s="13"/>
      <c r="P8" s="11">
        <v>357</v>
      </c>
      <c r="Q8" s="11">
        <f>P8*60*60*24/1000000</f>
        <v>30.844799999999999</v>
      </c>
      <c r="S8">
        <v>104</v>
      </c>
      <c r="W8">
        <v>41.6</v>
      </c>
      <c r="AC8" s="16">
        <v>0.43</v>
      </c>
      <c r="AE8">
        <v>0.127</v>
      </c>
      <c r="AH8" s="2" t="e">
        <f>D10*60*60*24</f>
        <v>#VALUE!</v>
      </c>
      <c r="AI8" t="s">
        <v>22</v>
      </c>
      <c r="AK8" s="3" t="e">
        <f>F10*60*60*24</f>
        <v>#VALUE!</v>
      </c>
      <c r="AL8" s="4" t="e">
        <f t="shared" si="0"/>
        <v>#VALUE!</v>
      </c>
      <c r="AM8" t="s">
        <v>26</v>
      </c>
    </row>
    <row r="9" spans="1:39" x14ac:dyDescent="0.25">
      <c r="A9" s="19" t="s">
        <v>12</v>
      </c>
      <c r="B9" s="19" t="s">
        <v>11</v>
      </c>
      <c r="C9" s="22">
        <v>570</v>
      </c>
      <c r="D9" s="22" t="s">
        <v>32</v>
      </c>
      <c r="E9" s="19" t="s">
        <v>11</v>
      </c>
      <c r="F9" s="22" t="s">
        <v>33</v>
      </c>
      <c r="G9" s="21" t="s">
        <v>98</v>
      </c>
      <c r="H9" s="19" t="s">
        <v>11</v>
      </c>
      <c r="I9" s="19" t="s">
        <v>11</v>
      </c>
      <c r="J9" s="19" t="s">
        <v>11</v>
      </c>
      <c r="K9" s="28" t="s">
        <v>156</v>
      </c>
      <c r="L9" s="30" t="str">
        <f>L8</f>
        <v>-</v>
      </c>
      <c r="M9" s="29" t="str">
        <f t="shared" ref="M9:M13" si="2">AK28</f>
        <v>0,96·10⁶</v>
      </c>
      <c r="N9" s="19" t="s">
        <v>29</v>
      </c>
      <c r="O9" s="13"/>
      <c r="P9" s="11">
        <v>117</v>
      </c>
      <c r="Q9" s="11">
        <f t="shared" ref="Q9:Q12" si="3">P9*60*60*24/1000000</f>
        <v>10.1088</v>
      </c>
      <c r="S9" t="s">
        <v>87</v>
      </c>
      <c r="T9" t="e">
        <f>#REF!*60*60*24</f>
        <v>#REF!</v>
      </c>
      <c r="U9" t="e">
        <f>T9/1000000</f>
        <v>#REF!</v>
      </c>
      <c r="W9" s="5">
        <v>59</v>
      </c>
      <c r="AC9" s="16">
        <v>0.66700000000000004</v>
      </c>
      <c r="AE9">
        <v>9.5000000000000001E-2</v>
      </c>
      <c r="AH9" s="2" t="e">
        <f>D11*60*60*24</f>
        <v>#VALUE!</v>
      </c>
      <c r="AI9" t="s">
        <v>23</v>
      </c>
      <c r="AK9" s="3" t="e">
        <f>F11*60*60*24</f>
        <v>#VALUE!</v>
      </c>
      <c r="AL9" s="4" t="e">
        <f t="shared" si="0"/>
        <v>#VALUE!</v>
      </c>
      <c r="AM9" t="s">
        <v>27</v>
      </c>
    </row>
    <row r="10" spans="1:39" x14ac:dyDescent="0.25">
      <c r="A10" s="19" t="s">
        <v>13</v>
      </c>
      <c r="B10" s="19" t="s">
        <v>11</v>
      </c>
      <c r="C10" s="22">
        <v>482</v>
      </c>
      <c r="D10" s="22" t="s">
        <v>34</v>
      </c>
      <c r="E10" s="19" t="s">
        <v>11</v>
      </c>
      <c r="F10" s="19" t="s">
        <v>147</v>
      </c>
      <c r="G10" s="21" t="s">
        <v>99</v>
      </c>
      <c r="H10" s="19" t="s">
        <v>11</v>
      </c>
      <c r="I10" s="19" t="s">
        <v>11</v>
      </c>
      <c r="J10" s="19" t="s">
        <v>11</v>
      </c>
      <c r="K10" s="29" t="s">
        <v>157</v>
      </c>
      <c r="L10" s="30" t="str">
        <f t="shared" ref="L10:L12" si="4">L9</f>
        <v>-</v>
      </c>
      <c r="M10" s="29" t="str">
        <f t="shared" si="2"/>
        <v>0,25·10⁶</v>
      </c>
      <c r="N10" s="19" t="s">
        <v>29</v>
      </c>
      <c r="O10" s="13"/>
      <c r="P10">
        <v>45.9</v>
      </c>
      <c r="Q10" s="11">
        <f t="shared" si="3"/>
        <v>3.96576</v>
      </c>
      <c r="S10" t="s">
        <v>88</v>
      </c>
      <c r="W10">
        <v>63.7</v>
      </c>
      <c r="AC10" s="16">
        <v>0.47099999999999997</v>
      </c>
      <c r="AE10">
        <v>4.2999999999999997E-2</v>
      </c>
      <c r="AH10" s="2" t="e">
        <f>D12*60*60*24</f>
        <v>#VALUE!</v>
      </c>
      <c r="AI10" t="s">
        <v>19</v>
      </c>
      <c r="AK10" s="3" t="e">
        <f>F12*60*60*24</f>
        <v>#VALUE!</v>
      </c>
      <c r="AL10" s="4" t="e">
        <f t="shared" si="0"/>
        <v>#VALUE!</v>
      </c>
      <c r="AM10" t="s">
        <v>28</v>
      </c>
    </row>
    <row r="11" spans="1:39" x14ac:dyDescent="0.25">
      <c r="A11" s="19" t="s">
        <v>14</v>
      </c>
      <c r="B11" s="19" t="s">
        <v>11</v>
      </c>
      <c r="C11" s="22">
        <v>536</v>
      </c>
      <c r="D11" s="22" t="s">
        <v>35</v>
      </c>
      <c r="E11" s="19" t="s">
        <v>11</v>
      </c>
      <c r="F11" s="19" t="s">
        <v>146</v>
      </c>
      <c r="G11" s="19" t="s">
        <v>95</v>
      </c>
      <c r="H11" s="19" t="s">
        <v>11</v>
      </c>
      <c r="I11" s="19" t="s">
        <v>11</v>
      </c>
      <c r="J11" s="19" t="s">
        <v>11</v>
      </c>
      <c r="K11" s="29" t="s">
        <v>158</v>
      </c>
      <c r="L11" s="30" t="str">
        <f t="shared" si="4"/>
        <v>-</v>
      </c>
      <c r="M11" s="29" t="str">
        <f t="shared" si="2"/>
        <v>0,24·10⁶</v>
      </c>
      <c r="N11" s="19" t="s">
        <v>29</v>
      </c>
      <c r="O11" s="13"/>
      <c r="P11">
        <v>34</v>
      </c>
      <c r="Q11" s="11">
        <f t="shared" si="3"/>
        <v>2.9376000000000002</v>
      </c>
      <c r="S11" t="s">
        <v>89</v>
      </c>
      <c r="AC11" s="17">
        <v>28.7</v>
      </c>
      <c r="AE11">
        <v>7.3999999999999996E-2</v>
      </c>
    </row>
    <row r="12" spans="1:39" x14ac:dyDescent="0.25">
      <c r="A12" s="19" t="s">
        <v>15</v>
      </c>
      <c r="B12" s="19" t="s">
        <v>11</v>
      </c>
      <c r="C12" s="22">
        <v>746</v>
      </c>
      <c r="D12" s="22" t="s">
        <v>144</v>
      </c>
      <c r="E12" s="19" t="s">
        <v>11</v>
      </c>
      <c r="F12" s="19" t="s">
        <v>148</v>
      </c>
      <c r="G12" s="19" t="s">
        <v>96</v>
      </c>
      <c r="H12" s="19" t="s">
        <v>11</v>
      </c>
      <c r="I12" s="19" t="s">
        <v>11</v>
      </c>
      <c r="J12" s="19" t="s">
        <v>11</v>
      </c>
      <c r="K12" s="29" t="s">
        <v>159</v>
      </c>
      <c r="L12" s="30" t="str">
        <f t="shared" si="4"/>
        <v>-</v>
      </c>
      <c r="M12" s="29" t="str">
        <f t="shared" si="2"/>
        <v>0,14·10⁶</v>
      </c>
      <c r="N12" s="19" t="s">
        <v>29</v>
      </c>
      <c r="O12" s="13"/>
      <c r="P12">
        <v>33.299999999999997</v>
      </c>
      <c r="Q12" s="11">
        <f t="shared" si="3"/>
        <v>2.8771199999999997</v>
      </c>
      <c r="R12">
        <v>-0.73199999999999998</v>
      </c>
      <c r="S12" t="s">
        <v>90</v>
      </c>
      <c r="AC12" s="17">
        <v>36.700000000000003</v>
      </c>
    </row>
    <row r="13" spans="1:39" x14ac:dyDescent="0.25">
      <c r="A13" s="24" t="s">
        <v>38</v>
      </c>
      <c r="B13" s="24" t="s">
        <v>11</v>
      </c>
      <c r="C13" s="24">
        <f>AVERAGE(C8:C12)</f>
        <v>569</v>
      </c>
      <c r="D13" s="24" t="s">
        <v>145</v>
      </c>
      <c r="E13" s="24" t="s">
        <v>11</v>
      </c>
      <c r="F13" s="24" t="s">
        <v>149</v>
      </c>
      <c r="G13" s="26" t="s">
        <v>97</v>
      </c>
      <c r="H13" s="24" t="s">
        <v>11</v>
      </c>
      <c r="I13" s="24" t="s">
        <v>11</v>
      </c>
      <c r="J13" s="24" t="s">
        <v>11</v>
      </c>
      <c r="K13" s="25" t="s">
        <v>92</v>
      </c>
      <c r="L13" s="24" t="s">
        <v>11</v>
      </c>
      <c r="M13" s="48" t="str">
        <f t="shared" si="2"/>
        <v>0,72·10⁶</v>
      </c>
      <c r="N13" s="24" t="s">
        <v>93</v>
      </c>
      <c r="O13" s="14"/>
      <c r="R13">
        <v>-0.61299999999999999</v>
      </c>
      <c r="AC13" s="17">
        <v>46.4</v>
      </c>
    </row>
    <row r="14" spans="1:39" x14ac:dyDescent="0.25">
      <c r="A14" s="19" t="s">
        <v>10</v>
      </c>
      <c r="B14" s="21">
        <v>4.9000000000000004</v>
      </c>
      <c r="C14" s="19">
        <v>0</v>
      </c>
      <c r="D14" s="21">
        <v>0.42</v>
      </c>
      <c r="E14" s="22">
        <v>213</v>
      </c>
      <c r="F14" s="21">
        <v>0.09</v>
      </c>
      <c r="G14" s="19" t="s">
        <v>11</v>
      </c>
      <c r="H14" s="19" t="s">
        <v>11</v>
      </c>
      <c r="I14" s="19" t="s">
        <v>11</v>
      </c>
      <c r="J14" s="19" t="s">
        <v>11</v>
      </c>
      <c r="K14" s="19" t="s">
        <v>11</v>
      </c>
      <c r="L14" s="19" t="s">
        <v>11</v>
      </c>
      <c r="M14" s="29">
        <v>0</v>
      </c>
      <c r="N14" s="19" t="s">
        <v>16</v>
      </c>
      <c r="O14" s="13"/>
      <c r="P14">
        <v>3.0000000000000001E-3</v>
      </c>
      <c r="R14">
        <v>-0.63600000000000001</v>
      </c>
      <c r="AC14" s="17">
        <v>65.400000000000006</v>
      </c>
    </row>
    <row r="15" spans="1:39" x14ac:dyDescent="0.25">
      <c r="A15" s="19" t="s">
        <v>12</v>
      </c>
      <c r="B15" s="21">
        <v>-2.7</v>
      </c>
      <c r="C15" s="19">
        <v>0</v>
      </c>
      <c r="D15" s="21">
        <v>0.53</v>
      </c>
      <c r="E15" s="22">
        <v>214</v>
      </c>
      <c r="F15" s="21">
        <v>0.114</v>
      </c>
      <c r="G15" s="19">
        <v>0.01</v>
      </c>
      <c r="H15" s="21">
        <v>0.56200000000000006</v>
      </c>
      <c r="I15" s="19">
        <v>0.01</v>
      </c>
      <c r="J15" s="19">
        <v>0.49399999999999999</v>
      </c>
      <c r="K15" s="30" t="str">
        <f>K14</f>
        <v>-</v>
      </c>
      <c r="L15" s="19" t="s">
        <v>11</v>
      </c>
      <c r="M15" s="29">
        <v>0</v>
      </c>
      <c r="N15" s="19" t="s">
        <v>16</v>
      </c>
      <c r="O15" s="13"/>
      <c r="P15">
        <v>1.2999999999999999E-2</v>
      </c>
      <c r="R15">
        <v>-1.1200000000000001</v>
      </c>
      <c r="AC15" s="17">
        <v>49.4</v>
      </c>
    </row>
    <row r="16" spans="1:39" x14ac:dyDescent="0.25">
      <c r="A16" s="19" t="s">
        <v>13</v>
      </c>
      <c r="B16" s="21">
        <v>2.7</v>
      </c>
      <c r="C16" s="19">
        <v>0</v>
      </c>
      <c r="D16" s="21">
        <v>0.50900000000000001</v>
      </c>
      <c r="E16" s="22">
        <v>214</v>
      </c>
      <c r="F16" s="21">
        <v>0.109</v>
      </c>
      <c r="G16" s="21">
        <v>4.7E-2</v>
      </c>
      <c r="H16" s="19">
        <v>0</v>
      </c>
      <c r="I16" s="19" t="s">
        <v>11</v>
      </c>
      <c r="J16" s="19" t="s">
        <v>11</v>
      </c>
      <c r="K16" s="30" t="str">
        <f t="shared" ref="K16:L25" si="5">K15</f>
        <v>-</v>
      </c>
      <c r="L16" s="19" t="s">
        <v>11</v>
      </c>
      <c r="M16" s="29">
        <v>0</v>
      </c>
      <c r="N16" s="19" t="s">
        <v>16</v>
      </c>
      <c r="O16" s="13"/>
      <c r="P16">
        <v>3.3000000000000002E-2</v>
      </c>
      <c r="R16">
        <v>-0.21199999999999999</v>
      </c>
      <c r="AC16" s="16">
        <v>1E-3</v>
      </c>
    </row>
    <row r="17" spans="1:37" x14ac:dyDescent="0.25">
      <c r="A17" s="19" t="s">
        <v>14</v>
      </c>
      <c r="B17" s="21">
        <v>2.14</v>
      </c>
      <c r="C17" s="19">
        <v>0</v>
      </c>
      <c r="D17" s="21">
        <v>0.06</v>
      </c>
      <c r="E17" s="22">
        <v>213</v>
      </c>
      <c r="F17" s="21">
        <v>1.2999999999999999E-2</v>
      </c>
      <c r="G17" s="19" t="s">
        <v>11</v>
      </c>
      <c r="H17" s="19" t="s">
        <v>11</v>
      </c>
      <c r="I17" s="19" t="s">
        <v>11</v>
      </c>
      <c r="J17" s="19" t="s">
        <v>11</v>
      </c>
      <c r="K17" s="30" t="str">
        <f t="shared" si="5"/>
        <v>-</v>
      </c>
      <c r="L17" s="19" t="s">
        <v>11</v>
      </c>
      <c r="M17" s="29">
        <v>0</v>
      </c>
      <c r="N17" s="19" t="s">
        <v>16</v>
      </c>
      <c r="O17" s="13"/>
      <c r="P17">
        <v>3.0000000000000001E-3</v>
      </c>
      <c r="R17">
        <v>96.8</v>
      </c>
      <c r="AC17" s="16">
        <v>1.0999999999999999E-2</v>
      </c>
      <c r="AE17">
        <v>1.6E-2</v>
      </c>
    </row>
    <row r="18" spans="1:37" ht="15.75" customHeight="1" x14ac:dyDescent="0.25">
      <c r="A18" s="19" t="s">
        <v>15</v>
      </c>
      <c r="B18" s="21">
        <v>-1.1299999999999999</v>
      </c>
      <c r="C18" s="19">
        <v>0</v>
      </c>
      <c r="D18" s="21">
        <v>0.57999999999999996</v>
      </c>
      <c r="E18" s="22">
        <v>213</v>
      </c>
      <c r="F18" s="21">
        <v>1.6E-2</v>
      </c>
      <c r="G18" s="19">
        <v>0.02</v>
      </c>
      <c r="H18" s="19">
        <v>0.25</v>
      </c>
      <c r="I18" s="19">
        <v>0.01</v>
      </c>
      <c r="J18" s="19">
        <v>0.32</v>
      </c>
      <c r="K18" s="30" t="str">
        <f t="shared" si="5"/>
        <v>-</v>
      </c>
      <c r="L18" s="19" t="s">
        <v>11</v>
      </c>
      <c r="M18" s="29">
        <v>0</v>
      </c>
      <c r="N18" s="19" t="s">
        <v>16</v>
      </c>
      <c r="O18" s="13"/>
      <c r="P18">
        <v>3.0000000000000001E-3</v>
      </c>
      <c r="R18">
        <v>19.5</v>
      </c>
      <c r="T18" s="6" t="s">
        <v>37</v>
      </c>
      <c r="U18" s="6" t="s">
        <v>1</v>
      </c>
      <c r="V18" s="6" t="s">
        <v>2</v>
      </c>
      <c r="W18" s="6" t="s">
        <v>3</v>
      </c>
      <c r="X18" s="6" t="s">
        <v>4</v>
      </c>
      <c r="Y18" s="6" t="s">
        <v>5</v>
      </c>
      <c r="Z18" s="6" t="s">
        <v>6</v>
      </c>
      <c r="AA18" s="6" t="s">
        <v>7</v>
      </c>
      <c r="AB18" s="6" t="s">
        <v>8</v>
      </c>
      <c r="AC18" s="16">
        <v>7.0999999999999994E-2</v>
      </c>
      <c r="AE18">
        <v>0.02</v>
      </c>
    </row>
    <row r="19" spans="1:37" x14ac:dyDescent="0.25">
      <c r="A19" s="24" t="s">
        <v>38</v>
      </c>
      <c r="B19" s="26">
        <f>MIN(B14:B18)</f>
        <v>-2.7</v>
      </c>
      <c r="C19" s="26">
        <f t="shared" ref="C19:J19" si="6">MIN(C14:C18)</f>
        <v>0</v>
      </c>
      <c r="D19" s="26">
        <f>MIN(D14:D18)</f>
        <v>0.06</v>
      </c>
      <c r="E19" s="27">
        <f t="shared" si="6"/>
        <v>213</v>
      </c>
      <c r="F19" s="26">
        <f t="shared" si="6"/>
        <v>1.2999999999999999E-2</v>
      </c>
      <c r="G19" s="26">
        <f t="shared" si="6"/>
        <v>0.01</v>
      </c>
      <c r="H19" s="26">
        <f t="shared" si="6"/>
        <v>0</v>
      </c>
      <c r="I19" s="26">
        <f t="shared" si="6"/>
        <v>0.01</v>
      </c>
      <c r="J19" s="26">
        <f t="shared" si="6"/>
        <v>0.32</v>
      </c>
      <c r="K19" s="31" t="str">
        <f t="shared" si="5"/>
        <v>-</v>
      </c>
      <c r="L19" s="31" t="str">
        <f t="shared" si="5"/>
        <v>-</v>
      </c>
      <c r="M19" s="26">
        <f t="shared" ref="M19" si="7">MIN(M14:M18)</f>
        <v>0</v>
      </c>
      <c r="N19" s="24" t="s">
        <v>16</v>
      </c>
      <c r="O19" s="14"/>
      <c r="R19">
        <v>1.18</v>
      </c>
      <c r="T19" s="6"/>
      <c r="U19" s="6"/>
      <c r="V19" s="6"/>
      <c r="W19" s="6"/>
      <c r="X19" s="6"/>
      <c r="Y19" s="6"/>
      <c r="Z19" s="6"/>
      <c r="AA19" s="6"/>
      <c r="AB19" s="6"/>
      <c r="AC19" s="16">
        <v>1.7999999999999999E-2</v>
      </c>
      <c r="AE19">
        <v>1.9E-2</v>
      </c>
    </row>
    <row r="20" spans="1:37" x14ac:dyDescent="0.25">
      <c r="A20" s="19" t="s">
        <v>10</v>
      </c>
      <c r="B20" s="19">
        <v>16.8</v>
      </c>
      <c r="C20" s="19">
        <v>56.9</v>
      </c>
      <c r="D20" s="19">
        <v>7.01</v>
      </c>
      <c r="E20" s="22">
        <v>8680</v>
      </c>
      <c r="F20" s="20">
        <v>60.8</v>
      </c>
      <c r="G20" s="19" t="s">
        <v>11</v>
      </c>
      <c r="H20" s="19" t="s">
        <v>11</v>
      </c>
      <c r="I20" s="19" t="s">
        <v>11</v>
      </c>
      <c r="J20" s="19" t="s">
        <v>11</v>
      </c>
      <c r="K20" s="30" t="str">
        <f t="shared" si="5"/>
        <v>-</v>
      </c>
      <c r="L20" s="30" t="str">
        <f t="shared" si="5"/>
        <v>-</v>
      </c>
      <c r="M20" s="30">
        <v>4.4000000000000004</v>
      </c>
      <c r="N20" s="19" t="s">
        <v>17</v>
      </c>
      <c r="O20" s="13"/>
      <c r="P20">
        <v>96.8</v>
      </c>
      <c r="R20">
        <v>8.06</v>
      </c>
      <c r="S20">
        <f>ROUND(E20,-1)</f>
        <v>8680</v>
      </c>
      <c r="T20" s="7">
        <f>AVERAGE(B2:B6)</f>
        <v>10.235999999999999</v>
      </c>
      <c r="U20" s="7"/>
      <c r="V20" s="7">
        <f>AVERAGE(D2:D6)</f>
        <v>1.528</v>
      </c>
      <c r="W20" s="7">
        <f>AVERAGE(E2:E6)</f>
        <v>470.6</v>
      </c>
      <c r="X20" s="7">
        <f>AVERAGE(F2:F6)</f>
        <v>1.0027999999999999</v>
      </c>
      <c r="Y20" s="7">
        <f>AVERAGE(G2:G6)</f>
        <v>0.17566666666666667</v>
      </c>
      <c r="Z20" s="7">
        <f>AVERAGE(H2:H6)</f>
        <v>3.1799999999999997</v>
      </c>
      <c r="AA20" s="7">
        <f>AVERAGE(I2:I6)</f>
        <v>2.8000000000000001E-2</v>
      </c>
      <c r="AB20" s="7">
        <f>AVERAGE(J2:J6)</f>
        <v>2.64</v>
      </c>
      <c r="AC20" s="16">
        <v>8.7999999999999995E-2</v>
      </c>
      <c r="AE20">
        <v>2E-3</v>
      </c>
    </row>
    <row r="21" spans="1:37" x14ac:dyDescent="0.25">
      <c r="A21" s="19" t="s">
        <v>12</v>
      </c>
      <c r="B21" s="19">
        <v>15.3</v>
      </c>
      <c r="C21" s="19">
        <v>40.299999999999997</v>
      </c>
      <c r="D21" s="19">
        <v>3.67</v>
      </c>
      <c r="E21" s="22">
        <v>6770</v>
      </c>
      <c r="F21" s="20">
        <v>24.8</v>
      </c>
      <c r="G21" s="21">
        <v>0.53700000000000003</v>
      </c>
      <c r="H21" s="20">
        <v>10</v>
      </c>
      <c r="I21" s="21">
        <v>5.8999999999999997E-2</v>
      </c>
      <c r="J21" s="19">
        <v>3.86</v>
      </c>
      <c r="K21" s="30" t="str">
        <f t="shared" si="5"/>
        <v>-</v>
      </c>
      <c r="L21" s="30" t="str">
        <f t="shared" si="5"/>
        <v>-</v>
      </c>
      <c r="M21" s="30">
        <v>0.79100000000000004</v>
      </c>
      <c r="N21" s="19" t="s">
        <v>17</v>
      </c>
      <c r="O21" s="13"/>
      <c r="P21">
        <v>19.5</v>
      </c>
      <c r="R21">
        <v>1.05</v>
      </c>
      <c r="S21">
        <f>ROUND(E21,-1)</f>
        <v>6770</v>
      </c>
      <c r="AC21" s="16">
        <v>1</v>
      </c>
      <c r="AE21">
        <v>2E-3</v>
      </c>
      <c r="AI21" s="33" t="s">
        <v>9</v>
      </c>
    </row>
    <row r="22" spans="1:37" x14ac:dyDescent="0.25">
      <c r="A22" s="19" t="s">
        <v>13</v>
      </c>
      <c r="B22" s="19">
        <v>17.600000000000001</v>
      </c>
      <c r="C22" s="19">
        <v>97.2</v>
      </c>
      <c r="D22" s="19">
        <v>2.19</v>
      </c>
      <c r="E22" s="22">
        <v>13000</v>
      </c>
      <c r="F22" s="20">
        <v>26</v>
      </c>
      <c r="G22" s="19">
        <v>1.93</v>
      </c>
      <c r="H22" s="19">
        <v>52.5</v>
      </c>
      <c r="I22" s="19" t="s">
        <v>11</v>
      </c>
      <c r="J22" s="19" t="s">
        <v>11</v>
      </c>
      <c r="K22" s="30" t="str">
        <f t="shared" si="5"/>
        <v>-</v>
      </c>
      <c r="L22" s="30" t="str">
        <f t="shared" si="5"/>
        <v>-</v>
      </c>
      <c r="M22" s="30">
        <v>0.13200000000000001</v>
      </c>
      <c r="N22" s="19" t="s">
        <v>17</v>
      </c>
      <c r="O22" s="13"/>
      <c r="P22">
        <v>1.18</v>
      </c>
      <c r="R22">
        <v>11.3</v>
      </c>
      <c r="S22">
        <f>ROUND(E22,-2)</f>
        <v>13000</v>
      </c>
      <c r="AC22" s="16">
        <v>1</v>
      </c>
      <c r="AE22">
        <v>5.26</v>
      </c>
      <c r="AI22">
        <v>0.23400000000000001</v>
      </c>
    </row>
    <row r="23" spans="1:37" x14ac:dyDescent="0.25">
      <c r="A23" s="19" t="s">
        <v>14</v>
      </c>
      <c r="B23" s="19">
        <v>18.100000000000001</v>
      </c>
      <c r="C23" s="19">
        <v>40.9</v>
      </c>
      <c r="D23" s="19">
        <v>3.17</v>
      </c>
      <c r="E23" s="22">
        <v>2050</v>
      </c>
      <c r="F23" s="21">
        <v>4.2699999999999996</v>
      </c>
      <c r="G23" s="19" t="s">
        <v>11</v>
      </c>
      <c r="H23" s="19" t="s">
        <v>11</v>
      </c>
      <c r="I23" s="19" t="s">
        <v>11</v>
      </c>
      <c r="J23" s="19" t="s">
        <v>11</v>
      </c>
      <c r="K23" s="30" t="str">
        <f t="shared" si="5"/>
        <v>-</v>
      </c>
      <c r="L23" s="30" t="str">
        <f t="shared" si="5"/>
        <v>-</v>
      </c>
      <c r="M23" s="30">
        <v>0.50600000000000001</v>
      </c>
      <c r="N23" s="19" t="s">
        <v>17</v>
      </c>
      <c r="O23" s="13"/>
      <c r="P23">
        <v>8.06</v>
      </c>
      <c r="R23">
        <v>2.52</v>
      </c>
      <c r="S23">
        <f>ROUND(E23,-1)</f>
        <v>2050</v>
      </c>
      <c r="AC23" s="16">
        <v>1</v>
      </c>
      <c r="AE23">
        <v>2.17</v>
      </c>
      <c r="AI23">
        <v>0.109</v>
      </c>
    </row>
    <row r="24" spans="1:37" x14ac:dyDescent="0.25">
      <c r="A24" s="19" t="s">
        <v>15</v>
      </c>
      <c r="B24" s="19">
        <v>19.3</v>
      </c>
      <c r="C24" s="22">
        <v>117</v>
      </c>
      <c r="D24" s="19">
        <v>2.0699999999999998</v>
      </c>
      <c r="E24" s="22">
        <v>10900</v>
      </c>
      <c r="F24" s="20">
        <v>19.3</v>
      </c>
      <c r="G24" s="19">
        <v>0.06</v>
      </c>
      <c r="H24" s="19">
        <v>7.62</v>
      </c>
      <c r="I24" s="19">
        <v>0.06</v>
      </c>
      <c r="J24" s="19">
        <v>12.8</v>
      </c>
      <c r="K24" s="30" t="str">
        <f t="shared" si="5"/>
        <v>-</v>
      </c>
      <c r="L24" s="30" t="str">
        <f t="shared" si="5"/>
        <v>-</v>
      </c>
      <c r="M24" s="30">
        <v>0.104</v>
      </c>
      <c r="N24" s="19" t="s">
        <v>17</v>
      </c>
      <c r="O24" s="13"/>
      <c r="P24">
        <v>1.05</v>
      </c>
      <c r="R24">
        <v>0.435</v>
      </c>
      <c r="S24">
        <f>ROUND(E24,-1)</f>
        <v>10900</v>
      </c>
      <c r="AC24" s="16">
        <v>1</v>
      </c>
      <c r="AE24">
        <v>2.4700000000000002</v>
      </c>
      <c r="AI24">
        <v>2.5999999999999999E-2</v>
      </c>
    </row>
    <row r="25" spans="1:37" x14ac:dyDescent="0.25">
      <c r="A25" s="24" t="s">
        <v>38</v>
      </c>
      <c r="B25" s="24">
        <f>MAX(B20:B24)</f>
        <v>19.3</v>
      </c>
      <c r="C25" s="24">
        <f t="shared" ref="C25:J25" si="8">MAX(C20:C24)</f>
        <v>117</v>
      </c>
      <c r="D25" s="24">
        <f t="shared" si="8"/>
        <v>7.01</v>
      </c>
      <c r="E25" s="24">
        <f t="shared" si="8"/>
        <v>13000</v>
      </c>
      <c r="F25" s="24">
        <f t="shared" si="8"/>
        <v>60.8</v>
      </c>
      <c r="G25" s="24">
        <f t="shared" si="8"/>
        <v>1.93</v>
      </c>
      <c r="H25" s="24">
        <f t="shared" si="8"/>
        <v>52.5</v>
      </c>
      <c r="I25" s="24">
        <f t="shared" si="8"/>
        <v>0.06</v>
      </c>
      <c r="J25" s="24">
        <f t="shared" si="8"/>
        <v>12.8</v>
      </c>
      <c r="K25" s="31" t="str">
        <f t="shared" si="5"/>
        <v>-</v>
      </c>
      <c r="L25" s="32">
        <v>1</v>
      </c>
      <c r="M25" s="26">
        <f t="shared" ref="M25" si="9">MAX(M20:M24)</f>
        <v>4.4000000000000004</v>
      </c>
      <c r="N25" s="24" t="s">
        <v>17</v>
      </c>
      <c r="O25" s="14"/>
      <c r="R25">
        <v>1</v>
      </c>
      <c r="AC25" s="16">
        <v>1</v>
      </c>
      <c r="AE25">
        <v>0.40100000000000002</v>
      </c>
      <c r="AI25">
        <v>2.9000000000000001E-2</v>
      </c>
    </row>
    <row r="26" spans="1:37" x14ac:dyDescent="0.25">
      <c r="A26" s="19" t="s">
        <v>10</v>
      </c>
      <c r="B26" s="19">
        <v>2.74</v>
      </c>
      <c r="C26" s="19">
        <v>10.3</v>
      </c>
      <c r="D26" s="21">
        <v>0.99199999999999999</v>
      </c>
      <c r="E26" s="22">
        <v>1107</v>
      </c>
      <c r="F26" s="21">
        <v>6.73</v>
      </c>
      <c r="G26" s="19" t="s">
        <v>11</v>
      </c>
      <c r="H26" s="19" t="s">
        <v>11</v>
      </c>
      <c r="I26" s="19" t="s">
        <v>11</v>
      </c>
      <c r="J26" s="19" t="s">
        <v>11</v>
      </c>
      <c r="K26" s="30">
        <v>0.58299999999999996</v>
      </c>
      <c r="L26" s="23">
        <v>0.34599999999999997</v>
      </c>
      <c r="M26" s="30">
        <v>0.49099999999999999</v>
      </c>
      <c r="N26" s="19" t="s">
        <v>18</v>
      </c>
      <c r="O26" s="13"/>
      <c r="P26">
        <v>11.3</v>
      </c>
      <c r="R26">
        <v>0.23</v>
      </c>
      <c r="X26" s="36" t="s">
        <v>108</v>
      </c>
      <c r="Y26" s="36" t="s">
        <v>9</v>
      </c>
      <c r="AC26" s="16">
        <v>0.34599999999999997</v>
      </c>
      <c r="AD26">
        <v>1.93</v>
      </c>
      <c r="AI26">
        <v>1.6E-2</v>
      </c>
    </row>
    <row r="27" spans="1:37" x14ac:dyDescent="0.25">
      <c r="A27" s="19" t="s">
        <v>12</v>
      </c>
      <c r="B27" s="19">
        <v>3.46</v>
      </c>
      <c r="C27" s="19">
        <v>9.23</v>
      </c>
      <c r="D27" s="21">
        <v>0.70699999999999996</v>
      </c>
      <c r="E27" s="22">
        <v>972</v>
      </c>
      <c r="F27" s="21">
        <v>2.93</v>
      </c>
      <c r="G27" s="21">
        <v>0.129</v>
      </c>
      <c r="H27" s="19">
        <v>3.19</v>
      </c>
      <c r="I27" s="19">
        <v>0.02</v>
      </c>
      <c r="J27" s="21">
        <v>1.3</v>
      </c>
      <c r="K27" s="30">
        <v>0.26</v>
      </c>
      <c r="L27" s="23">
        <v>0.34799999999999998</v>
      </c>
      <c r="M27" s="30">
        <v>0.154</v>
      </c>
      <c r="N27" s="19" t="s">
        <v>18</v>
      </c>
      <c r="O27" s="13"/>
      <c r="P27">
        <v>2.4900000000000002</v>
      </c>
      <c r="X27" s="16">
        <v>0.251</v>
      </c>
      <c r="Y27" s="16"/>
      <c r="AC27" s="16">
        <v>0.34799999999999998</v>
      </c>
      <c r="AD27">
        <v>0.58099999999999996</v>
      </c>
      <c r="AI27">
        <v>23.4</v>
      </c>
      <c r="AJ27" s="16">
        <f>AI27*60*60*24/1000000</f>
        <v>2.02176</v>
      </c>
      <c r="AK27" t="str">
        <f>CONCATENATE(ROUND(AJ27,2),"·10⁶")</f>
        <v>2,02·10⁶</v>
      </c>
    </row>
    <row r="28" spans="1:37" x14ac:dyDescent="0.25">
      <c r="A28" s="19" t="s">
        <v>13</v>
      </c>
      <c r="B28" s="19">
        <v>3.18</v>
      </c>
      <c r="C28" s="19">
        <v>11.7</v>
      </c>
      <c r="D28" s="21">
        <v>0.40300000000000002</v>
      </c>
      <c r="E28" s="22">
        <v>1605</v>
      </c>
      <c r="F28" s="21">
        <v>3.02</v>
      </c>
      <c r="G28" s="21">
        <v>0.57299999999999995</v>
      </c>
      <c r="H28" s="19">
        <v>10.199999999999999</v>
      </c>
      <c r="I28" s="19" t="s">
        <v>11</v>
      </c>
      <c r="J28" s="19" t="s">
        <v>11</v>
      </c>
      <c r="K28" s="30">
        <v>0.29099999999999998</v>
      </c>
      <c r="L28" s="23">
        <v>0.32500000000000001</v>
      </c>
      <c r="M28" s="30">
        <v>2.4E-2</v>
      </c>
      <c r="N28" s="19" t="s">
        <v>18</v>
      </c>
      <c r="O28" s="13"/>
      <c r="P28">
        <v>0.27700000000000002</v>
      </c>
      <c r="X28" s="16">
        <v>0.307</v>
      </c>
      <c r="Y28" s="16"/>
      <c r="AC28" s="16">
        <v>0.32500000000000001</v>
      </c>
      <c r="AD28">
        <v>0.26</v>
      </c>
      <c r="AI28">
        <v>11.1</v>
      </c>
      <c r="AJ28" s="16">
        <f t="shared" ref="AJ28:AJ31" si="10">AI28*60*60*24/1000000</f>
        <v>0.95904</v>
      </c>
      <c r="AK28" t="str">
        <f t="shared" ref="AK28:AK32" si="11">CONCATENATE(ROUND(AJ28,2),"·10⁶")</f>
        <v>0,96·10⁶</v>
      </c>
    </row>
    <row r="29" spans="1:37" x14ac:dyDescent="0.25">
      <c r="A29" s="19" t="s">
        <v>14</v>
      </c>
      <c r="B29" s="19">
        <v>3.08</v>
      </c>
      <c r="C29" s="19">
        <v>9.35</v>
      </c>
      <c r="D29" s="21">
        <v>0.58199999999999996</v>
      </c>
      <c r="E29" s="22">
        <v>269</v>
      </c>
      <c r="F29" s="21">
        <v>0.54300000000000004</v>
      </c>
      <c r="G29" s="21" t="s">
        <v>11</v>
      </c>
      <c r="H29" s="19" t="s">
        <v>11</v>
      </c>
      <c r="I29" s="19" t="s">
        <v>11</v>
      </c>
      <c r="J29" s="19" t="s">
        <v>11</v>
      </c>
      <c r="K29" s="30">
        <v>5.0999999999999997E-2</v>
      </c>
      <c r="L29" s="23">
        <v>0.35299999999999998</v>
      </c>
      <c r="M29" s="30">
        <v>6.8000000000000005E-2</v>
      </c>
      <c r="N29" s="19" t="s">
        <v>18</v>
      </c>
      <c r="O29" s="13"/>
      <c r="P29">
        <v>0.86799999999999999</v>
      </c>
      <c r="X29" s="16">
        <v>0.38500000000000001</v>
      </c>
      <c r="Y29" s="16"/>
      <c r="AC29" s="16">
        <v>0.35299999999999998</v>
      </c>
      <c r="AD29">
        <v>0.29499999999999998</v>
      </c>
      <c r="AI29">
        <v>2.85</v>
      </c>
      <c r="AJ29" s="16">
        <f t="shared" si="10"/>
        <v>0.24623999999999999</v>
      </c>
      <c r="AK29" t="str">
        <f t="shared" si="11"/>
        <v>0,25·10⁶</v>
      </c>
    </row>
    <row r="30" spans="1:37" x14ac:dyDescent="0.25">
      <c r="A30" s="19" t="s">
        <v>15</v>
      </c>
      <c r="B30" s="19">
        <v>4.0199999999999996</v>
      </c>
      <c r="C30" s="19">
        <v>18.8</v>
      </c>
      <c r="D30" s="21">
        <v>0.3</v>
      </c>
      <c r="E30" s="22">
        <v>1371</v>
      </c>
      <c r="F30" s="21">
        <v>2.29</v>
      </c>
      <c r="G30" s="21">
        <v>1.4999999999999999E-2</v>
      </c>
      <c r="H30" s="19">
        <v>2.0299999999999998</v>
      </c>
      <c r="I30" s="19">
        <v>0.02</v>
      </c>
      <c r="J30" s="19">
        <v>3.99</v>
      </c>
      <c r="K30" s="30">
        <v>0.24299999999999999</v>
      </c>
      <c r="L30" s="23">
        <v>0.26</v>
      </c>
      <c r="M30" s="30">
        <v>1.4999999999999999E-2</v>
      </c>
      <c r="N30" s="19" t="s">
        <v>18</v>
      </c>
      <c r="O30" s="13"/>
      <c r="P30">
        <v>0.214</v>
      </c>
      <c r="X30" s="16">
        <v>0.60199999999999998</v>
      </c>
      <c r="Y30" s="16"/>
      <c r="AC30" s="16">
        <v>0.253</v>
      </c>
      <c r="AD30">
        <v>5.1999999999999998E-2</v>
      </c>
      <c r="AI30">
        <v>2.8</v>
      </c>
      <c r="AJ30" s="16">
        <f t="shared" si="10"/>
        <v>0.24192</v>
      </c>
      <c r="AK30" t="str">
        <f t="shared" si="11"/>
        <v>0,24·10⁶</v>
      </c>
    </row>
    <row r="31" spans="1:37" x14ac:dyDescent="0.25">
      <c r="A31" s="24" t="s">
        <v>38</v>
      </c>
      <c r="B31" s="26">
        <f>AVERAGE(B26:B30)</f>
        <v>3.2960000000000003</v>
      </c>
      <c r="C31" s="25">
        <f t="shared" ref="C31:M31" si="12">AVERAGE(C26:C30)</f>
        <v>11.875999999999999</v>
      </c>
      <c r="D31" s="26">
        <f t="shared" si="12"/>
        <v>0.59679999999999989</v>
      </c>
      <c r="E31" s="27">
        <f t="shared" si="12"/>
        <v>1064.8</v>
      </c>
      <c r="F31" s="26">
        <f t="shared" si="12"/>
        <v>3.1025999999999998</v>
      </c>
      <c r="G31" s="26">
        <f t="shared" si="12"/>
        <v>0.23899999999999999</v>
      </c>
      <c r="H31" s="26">
        <f t="shared" si="12"/>
        <v>5.14</v>
      </c>
      <c r="I31" s="26">
        <f t="shared" si="12"/>
        <v>0.02</v>
      </c>
      <c r="J31" s="26">
        <f t="shared" si="12"/>
        <v>2.645</v>
      </c>
      <c r="K31" s="26">
        <f t="shared" si="12"/>
        <v>0.28559999999999997</v>
      </c>
      <c r="L31" s="26">
        <f t="shared" si="12"/>
        <v>0.32639999999999997</v>
      </c>
      <c r="M31" s="26">
        <f t="shared" si="12"/>
        <v>0.15040000000000003</v>
      </c>
      <c r="N31" s="24" t="s">
        <v>18</v>
      </c>
      <c r="O31" s="14"/>
      <c r="X31" s="16">
        <v>0.60599999999999998</v>
      </c>
      <c r="Y31" s="16"/>
      <c r="AD31">
        <v>0.25600000000000001</v>
      </c>
      <c r="AI31">
        <v>1.65</v>
      </c>
      <c r="AJ31" s="16">
        <f t="shared" si="10"/>
        <v>0.14255999999999999</v>
      </c>
      <c r="AK31" t="str">
        <f t="shared" si="11"/>
        <v>0,14·10⁶</v>
      </c>
    </row>
    <row r="32" spans="1:37" x14ac:dyDescent="0.25">
      <c r="X32" s="39">
        <f>AVERAGE(X27:X31)</f>
        <v>0.43019999999999997</v>
      </c>
      <c r="AI32">
        <v>0</v>
      </c>
      <c r="AJ32" s="39">
        <f>AVERAGE(AJ27:AJ31)</f>
        <v>0.72230399999999995</v>
      </c>
      <c r="AK32" t="str">
        <f t="shared" si="11"/>
        <v>0,72·10⁶</v>
      </c>
    </row>
    <row r="33" spans="1:35" x14ac:dyDescent="0.25">
      <c r="X33" s="17">
        <v>25.1</v>
      </c>
      <c r="Y33" s="17">
        <v>16.899999999999999</v>
      </c>
      <c r="AI33">
        <v>0</v>
      </c>
    </row>
    <row r="34" spans="1:35" x14ac:dyDescent="0.25">
      <c r="N34" s="15" t="s">
        <v>105</v>
      </c>
      <c r="X34" s="17">
        <v>31.3</v>
      </c>
      <c r="Y34" s="17">
        <v>12.8</v>
      </c>
      <c r="AI34">
        <v>0</v>
      </c>
    </row>
    <row r="35" spans="1:35" x14ac:dyDescent="0.25">
      <c r="N35" s="15" t="s">
        <v>100</v>
      </c>
      <c r="X35" s="17">
        <v>41.6</v>
      </c>
      <c r="Y35" s="37">
        <v>9.94</v>
      </c>
      <c r="AI35">
        <v>0</v>
      </c>
    </row>
    <row r="36" spans="1:35" x14ac:dyDescent="0.25">
      <c r="N36" s="15" t="s">
        <v>101</v>
      </c>
      <c r="X36" s="17">
        <v>59</v>
      </c>
      <c r="Y36" s="37">
        <v>4.0199999999999996</v>
      </c>
      <c r="AI36">
        <v>0</v>
      </c>
    </row>
    <row r="37" spans="1:35" x14ac:dyDescent="0.25">
      <c r="N37" s="15" t="s">
        <v>102</v>
      </c>
      <c r="X37" s="17">
        <v>63.7</v>
      </c>
      <c r="Y37" s="37">
        <v>7.32</v>
      </c>
      <c r="AI37">
        <v>4.4000000000000004</v>
      </c>
    </row>
    <row r="38" spans="1:35" x14ac:dyDescent="0.25">
      <c r="N38" s="15" t="s">
        <v>103</v>
      </c>
      <c r="AA38" s="38">
        <f>AVERAGE(Y33:Y37)</f>
        <v>10.196</v>
      </c>
      <c r="AI38">
        <v>0.79100000000000004</v>
      </c>
    </row>
    <row r="39" spans="1:35" x14ac:dyDescent="0.25">
      <c r="N39" s="15" t="s">
        <v>104</v>
      </c>
      <c r="X39" s="16">
        <v>2E-3</v>
      </c>
      <c r="Y39" s="16">
        <v>1.6E-2</v>
      </c>
      <c r="AI39">
        <v>0.13200000000000001</v>
      </c>
    </row>
    <row r="40" spans="1:35" x14ac:dyDescent="0.25">
      <c r="X40" s="16">
        <v>1.4999999999999999E-2</v>
      </c>
      <c r="Y40" s="16">
        <v>0.02</v>
      </c>
      <c r="AI40">
        <v>0.50600000000000001</v>
      </c>
    </row>
    <row r="41" spans="1:35" x14ac:dyDescent="0.25">
      <c r="N41" t="e">
        <f>AVERAGE(N35:N40)</f>
        <v>#DIV/0!</v>
      </c>
      <c r="X41" s="16">
        <v>7.0999999999999994E-2</v>
      </c>
      <c r="Y41" s="16">
        <v>1.9E-2</v>
      </c>
      <c r="AI41">
        <v>0.104</v>
      </c>
    </row>
    <row r="42" spans="1:35" x14ac:dyDescent="0.25">
      <c r="X42" s="16">
        <v>2.3E-2</v>
      </c>
      <c r="Y42" s="16">
        <v>2E-3</v>
      </c>
      <c r="AI42">
        <v>0.49099999999999999</v>
      </c>
    </row>
    <row r="43" spans="1:35" x14ac:dyDescent="0.25">
      <c r="X43" s="16">
        <v>8.5000000000000006E-2</v>
      </c>
      <c r="Y43" s="16">
        <v>2E-3</v>
      </c>
      <c r="AI43">
        <v>0.154</v>
      </c>
    </row>
    <row r="44" spans="1:35" x14ac:dyDescent="0.25">
      <c r="AI44">
        <v>2.4E-2</v>
      </c>
    </row>
    <row r="45" spans="1:35" x14ac:dyDescent="0.25">
      <c r="X45" s="16">
        <v>1</v>
      </c>
      <c r="Y45" s="16">
        <v>5.27</v>
      </c>
      <c r="AI45">
        <v>6.8000000000000005E-2</v>
      </c>
    </row>
    <row r="46" spans="1:35" x14ac:dyDescent="0.25">
      <c r="X46" s="16">
        <v>1</v>
      </c>
      <c r="Y46" s="16">
        <v>2.1800000000000002</v>
      </c>
      <c r="AI46">
        <v>1.4999999999999999E-2</v>
      </c>
    </row>
    <row r="47" spans="1:35" x14ac:dyDescent="0.25">
      <c r="A47" s="33" t="s">
        <v>0</v>
      </c>
      <c r="B47" s="33" t="s">
        <v>107</v>
      </c>
      <c r="C47" s="33" t="s">
        <v>1</v>
      </c>
      <c r="D47" s="34" t="s">
        <v>2</v>
      </c>
      <c r="E47" s="33" t="s">
        <v>3</v>
      </c>
      <c r="F47" s="34" t="s">
        <v>4</v>
      </c>
      <c r="G47" s="33" t="s">
        <v>5</v>
      </c>
      <c r="H47" s="33" t="s">
        <v>6</v>
      </c>
      <c r="I47" s="33" t="s">
        <v>7</v>
      </c>
      <c r="J47" s="33" t="s">
        <v>8</v>
      </c>
      <c r="K47" s="33" t="s">
        <v>108</v>
      </c>
      <c r="L47" s="33" t="s">
        <v>9</v>
      </c>
      <c r="M47" s="33"/>
      <c r="N47" s="33" t="s">
        <v>109</v>
      </c>
      <c r="X47" s="16">
        <v>1</v>
      </c>
      <c r="Y47" s="16">
        <v>2.4500000000000002</v>
      </c>
    </row>
    <row r="48" spans="1:35" x14ac:dyDescent="0.25">
      <c r="A48" t="s">
        <v>10</v>
      </c>
      <c r="B48">
        <v>10.7</v>
      </c>
      <c r="C48">
        <v>5.01</v>
      </c>
      <c r="D48" s="15">
        <v>2.1</v>
      </c>
      <c r="E48" t="s">
        <v>110</v>
      </c>
      <c r="F48" s="15">
        <v>1.87</v>
      </c>
      <c r="G48" t="s">
        <v>11</v>
      </c>
      <c r="H48" t="s">
        <v>11</v>
      </c>
      <c r="I48" t="s">
        <v>11</v>
      </c>
      <c r="J48" t="s">
        <v>11</v>
      </c>
      <c r="K48" s="15">
        <v>0.28699999999999998</v>
      </c>
      <c r="L48" s="15">
        <v>0.17</v>
      </c>
      <c r="M48" s="15"/>
      <c r="N48" t="s">
        <v>111</v>
      </c>
      <c r="X48" s="16">
        <v>1</v>
      </c>
      <c r="Y48" s="16">
        <v>0.4</v>
      </c>
    </row>
    <row r="49" spans="1:25" x14ac:dyDescent="0.25">
      <c r="A49" t="s">
        <v>12</v>
      </c>
      <c r="B49">
        <v>8.98</v>
      </c>
      <c r="C49">
        <v>4.79</v>
      </c>
      <c r="D49" s="15">
        <v>1.77</v>
      </c>
      <c r="E49" t="s">
        <v>112</v>
      </c>
      <c r="F49" s="15">
        <v>1.3</v>
      </c>
      <c r="G49">
        <v>9.5000000000000001E-2</v>
      </c>
      <c r="H49">
        <v>4.16</v>
      </c>
      <c r="I49">
        <v>3.2000000000000001E-2</v>
      </c>
      <c r="J49">
        <v>2.1</v>
      </c>
      <c r="K49" s="15">
        <v>0.36</v>
      </c>
      <c r="L49" s="15">
        <v>0.127</v>
      </c>
      <c r="M49" s="15"/>
      <c r="N49" t="s">
        <v>111</v>
      </c>
      <c r="X49" s="16">
        <v>1</v>
      </c>
      <c r="Y49" s="16">
        <v>1.9</v>
      </c>
    </row>
    <row r="50" spans="1:25" x14ac:dyDescent="0.25">
      <c r="A50" t="s">
        <v>13</v>
      </c>
      <c r="B50">
        <v>11.4</v>
      </c>
      <c r="C50">
        <v>4.42</v>
      </c>
      <c r="D50" s="15">
        <v>1.4</v>
      </c>
      <c r="E50" t="s">
        <v>113</v>
      </c>
      <c r="F50" s="15">
        <v>0.89</v>
      </c>
      <c r="G50">
        <v>0.39500000000000002</v>
      </c>
      <c r="H50">
        <v>2.96</v>
      </c>
      <c r="I50" t="s">
        <v>11</v>
      </c>
      <c r="J50" t="s">
        <v>11</v>
      </c>
      <c r="K50" s="15">
        <v>0.43</v>
      </c>
      <c r="L50" s="15">
        <v>9.5000000000000001E-2</v>
      </c>
      <c r="M50" s="15"/>
      <c r="N50" t="s">
        <v>111</v>
      </c>
      <c r="S50">
        <v>17</v>
      </c>
    </row>
    <row r="51" spans="1:25" x14ac:dyDescent="0.25">
      <c r="A51" t="s">
        <v>14</v>
      </c>
      <c r="B51">
        <v>9.4</v>
      </c>
      <c r="C51">
        <v>4.87</v>
      </c>
      <c r="D51" s="15">
        <v>1.1599999999999999</v>
      </c>
      <c r="E51" t="s">
        <v>114</v>
      </c>
      <c r="F51" s="15">
        <v>0.34899999999999998</v>
      </c>
      <c r="G51" t="s">
        <v>11</v>
      </c>
      <c r="H51" t="s">
        <v>11</v>
      </c>
      <c r="I51" t="s">
        <v>11</v>
      </c>
      <c r="J51" t="s">
        <v>11</v>
      </c>
      <c r="K51" s="15">
        <v>0.66700000000000004</v>
      </c>
      <c r="L51" s="15">
        <v>4.2999999999999997E-2</v>
      </c>
      <c r="M51" s="15"/>
      <c r="N51" t="s">
        <v>111</v>
      </c>
      <c r="S51">
        <v>13</v>
      </c>
      <c r="X51" s="16">
        <v>0.32200000000000001</v>
      </c>
      <c r="Y51" s="16">
        <v>0.58299999999999996</v>
      </c>
    </row>
    <row r="52" spans="1:25" x14ac:dyDescent="0.25">
      <c r="A52" t="s">
        <v>15</v>
      </c>
      <c r="B52">
        <v>10.7</v>
      </c>
      <c r="C52">
        <v>10.1</v>
      </c>
      <c r="D52" s="35">
        <v>1.21</v>
      </c>
      <c r="E52" t="s">
        <v>115</v>
      </c>
      <c r="F52" s="35">
        <v>0.60499999999999998</v>
      </c>
      <c r="G52">
        <v>3.6999999999999998E-2</v>
      </c>
      <c r="H52">
        <v>2.42</v>
      </c>
      <c r="I52">
        <v>2.4E-2</v>
      </c>
      <c r="J52">
        <v>3.18</v>
      </c>
      <c r="K52" s="35">
        <v>0.68200000000000005</v>
      </c>
      <c r="L52" s="35">
        <v>7.4999999999999997E-2</v>
      </c>
      <c r="M52" s="35"/>
      <c r="N52" t="s">
        <v>111</v>
      </c>
      <c r="S52">
        <v>10.199999999999999</v>
      </c>
      <c r="X52" s="16">
        <v>0.32300000000000001</v>
      </c>
      <c r="Y52" s="16">
        <v>0.26</v>
      </c>
    </row>
    <row r="53" spans="1:25" x14ac:dyDescent="0.25">
      <c r="D53" s="15"/>
      <c r="F53" s="15"/>
      <c r="K53" s="15"/>
      <c r="L53" s="15"/>
      <c r="M53" s="15"/>
      <c r="S53">
        <v>4.1900000000000004</v>
      </c>
      <c r="X53" s="16">
        <v>0.33800000000000002</v>
      </c>
      <c r="Y53" s="16">
        <v>0.29099999999999998</v>
      </c>
    </row>
    <row r="54" spans="1:25" x14ac:dyDescent="0.25">
      <c r="A54" t="s">
        <v>10</v>
      </c>
      <c r="B54" t="s">
        <v>116</v>
      </c>
      <c r="C54" t="s">
        <v>117</v>
      </c>
      <c r="D54" s="15"/>
      <c r="E54" t="s">
        <v>118</v>
      </c>
      <c r="F54" s="15"/>
      <c r="G54">
        <v>0</v>
      </c>
      <c r="H54">
        <v>0</v>
      </c>
      <c r="I54">
        <v>0</v>
      </c>
      <c r="J54">
        <v>0</v>
      </c>
      <c r="K54" s="15"/>
      <c r="L54" s="15"/>
      <c r="M54" s="15"/>
      <c r="N54" t="s">
        <v>119</v>
      </c>
      <c r="P54">
        <f>L54*60*60*24/1000000</f>
        <v>0</v>
      </c>
      <c r="S54">
        <v>7.85</v>
      </c>
      <c r="X54" s="16">
        <v>0.373</v>
      </c>
      <c r="Y54" s="16">
        <v>5.0999999999999997E-2</v>
      </c>
    </row>
    <row r="55" spans="1:25" x14ac:dyDescent="0.25">
      <c r="A55" t="s">
        <v>12</v>
      </c>
      <c r="B55" t="s">
        <v>120</v>
      </c>
      <c r="C55" t="s">
        <v>121</v>
      </c>
      <c r="D55" s="15"/>
      <c r="E55" t="s">
        <v>122</v>
      </c>
      <c r="F55" s="15"/>
      <c r="G55">
        <v>1.52</v>
      </c>
      <c r="H55">
        <v>66.599999999999994</v>
      </c>
      <c r="I55">
        <v>0.25700000000000001</v>
      </c>
      <c r="J55">
        <v>16.8</v>
      </c>
      <c r="K55" s="15"/>
      <c r="L55" s="15"/>
      <c r="M55" s="15"/>
      <c r="N55" t="s">
        <v>119</v>
      </c>
      <c r="P55">
        <f t="shared" ref="P55:P58" si="13">L55*60*60*24/1000000</f>
        <v>0</v>
      </c>
      <c r="S55">
        <f>AVERAGE(S50:S54)</f>
        <v>10.448</v>
      </c>
      <c r="X55" s="16">
        <v>0.35299999999999998</v>
      </c>
      <c r="Y55" s="16">
        <v>0.24299999999999999</v>
      </c>
    </row>
    <row r="56" spans="1:25" x14ac:dyDescent="0.25">
      <c r="A56" t="s">
        <v>13</v>
      </c>
      <c r="B56" t="s">
        <v>123</v>
      </c>
      <c r="C56" t="s">
        <v>124</v>
      </c>
      <c r="D56" s="15"/>
      <c r="E56" t="s">
        <v>125</v>
      </c>
      <c r="F56" s="15"/>
      <c r="G56">
        <v>6.32</v>
      </c>
      <c r="H56">
        <v>77</v>
      </c>
      <c r="I56">
        <v>0</v>
      </c>
      <c r="J56">
        <v>0</v>
      </c>
      <c r="K56" s="15"/>
      <c r="L56" s="15"/>
      <c r="M56" s="15"/>
      <c r="N56" t="s">
        <v>119</v>
      </c>
      <c r="P56">
        <f t="shared" si="13"/>
        <v>0</v>
      </c>
    </row>
    <row r="57" spans="1:25" x14ac:dyDescent="0.25">
      <c r="A57" t="s">
        <v>14</v>
      </c>
      <c r="B57" t="s">
        <v>126</v>
      </c>
      <c r="C57" t="s">
        <v>110</v>
      </c>
      <c r="D57" s="15"/>
      <c r="E57" t="s">
        <v>127</v>
      </c>
      <c r="F57" s="15"/>
      <c r="G57">
        <v>0</v>
      </c>
      <c r="H57">
        <v>0</v>
      </c>
      <c r="I57">
        <v>0</v>
      </c>
      <c r="J57">
        <v>0</v>
      </c>
      <c r="K57" s="15"/>
      <c r="L57" s="15"/>
      <c r="M57" s="15"/>
      <c r="N57" t="s">
        <v>119</v>
      </c>
      <c r="P57">
        <f t="shared" si="13"/>
        <v>0</v>
      </c>
    </row>
    <row r="58" spans="1:25" x14ac:dyDescent="0.25">
      <c r="A58" t="s">
        <v>15</v>
      </c>
      <c r="B58" t="s">
        <v>128</v>
      </c>
      <c r="C58" t="s">
        <v>129</v>
      </c>
      <c r="D58" s="35"/>
      <c r="E58" t="s">
        <v>130</v>
      </c>
      <c r="F58" s="35"/>
      <c r="G58">
        <v>0.37</v>
      </c>
      <c r="H58">
        <v>24.2</v>
      </c>
      <c r="I58">
        <v>0.22</v>
      </c>
      <c r="J58">
        <v>28.6</v>
      </c>
      <c r="K58" s="35"/>
      <c r="L58" s="35"/>
      <c r="M58" s="35"/>
      <c r="N58" t="s">
        <v>119</v>
      </c>
      <c r="P58">
        <f t="shared" si="13"/>
        <v>0</v>
      </c>
    </row>
    <row r="59" spans="1:25" x14ac:dyDescent="0.25">
      <c r="D59" s="15"/>
      <c r="F59" s="15"/>
      <c r="K59" s="15"/>
      <c r="L59" s="15"/>
      <c r="M59" s="15"/>
      <c r="P59" t="e">
        <f>AVERAGE(L54:L58)</f>
        <v>#DIV/0!</v>
      </c>
    </row>
    <row r="60" spans="1:25" x14ac:dyDescent="0.25">
      <c r="A60" t="s">
        <v>10</v>
      </c>
      <c r="B60">
        <v>4.9000000000000004</v>
      </c>
      <c r="C60">
        <v>0</v>
      </c>
      <c r="D60" s="15">
        <v>0.42</v>
      </c>
      <c r="E60" t="s">
        <v>131</v>
      </c>
      <c r="F60" s="15">
        <v>0.09</v>
      </c>
      <c r="G60" t="s">
        <v>11</v>
      </c>
      <c r="H60" t="s">
        <v>11</v>
      </c>
      <c r="I60" t="s">
        <v>11</v>
      </c>
      <c r="J60" t="s">
        <v>11</v>
      </c>
      <c r="K60" s="15">
        <v>1E-3</v>
      </c>
      <c r="L60" s="15">
        <v>1.6E-2</v>
      </c>
      <c r="M60" s="15"/>
      <c r="N60" t="s">
        <v>16</v>
      </c>
    </row>
    <row r="61" spans="1:25" x14ac:dyDescent="0.25">
      <c r="A61" t="s">
        <v>12</v>
      </c>
      <c r="B61">
        <v>-2.7</v>
      </c>
      <c r="C61">
        <v>0</v>
      </c>
      <c r="D61" s="15">
        <v>0.53</v>
      </c>
      <c r="E61" t="s">
        <v>132</v>
      </c>
      <c r="F61" s="15">
        <v>0.114</v>
      </c>
      <c r="G61">
        <v>0.01</v>
      </c>
      <c r="H61">
        <v>0.56200000000000006</v>
      </c>
      <c r="I61">
        <v>0.01</v>
      </c>
      <c r="J61">
        <v>0.49399999999999999</v>
      </c>
      <c r="K61" s="15">
        <v>1.0999999999999999E-2</v>
      </c>
      <c r="L61" s="15">
        <v>0.02</v>
      </c>
      <c r="M61" s="15"/>
      <c r="N61" t="s">
        <v>16</v>
      </c>
    </row>
    <row r="62" spans="1:25" x14ac:dyDescent="0.25">
      <c r="A62" t="s">
        <v>13</v>
      </c>
      <c r="B62">
        <v>2.7</v>
      </c>
      <c r="C62">
        <v>0</v>
      </c>
      <c r="D62" s="15">
        <v>0.50900000000000001</v>
      </c>
      <c r="E62" t="s">
        <v>132</v>
      </c>
      <c r="F62" s="15">
        <v>0.109</v>
      </c>
      <c r="G62">
        <v>4.7E-2</v>
      </c>
      <c r="H62">
        <v>0</v>
      </c>
      <c r="I62" t="s">
        <v>11</v>
      </c>
      <c r="J62" t="s">
        <v>11</v>
      </c>
      <c r="K62" s="15">
        <v>7.0999999999999994E-2</v>
      </c>
      <c r="L62" s="15">
        <v>1.9E-2</v>
      </c>
      <c r="M62" s="15"/>
      <c r="N62" t="s">
        <v>16</v>
      </c>
    </row>
    <row r="63" spans="1:25" x14ac:dyDescent="0.25">
      <c r="A63" t="s">
        <v>14</v>
      </c>
      <c r="B63">
        <v>2.14</v>
      </c>
      <c r="C63">
        <v>0</v>
      </c>
      <c r="D63" s="15">
        <v>0.06</v>
      </c>
      <c r="E63" t="s">
        <v>131</v>
      </c>
      <c r="F63" s="15">
        <v>1.2999999999999999E-2</v>
      </c>
      <c r="G63" t="s">
        <v>11</v>
      </c>
      <c r="H63" t="s">
        <v>11</v>
      </c>
      <c r="I63" t="s">
        <v>11</v>
      </c>
      <c r="J63" t="s">
        <v>11</v>
      </c>
      <c r="K63" s="15">
        <v>1.7999999999999999E-2</v>
      </c>
      <c r="L63" s="15">
        <v>2E-3</v>
      </c>
      <c r="M63" s="15"/>
      <c r="N63" t="s">
        <v>16</v>
      </c>
    </row>
    <row r="64" spans="1:25" x14ac:dyDescent="0.25">
      <c r="A64" t="s">
        <v>15</v>
      </c>
      <c r="B64">
        <v>-1.1299999999999999</v>
      </c>
      <c r="C64">
        <v>0</v>
      </c>
      <c r="D64" s="35">
        <v>0.58399999999999996</v>
      </c>
      <c r="E64">
        <v>14.2</v>
      </c>
      <c r="F64" s="35">
        <v>1.0999999999999999E-2</v>
      </c>
      <c r="G64">
        <v>0.02</v>
      </c>
      <c r="H64">
        <v>0.25</v>
      </c>
      <c r="I64">
        <v>0.01</v>
      </c>
      <c r="J64">
        <v>0.32</v>
      </c>
      <c r="K64" s="35">
        <v>8.7999999999999995E-2</v>
      </c>
      <c r="L64" s="35">
        <v>2E-3</v>
      </c>
      <c r="M64" s="35"/>
      <c r="N64" t="s">
        <v>16</v>
      </c>
    </row>
    <row r="65" spans="1:14" x14ac:dyDescent="0.25">
      <c r="D65" s="15"/>
      <c r="F65" s="15"/>
      <c r="K65" s="15"/>
      <c r="L65" s="15"/>
      <c r="M65" s="15"/>
    </row>
    <row r="66" spans="1:14" x14ac:dyDescent="0.25">
      <c r="A66" t="s">
        <v>10</v>
      </c>
      <c r="B66">
        <v>16.8</v>
      </c>
      <c r="C66">
        <v>56.9</v>
      </c>
      <c r="D66" s="15">
        <v>7.01</v>
      </c>
      <c r="E66" t="s">
        <v>133</v>
      </c>
      <c r="F66" s="15">
        <v>60.8</v>
      </c>
      <c r="G66" t="s">
        <v>11</v>
      </c>
      <c r="H66" t="s">
        <v>11</v>
      </c>
      <c r="I66" t="s">
        <v>11</v>
      </c>
      <c r="J66" t="s">
        <v>11</v>
      </c>
      <c r="K66" s="15">
        <v>1</v>
      </c>
      <c r="L66" s="15">
        <v>5.26</v>
      </c>
      <c r="M66" s="15"/>
      <c r="N66" t="s">
        <v>17</v>
      </c>
    </row>
    <row r="67" spans="1:14" x14ac:dyDescent="0.25">
      <c r="A67" t="s">
        <v>12</v>
      </c>
      <c r="B67">
        <v>15.3</v>
      </c>
      <c r="C67">
        <v>40.299999999999997</v>
      </c>
      <c r="D67" s="15">
        <v>3.67</v>
      </c>
      <c r="E67" t="s">
        <v>134</v>
      </c>
      <c r="F67" s="15">
        <v>24.8</v>
      </c>
      <c r="G67">
        <v>0.53700000000000003</v>
      </c>
      <c r="H67">
        <v>10</v>
      </c>
      <c r="I67">
        <v>5.8999999999999997E-2</v>
      </c>
      <c r="J67">
        <v>3.86</v>
      </c>
      <c r="K67" s="15">
        <v>1</v>
      </c>
      <c r="L67" s="15">
        <v>2.17</v>
      </c>
      <c r="M67" s="15"/>
      <c r="N67" t="s">
        <v>17</v>
      </c>
    </row>
    <row r="68" spans="1:14" x14ac:dyDescent="0.25">
      <c r="A68" t="s">
        <v>13</v>
      </c>
      <c r="B68">
        <v>17.600000000000001</v>
      </c>
      <c r="C68">
        <v>97.2</v>
      </c>
      <c r="D68" s="15">
        <v>2.19</v>
      </c>
      <c r="E68" t="s">
        <v>135</v>
      </c>
      <c r="F68" s="15">
        <v>26</v>
      </c>
      <c r="G68">
        <v>1.93</v>
      </c>
      <c r="H68">
        <v>52.5</v>
      </c>
      <c r="I68" t="s">
        <v>11</v>
      </c>
      <c r="J68" t="s">
        <v>11</v>
      </c>
      <c r="K68" s="15">
        <v>1</v>
      </c>
      <c r="L68" s="15">
        <v>2.4700000000000002</v>
      </c>
      <c r="M68" s="15"/>
      <c r="N68" t="s">
        <v>17</v>
      </c>
    </row>
    <row r="69" spans="1:14" x14ac:dyDescent="0.25">
      <c r="A69" t="s">
        <v>14</v>
      </c>
      <c r="B69">
        <v>18.100000000000001</v>
      </c>
      <c r="C69">
        <v>40.9</v>
      </c>
      <c r="D69" s="15">
        <v>3.17</v>
      </c>
      <c r="E69" t="s">
        <v>136</v>
      </c>
      <c r="F69" s="15">
        <v>4.2699999999999996</v>
      </c>
      <c r="G69" t="s">
        <v>11</v>
      </c>
      <c r="H69" t="s">
        <v>11</v>
      </c>
      <c r="I69" t="s">
        <v>11</v>
      </c>
      <c r="J69" t="s">
        <v>11</v>
      </c>
      <c r="K69" s="15">
        <v>1</v>
      </c>
      <c r="L69" s="15">
        <v>0.40100000000000002</v>
      </c>
      <c r="M69" s="15"/>
      <c r="N69" t="s">
        <v>17</v>
      </c>
    </row>
    <row r="70" spans="1:14" x14ac:dyDescent="0.25">
      <c r="A70" t="s">
        <v>15</v>
      </c>
      <c r="B70">
        <v>19.3</v>
      </c>
      <c r="C70" t="s">
        <v>137</v>
      </c>
      <c r="D70" s="35">
        <v>2.0699999999999998</v>
      </c>
      <c r="E70" t="s">
        <v>138</v>
      </c>
      <c r="F70" s="35">
        <v>19.3</v>
      </c>
      <c r="G70">
        <v>0.06</v>
      </c>
      <c r="H70">
        <v>7.62</v>
      </c>
      <c r="I70">
        <v>0.06</v>
      </c>
      <c r="J70">
        <v>12.8</v>
      </c>
      <c r="K70" s="35">
        <v>1</v>
      </c>
      <c r="L70" s="35">
        <v>1.93</v>
      </c>
      <c r="M70" s="35"/>
      <c r="N70" t="s">
        <v>17</v>
      </c>
    </row>
    <row r="71" spans="1:14" x14ac:dyDescent="0.25">
      <c r="D71" s="15"/>
      <c r="F71" s="15"/>
      <c r="K71" s="15"/>
      <c r="L71" s="15"/>
      <c r="M71" s="15"/>
    </row>
    <row r="72" spans="1:14" x14ac:dyDescent="0.25">
      <c r="A72" t="s">
        <v>10</v>
      </c>
      <c r="B72">
        <v>2.74</v>
      </c>
      <c r="C72">
        <v>10.3</v>
      </c>
      <c r="D72" s="15">
        <v>0.99199999999999999</v>
      </c>
      <c r="E72" t="s">
        <v>139</v>
      </c>
      <c r="F72" s="15">
        <v>6.73</v>
      </c>
      <c r="G72" t="s">
        <v>11</v>
      </c>
      <c r="H72" t="s">
        <v>11</v>
      </c>
      <c r="I72" t="s">
        <v>11</v>
      </c>
      <c r="J72" t="s">
        <v>11</v>
      </c>
      <c r="K72" s="15">
        <v>0.34599999999999997</v>
      </c>
      <c r="L72" s="15">
        <v>0.58099999999999996</v>
      </c>
      <c r="M72" s="15"/>
      <c r="N72" t="s">
        <v>18</v>
      </c>
    </row>
    <row r="73" spans="1:14" x14ac:dyDescent="0.25">
      <c r="A73" t="s">
        <v>12</v>
      </c>
      <c r="B73">
        <v>3.46</v>
      </c>
      <c r="C73">
        <v>9.23</v>
      </c>
      <c r="D73" s="15">
        <v>0.70699999999999996</v>
      </c>
      <c r="E73" t="s">
        <v>140</v>
      </c>
      <c r="F73" s="15">
        <v>2.93</v>
      </c>
      <c r="G73">
        <v>0.129</v>
      </c>
      <c r="H73">
        <v>3.19</v>
      </c>
      <c r="I73">
        <v>0.02</v>
      </c>
      <c r="J73">
        <v>1.3</v>
      </c>
      <c r="K73" s="15">
        <v>0.34799999999999998</v>
      </c>
      <c r="L73" s="15">
        <v>0.26</v>
      </c>
      <c r="M73" s="15"/>
      <c r="N73" t="s">
        <v>18</v>
      </c>
    </row>
    <row r="74" spans="1:14" x14ac:dyDescent="0.25">
      <c r="A74" t="s">
        <v>13</v>
      </c>
      <c r="B74">
        <v>3.18</v>
      </c>
      <c r="C74">
        <v>11.7</v>
      </c>
      <c r="D74" s="15">
        <v>0.40300000000000002</v>
      </c>
      <c r="E74" t="s">
        <v>141</v>
      </c>
      <c r="F74" s="15">
        <v>3.02</v>
      </c>
      <c r="G74">
        <v>0.57299999999999995</v>
      </c>
      <c r="H74">
        <v>10.199999999999999</v>
      </c>
      <c r="I74" t="s">
        <v>11</v>
      </c>
      <c r="J74" t="s">
        <v>11</v>
      </c>
      <c r="K74" s="15">
        <v>0.32500000000000001</v>
      </c>
      <c r="L74" s="15">
        <v>0.29499999999999998</v>
      </c>
      <c r="M74" s="15"/>
      <c r="N74" t="s">
        <v>18</v>
      </c>
    </row>
    <row r="75" spans="1:14" x14ac:dyDescent="0.25">
      <c r="A75" t="s">
        <v>14</v>
      </c>
      <c r="B75">
        <v>3.08</v>
      </c>
      <c r="C75">
        <v>9.35</v>
      </c>
      <c r="D75" s="15">
        <v>0.58199999999999996</v>
      </c>
      <c r="E75" t="s">
        <v>142</v>
      </c>
      <c r="F75" s="15">
        <v>0.54300000000000004</v>
      </c>
      <c r="G75" t="s">
        <v>11</v>
      </c>
      <c r="H75" t="s">
        <v>11</v>
      </c>
      <c r="I75" t="s">
        <v>11</v>
      </c>
      <c r="J75" t="s">
        <v>11</v>
      </c>
      <c r="K75" s="15">
        <v>0.35299999999999998</v>
      </c>
      <c r="L75" s="15">
        <v>5.1999999999999998E-2</v>
      </c>
      <c r="M75" s="15"/>
      <c r="N75" t="s">
        <v>18</v>
      </c>
    </row>
    <row r="76" spans="1:14" x14ac:dyDescent="0.25">
      <c r="A76" t="s">
        <v>15</v>
      </c>
      <c r="B76">
        <v>4.0199999999999996</v>
      </c>
      <c r="C76">
        <v>18.8</v>
      </c>
      <c r="D76" s="35">
        <v>0.30199999999999999</v>
      </c>
      <c r="E76" t="s">
        <v>143</v>
      </c>
      <c r="F76" s="35">
        <v>2.29</v>
      </c>
      <c r="G76">
        <v>1.4999999999999999E-2</v>
      </c>
      <c r="H76">
        <v>2.0299999999999998</v>
      </c>
      <c r="I76">
        <v>0.02</v>
      </c>
      <c r="J76">
        <v>3.99</v>
      </c>
      <c r="K76" s="35">
        <v>0.32600000000000001</v>
      </c>
      <c r="L76" s="35">
        <v>0.25900000000000001</v>
      </c>
      <c r="M76" s="35"/>
      <c r="N76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85" zoomScaleNormal="85" workbookViewId="0">
      <selection activeCell="B2" sqref="B2:B43"/>
    </sheetView>
  </sheetViews>
  <sheetFormatPr defaultRowHeight="15" x14ac:dyDescent="0.25"/>
  <sheetData>
    <row r="1" spans="1:12" x14ac:dyDescent="0.25">
      <c r="A1" t="s">
        <v>40</v>
      </c>
      <c r="B1" t="s">
        <v>39</v>
      </c>
      <c r="C1" t="s">
        <v>41</v>
      </c>
      <c r="D1" t="s">
        <v>42</v>
      </c>
      <c r="E1" t="s">
        <v>43</v>
      </c>
      <c r="F1" t="s">
        <v>80</v>
      </c>
      <c r="G1" t="s">
        <v>81</v>
      </c>
      <c r="H1" t="s">
        <v>82</v>
      </c>
      <c r="I1" t="s">
        <v>83</v>
      </c>
      <c r="J1" t="s">
        <v>86</v>
      </c>
      <c r="K1" t="s">
        <v>85</v>
      </c>
      <c r="L1" t="s">
        <v>91</v>
      </c>
    </row>
    <row r="2" spans="1:12" ht="15.75" thickBot="1" x14ac:dyDescent="0.3">
      <c r="A2" s="8" t="s">
        <v>44</v>
      </c>
      <c r="B2" s="9">
        <v>8.4911089999999995E-2</v>
      </c>
      <c r="C2" s="9">
        <v>0.51419749999999997</v>
      </c>
      <c r="D2" s="9">
        <v>1.59</v>
      </c>
      <c r="E2" s="10">
        <v>0.59910859000000005</v>
      </c>
      <c r="F2">
        <f>IF(D2 &lt; 2,E2, "")</f>
        <v>0.59910859000000005</v>
      </c>
      <c r="H2">
        <f>IF(D2 &lt; 2,B2,)</f>
        <v>8.4911089999999995E-2</v>
      </c>
      <c r="I2" t="str">
        <f t="shared" ref="I2:I8" si="0">IF(D2 &gt; 2,B2,"")</f>
        <v/>
      </c>
      <c r="J2">
        <v>0</v>
      </c>
      <c r="K2">
        <v>0</v>
      </c>
      <c r="L2">
        <f>B2/(B2+C2)</f>
        <v>0.14172904781752504</v>
      </c>
    </row>
    <row r="3" spans="1:12" ht="15.75" thickBot="1" x14ac:dyDescent="0.3">
      <c r="A3" s="8" t="s">
        <v>45</v>
      </c>
      <c r="B3" s="9">
        <v>0.13526750000000001</v>
      </c>
      <c r="C3" s="9">
        <v>0.34211465000000002</v>
      </c>
      <c r="D3" s="9">
        <v>1.6</v>
      </c>
      <c r="E3" s="10">
        <v>0.47738215000000001</v>
      </c>
      <c r="F3">
        <f t="shared" ref="F3:F43" si="1">IF(D3 &lt; 2,E3, "")</f>
        <v>0.47738215000000001</v>
      </c>
      <c r="H3">
        <f t="shared" ref="H3:H43" si="2">IF(D3 &lt; 2,B3,)</f>
        <v>0.13526750000000001</v>
      </c>
      <c r="I3" t="str">
        <f t="shared" si="0"/>
        <v/>
      </c>
      <c r="J3">
        <v>7.5999999999999998E-2</v>
      </c>
      <c r="K3">
        <f>MIN(D:D)</f>
        <v>0.95423389999999997</v>
      </c>
      <c r="L3">
        <f t="shared" ref="L3:L43" si="3">B3/(B3+C3)</f>
        <v>0.28335265572874896</v>
      </c>
    </row>
    <row r="4" spans="1:12" ht="15.75" thickBot="1" x14ac:dyDescent="0.3">
      <c r="A4" s="8" t="s">
        <v>46</v>
      </c>
      <c r="B4" s="9">
        <v>3.1872869999999998E-2</v>
      </c>
      <c r="C4" s="9">
        <v>0.35252170999999999</v>
      </c>
      <c r="D4" s="9">
        <v>1.65</v>
      </c>
      <c r="E4" s="10">
        <v>0.38439456999999999</v>
      </c>
      <c r="F4">
        <f t="shared" si="1"/>
        <v>0.38439456999999999</v>
      </c>
      <c r="H4">
        <f t="shared" si="2"/>
        <v>3.1872869999999998E-2</v>
      </c>
      <c r="I4" t="str">
        <f t="shared" si="0"/>
        <v/>
      </c>
      <c r="L4">
        <f t="shared" si="3"/>
        <v>8.2917064023119158E-2</v>
      </c>
    </row>
    <row r="5" spans="1:12" ht="15.75" thickBot="1" x14ac:dyDescent="0.3">
      <c r="A5" s="8" t="s">
        <v>46</v>
      </c>
      <c r="B5" s="9">
        <v>1.9109999999999999E-2</v>
      </c>
      <c r="C5" s="9">
        <v>0.35252170999999999</v>
      </c>
      <c r="D5" s="9">
        <v>1.65</v>
      </c>
      <c r="E5" s="10">
        <v>0.37163171</v>
      </c>
      <c r="F5">
        <f t="shared" si="1"/>
        <v>0.37163171</v>
      </c>
      <c r="H5">
        <f t="shared" si="2"/>
        <v>1.9109999999999999E-2</v>
      </c>
      <c r="I5" t="str">
        <f t="shared" si="0"/>
        <v/>
      </c>
      <c r="L5">
        <f t="shared" si="3"/>
        <v>5.142187678225843E-2</v>
      </c>
    </row>
    <row r="6" spans="1:12" ht="15.75" thickBot="1" x14ac:dyDescent="0.3">
      <c r="A6" s="8" t="s">
        <v>47</v>
      </c>
      <c r="B6" s="9">
        <v>9.8599999999999993E-2</v>
      </c>
      <c r="C6" s="9">
        <v>0.33555723999999998</v>
      </c>
      <c r="D6" s="9">
        <v>1.57</v>
      </c>
      <c r="E6" s="10">
        <v>0.43415724</v>
      </c>
      <c r="F6">
        <f t="shared" si="1"/>
        <v>0.43415724</v>
      </c>
      <c r="H6">
        <f t="shared" si="2"/>
        <v>9.8599999999999993E-2</v>
      </c>
      <c r="I6" t="str">
        <f t="shared" si="0"/>
        <v/>
      </c>
      <c r="L6">
        <f t="shared" si="3"/>
        <v>0.22710665840790767</v>
      </c>
    </row>
    <row r="7" spans="1:12" ht="15.75" thickBot="1" x14ac:dyDescent="0.3">
      <c r="A7" s="8" t="s">
        <v>48</v>
      </c>
      <c r="B7" s="9">
        <v>5.1999999999999998E-2</v>
      </c>
      <c r="C7" s="9">
        <v>0.41024515</v>
      </c>
      <c r="D7" s="9">
        <v>1.8</v>
      </c>
      <c r="E7" s="10">
        <v>0.46224514999999999</v>
      </c>
      <c r="F7">
        <f t="shared" si="1"/>
        <v>0.46224514999999999</v>
      </c>
      <c r="H7">
        <f t="shared" si="2"/>
        <v>5.1999999999999998E-2</v>
      </c>
      <c r="I7" t="str">
        <f t="shared" si="0"/>
        <v/>
      </c>
      <c r="L7">
        <f t="shared" si="3"/>
        <v>0.11249441989818605</v>
      </c>
    </row>
    <row r="8" spans="1:12" ht="15.75" thickBot="1" x14ac:dyDescent="0.3">
      <c r="A8" s="8" t="s">
        <v>48</v>
      </c>
      <c r="B8" s="9">
        <v>1.008E-2</v>
      </c>
      <c r="C8" s="9">
        <v>0.41024515</v>
      </c>
      <c r="D8" s="9">
        <v>1.8</v>
      </c>
      <c r="E8" s="10">
        <v>0.42032514999999998</v>
      </c>
      <c r="F8">
        <f t="shared" si="1"/>
        <v>0.42032514999999998</v>
      </c>
      <c r="H8">
        <f t="shared" si="2"/>
        <v>1.008E-2</v>
      </c>
      <c r="I8" t="str">
        <f t="shared" si="0"/>
        <v/>
      </c>
      <c r="L8">
        <f t="shared" si="3"/>
        <v>2.3981434372889656E-2</v>
      </c>
    </row>
    <row r="9" spans="1:12" ht="15.75" thickBot="1" x14ac:dyDescent="0.3">
      <c r="A9" s="8" t="s">
        <v>49</v>
      </c>
      <c r="B9" s="9">
        <v>0.21290799999999999</v>
      </c>
      <c r="C9" s="9">
        <v>4.9082366799999999</v>
      </c>
      <c r="D9" s="9">
        <v>3.03</v>
      </c>
      <c r="E9" s="10">
        <v>5.1211446799999996</v>
      </c>
      <c r="G9">
        <f>IF(D9 &gt; 2,E9," ")</f>
        <v>5.1211446799999996</v>
      </c>
      <c r="I9">
        <f>IF(D9 &gt; 2,B9,"")</f>
        <v>0.21290799999999999</v>
      </c>
      <c r="L9">
        <f t="shared" si="3"/>
        <v>4.1574298970987092E-2</v>
      </c>
    </row>
    <row r="10" spans="1:12" ht="15.75" thickBot="1" x14ac:dyDescent="0.3">
      <c r="A10" s="8" t="s">
        <v>49</v>
      </c>
      <c r="B10" s="9">
        <v>3.9826670000000002E-2</v>
      </c>
      <c r="C10" s="9">
        <v>4.9082366799999999</v>
      </c>
      <c r="D10" s="9">
        <v>3.03</v>
      </c>
      <c r="E10" s="10">
        <v>4.94806334</v>
      </c>
      <c r="G10">
        <f t="shared" ref="G10:G17" si="4">IF(D10 &gt; 2,E10,"")</f>
        <v>4.94806334</v>
      </c>
      <c r="I10">
        <f t="shared" ref="I10:I17" si="5">IF(D10 &gt; 2,B10,"")</f>
        <v>3.9826670000000002E-2</v>
      </c>
      <c r="L10">
        <f t="shared" si="3"/>
        <v>8.0489410063838418E-3</v>
      </c>
    </row>
    <row r="11" spans="1:12" ht="15.75" thickBot="1" x14ac:dyDescent="0.3">
      <c r="A11" s="8" t="s">
        <v>50</v>
      </c>
      <c r="B11" s="9">
        <v>0.53660571000000001</v>
      </c>
      <c r="C11" s="9">
        <v>1.0499152</v>
      </c>
      <c r="D11" s="9">
        <v>2.87</v>
      </c>
      <c r="E11" s="10">
        <f>C11</f>
        <v>1.0499152</v>
      </c>
      <c r="G11">
        <f t="shared" si="4"/>
        <v>1.0499152</v>
      </c>
      <c r="I11">
        <f t="shared" si="5"/>
        <v>0.53660571000000001</v>
      </c>
      <c r="L11">
        <f t="shared" si="3"/>
        <v>0.33822794683493962</v>
      </c>
    </row>
    <row r="12" spans="1:12" ht="15.75" thickBot="1" x14ac:dyDescent="0.3">
      <c r="A12" s="8" t="s">
        <v>50</v>
      </c>
      <c r="B12" s="9">
        <v>5.9200000000000003E-2</v>
      </c>
      <c r="C12" s="9">
        <v>1.0499152</v>
      </c>
      <c r="D12" s="9">
        <v>2.87</v>
      </c>
      <c r="E12" s="10">
        <f t="shared" ref="E12:E16" si="6">C12</f>
        <v>1.0499152</v>
      </c>
      <c r="G12">
        <f t="shared" si="4"/>
        <v>1.0499152</v>
      </c>
      <c r="I12">
        <f t="shared" si="5"/>
        <v>5.9200000000000003E-2</v>
      </c>
      <c r="L12">
        <f t="shared" si="3"/>
        <v>5.3375880161050902E-2</v>
      </c>
    </row>
    <row r="13" spans="1:12" ht="15.75" thickBot="1" x14ac:dyDescent="0.3">
      <c r="A13" s="8" t="s">
        <v>51</v>
      </c>
      <c r="B13" s="9">
        <v>2.5440000000000001E-2</v>
      </c>
      <c r="C13" s="9">
        <v>6.0719422600000001</v>
      </c>
      <c r="D13" s="9">
        <v>2.86</v>
      </c>
      <c r="E13" s="10">
        <f t="shared" si="6"/>
        <v>6.0719422600000001</v>
      </c>
      <c r="G13">
        <f t="shared" si="4"/>
        <v>6.0719422600000001</v>
      </c>
      <c r="I13">
        <f t="shared" si="5"/>
        <v>2.5440000000000001E-2</v>
      </c>
      <c r="L13">
        <f t="shared" si="3"/>
        <v>4.1722822869235694E-3</v>
      </c>
    </row>
    <row r="14" spans="1:12" ht="15.75" thickBot="1" x14ac:dyDescent="0.3">
      <c r="A14" s="8" t="s">
        <v>52</v>
      </c>
      <c r="B14" s="9">
        <v>0.09</v>
      </c>
      <c r="C14" s="9">
        <v>2.5760984100000002</v>
      </c>
      <c r="D14" s="9">
        <v>3.21</v>
      </c>
      <c r="E14" s="10">
        <f t="shared" si="6"/>
        <v>2.5760984100000002</v>
      </c>
      <c r="G14">
        <f t="shared" si="4"/>
        <v>2.5760984100000002</v>
      </c>
      <c r="I14">
        <f t="shared" si="5"/>
        <v>0.09</v>
      </c>
      <c r="L14">
        <f t="shared" si="3"/>
        <v>3.375719353135205E-2</v>
      </c>
    </row>
    <row r="15" spans="1:12" ht="15.75" thickBot="1" x14ac:dyDescent="0.3">
      <c r="A15" s="8" t="s">
        <v>52</v>
      </c>
      <c r="B15" s="9">
        <v>1.9588000000000001E-2</v>
      </c>
      <c r="C15" s="9">
        <v>2.5760984100000002</v>
      </c>
      <c r="D15" s="9">
        <v>3.21</v>
      </c>
      <c r="E15" s="10">
        <f t="shared" si="6"/>
        <v>2.5760984100000002</v>
      </c>
      <c r="G15">
        <f t="shared" si="4"/>
        <v>2.5760984100000002</v>
      </c>
      <c r="I15">
        <f t="shared" si="5"/>
        <v>1.9588000000000001E-2</v>
      </c>
      <c r="L15">
        <f t="shared" si="3"/>
        <v>7.5463661267155917E-3</v>
      </c>
    </row>
    <row r="16" spans="1:12" ht="15.75" thickBot="1" x14ac:dyDescent="0.3">
      <c r="A16" s="8" t="s">
        <v>53</v>
      </c>
      <c r="B16" s="9">
        <v>5.7593329999999998E-2</v>
      </c>
      <c r="C16" s="9">
        <v>24.83942648</v>
      </c>
      <c r="D16" s="9">
        <v>3.67</v>
      </c>
      <c r="E16" s="10">
        <f t="shared" si="6"/>
        <v>24.83942648</v>
      </c>
      <c r="G16">
        <f t="shared" si="4"/>
        <v>24.83942648</v>
      </c>
      <c r="I16">
        <f t="shared" si="5"/>
        <v>5.7593329999999998E-2</v>
      </c>
      <c r="L16">
        <f t="shared" si="3"/>
        <v>2.3132620064377093E-3</v>
      </c>
    </row>
    <row r="17" spans="1:12" ht="15.75" thickBot="1" x14ac:dyDescent="0.3">
      <c r="A17" s="8" t="s">
        <v>54</v>
      </c>
      <c r="B17" s="9">
        <v>5.0099999999999999E-2</v>
      </c>
      <c r="C17" s="9">
        <v>2.3466887500000002</v>
      </c>
      <c r="D17" s="9">
        <v>2.87</v>
      </c>
      <c r="E17" s="10">
        <v>2.3967887499999998</v>
      </c>
      <c r="G17">
        <f t="shared" si="4"/>
        <v>2.3967887499999998</v>
      </c>
      <c r="I17">
        <f t="shared" si="5"/>
        <v>5.0099999999999999E-2</v>
      </c>
      <c r="L17">
        <f t="shared" si="3"/>
        <v>2.0902968607475311E-2</v>
      </c>
    </row>
    <row r="18" spans="1:12" ht="15.75" thickBot="1" x14ac:dyDescent="0.3">
      <c r="A18" s="8" t="s">
        <v>55</v>
      </c>
      <c r="B18" s="9">
        <v>0.11537778</v>
      </c>
      <c r="C18" s="9">
        <v>0.35924616999999998</v>
      </c>
      <c r="D18" s="9">
        <v>1.556033</v>
      </c>
      <c r="E18" s="10">
        <v>0.47462394000000002</v>
      </c>
      <c r="F18">
        <f t="shared" si="1"/>
        <v>0.47462394000000002</v>
      </c>
      <c r="H18">
        <f t="shared" si="2"/>
        <v>0.11537778</v>
      </c>
      <c r="L18">
        <f t="shared" si="3"/>
        <v>0.24309304239703877</v>
      </c>
    </row>
    <row r="19" spans="1:12" ht="15.75" thickBot="1" x14ac:dyDescent="0.3">
      <c r="A19" s="8" t="s">
        <v>56</v>
      </c>
      <c r="B19" s="9">
        <v>4.6822219999999998E-2</v>
      </c>
      <c r="C19" s="9">
        <v>0.36996942999999999</v>
      </c>
      <c r="D19" s="9">
        <v>1.532332</v>
      </c>
      <c r="E19" s="10">
        <v>0.41679165000000001</v>
      </c>
      <c r="F19">
        <f t="shared" si="1"/>
        <v>0.41679165000000001</v>
      </c>
      <c r="H19">
        <f t="shared" si="2"/>
        <v>4.6822219999999998E-2</v>
      </c>
      <c r="L19">
        <f t="shared" si="3"/>
        <v>0.11233963060440391</v>
      </c>
    </row>
    <row r="20" spans="1:12" ht="15.75" thickBot="1" x14ac:dyDescent="0.3">
      <c r="A20" s="8" t="s">
        <v>57</v>
      </c>
      <c r="B20" s="9">
        <v>7.7288889999999999E-2</v>
      </c>
      <c r="C20" s="9">
        <v>0.43760378</v>
      </c>
      <c r="D20" s="9">
        <v>1.61927</v>
      </c>
      <c r="E20" s="10">
        <v>0.51489267000000005</v>
      </c>
      <c r="F20">
        <f t="shared" si="1"/>
        <v>0.51489267000000005</v>
      </c>
      <c r="H20">
        <f t="shared" si="2"/>
        <v>7.7288889999999999E-2</v>
      </c>
      <c r="L20">
        <f t="shared" si="3"/>
        <v>0.15010679798568505</v>
      </c>
    </row>
    <row r="21" spans="1:12" ht="15.75" thickBot="1" x14ac:dyDescent="0.3">
      <c r="A21" s="8" t="s">
        <v>58</v>
      </c>
      <c r="B21" s="9">
        <v>0.10053333</v>
      </c>
      <c r="C21" s="9">
        <v>0.42080219000000002</v>
      </c>
      <c r="D21" s="9">
        <v>1.707209</v>
      </c>
      <c r="E21" s="10">
        <v>0.52133552000000005</v>
      </c>
      <c r="F21">
        <f t="shared" si="1"/>
        <v>0.52133552000000005</v>
      </c>
      <c r="H21">
        <f t="shared" si="2"/>
        <v>0.10053333</v>
      </c>
      <c r="L21">
        <f t="shared" si="3"/>
        <v>0.19283805945161764</v>
      </c>
    </row>
    <row r="22" spans="1:12" ht="15.75" thickBot="1" x14ac:dyDescent="0.3">
      <c r="A22" s="8" t="s">
        <v>59</v>
      </c>
      <c r="B22" s="9">
        <v>1.9328000000000001</v>
      </c>
      <c r="C22" s="9">
        <v>0.41115337000000002</v>
      </c>
      <c r="D22" s="9">
        <v>1.6637960000000001</v>
      </c>
      <c r="E22" s="10">
        <v>2.3439533699999999</v>
      </c>
      <c r="F22">
        <f t="shared" si="1"/>
        <v>2.3439533699999999</v>
      </c>
      <c r="H22">
        <f t="shared" si="2"/>
        <v>1.9328000000000001</v>
      </c>
      <c r="L22">
        <f t="shared" si="3"/>
        <v>0.82458978268838179</v>
      </c>
    </row>
    <row r="23" spans="1:12" ht="15.75" thickBot="1" x14ac:dyDescent="0.3">
      <c r="A23" s="8" t="s">
        <v>60</v>
      </c>
      <c r="B23" s="9">
        <v>0.45333332999999998</v>
      </c>
      <c r="C23" s="9">
        <v>0.47291751999999998</v>
      </c>
      <c r="D23" s="9">
        <v>1.9445209999999999</v>
      </c>
      <c r="E23" s="10">
        <v>0.92625086000000001</v>
      </c>
      <c r="F23">
        <f t="shared" si="1"/>
        <v>0.92625086000000001</v>
      </c>
      <c r="H23">
        <f t="shared" si="2"/>
        <v>0.45333332999999998</v>
      </c>
      <c r="L23">
        <f t="shared" si="3"/>
        <v>0.48942824721834266</v>
      </c>
    </row>
    <row r="24" spans="1:12" ht="15.75" thickBot="1" x14ac:dyDescent="0.3">
      <c r="A24" s="8" t="s">
        <v>61</v>
      </c>
      <c r="B24" s="9">
        <v>0.22244443999999999</v>
      </c>
      <c r="C24" s="9">
        <v>0.36015335999999998</v>
      </c>
      <c r="D24" s="9">
        <v>1.5613349999999999</v>
      </c>
      <c r="E24" s="10">
        <v>0.58259780000000005</v>
      </c>
      <c r="F24">
        <f t="shared" si="1"/>
        <v>0.58259780000000005</v>
      </c>
      <c r="H24">
        <f t="shared" si="2"/>
        <v>0.22244443999999999</v>
      </c>
      <c r="L24">
        <f t="shared" si="3"/>
        <v>0.38181476140143339</v>
      </c>
    </row>
    <row r="25" spans="1:12" ht="15.75" thickBot="1" x14ac:dyDescent="0.3">
      <c r="A25" s="8" t="s">
        <v>62</v>
      </c>
      <c r="B25" s="9">
        <v>0.33800000000000002</v>
      </c>
      <c r="C25" s="9">
        <v>0.43838975000000002</v>
      </c>
      <c r="D25" s="9">
        <v>1.8906540000000001</v>
      </c>
      <c r="E25" s="10">
        <v>0.77638974999999999</v>
      </c>
      <c r="F25">
        <f t="shared" si="1"/>
        <v>0.77638974999999999</v>
      </c>
      <c r="H25">
        <f t="shared" si="2"/>
        <v>0.33800000000000002</v>
      </c>
      <c r="L25">
        <f t="shared" si="3"/>
        <v>0.43534835435424024</v>
      </c>
    </row>
    <row r="26" spans="1:12" ht="15.75" thickBot="1" x14ac:dyDescent="0.3">
      <c r="A26" s="8" t="s">
        <v>63</v>
      </c>
      <c r="B26" s="9">
        <v>0.23324444</v>
      </c>
      <c r="C26" s="9">
        <v>0.40716722</v>
      </c>
      <c r="D26" s="9">
        <v>1.7472760000000001</v>
      </c>
      <c r="E26" s="10">
        <v>0.64041166999999999</v>
      </c>
      <c r="F26">
        <f t="shared" si="1"/>
        <v>0.64041166999999999</v>
      </c>
      <c r="H26">
        <f t="shared" si="2"/>
        <v>0.23324444</v>
      </c>
      <c r="L26">
        <f t="shared" si="3"/>
        <v>0.36421017068927192</v>
      </c>
    </row>
    <row r="27" spans="1:12" ht="15.75" thickBot="1" x14ac:dyDescent="0.3">
      <c r="A27" s="8" t="s">
        <v>64</v>
      </c>
      <c r="B27" s="9">
        <v>0.43804443999999998</v>
      </c>
      <c r="C27" s="9">
        <v>0.45437303000000001</v>
      </c>
      <c r="D27" s="9">
        <v>1.889448</v>
      </c>
      <c r="E27" s="10">
        <v>0.89241747000000005</v>
      </c>
      <c r="F27">
        <f t="shared" si="1"/>
        <v>0.89241747000000005</v>
      </c>
      <c r="H27">
        <f t="shared" si="2"/>
        <v>0.43804443999999998</v>
      </c>
      <c r="L27">
        <f t="shared" si="3"/>
        <v>0.49085148456360894</v>
      </c>
    </row>
    <row r="28" spans="1:12" ht="15.75" thickBot="1" x14ac:dyDescent="0.3">
      <c r="A28" s="8" t="s">
        <v>65</v>
      </c>
      <c r="B28" s="9">
        <v>0.22044443999999999</v>
      </c>
      <c r="C28" s="9">
        <v>0.41983016000000001</v>
      </c>
      <c r="D28" s="9">
        <v>1.8306469999999999</v>
      </c>
      <c r="E28" s="10">
        <v>0.64027460000000003</v>
      </c>
      <c r="F28">
        <f t="shared" si="1"/>
        <v>0.64027460000000003</v>
      </c>
      <c r="H28">
        <f t="shared" si="2"/>
        <v>0.22044443999999999</v>
      </c>
      <c r="L28">
        <f t="shared" si="3"/>
        <v>0.34429671269171069</v>
      </c>
    </row>
    <row r="29" spans="1:12" ht="15.75" thickBot="1" x14ac:dyDescent="0.3">
      <c r="A29" s="8" t="s">
        <v>66</v>
      </c>
      <c r="B29" s="9">
        <v>9.6777779999999994E-2</v>
      </c>
      <c r="C29" s="9">
        <v>0.32496767999999998</v>
      </c>
      <c r="D29" s="9">
        <v>1.4722230000000001</v>
      </c>
      <c r="E29" s="10">
        <v>0.42174545000000002</v>
      </c>
      <c r="F29">
        <f t="shared" si="1"/>
        <v>0.42174545000000002</v>
      </c>
      <c r="H29">
        <f t="shared" si="2"/>
        <v>9.6777779999999994E-2</v>
      </c>
      <c r="L29">
        <f t="shared" si="3"/>
        <v>0.22946964266076511</v>
      </c>
    </row>
    <row r="30" spans="1:12" ht="15.75" thickBot="1" x14ac:dyDescent="0.3">
      <c r="A30" s="8" t="s">
        <v>67</v>
      </c>
      <c r="B30" s="9">
        <v>0.11377778</v>
      </c>
      <c r="C30" s="9">
        <v>0.34593348000000002</v>
      </c>
      <c r="D30" s="9">
        <v>1.5552569999999999</v>
      </c>
      <c r="E30" s="10">
        <v>0.45971126000000001</v>
      </c>
      <c r="F30">
        <f t="shared" si="1"/>
        <v>0.45971126000000001</v>
      </c>
      <c r="H30">
        <f t="shared" si="2"/>
        <v>0.11377778</v>
      </c>
      <c r="L30">
        <f t="shared" si="3"/>
        <v>0.24749835364050032</v>
      </c>
    </row>
    <row r="31" spans="1:12" ht="15.75" thickBot="1" x14ac:dyDescent="0.3">
      <c r="A31" s="8" t="s">
        <v>68</v>
      </c>
      <c r="B31" s="9">
        <v>0.14506667000000001</v>
      </c>
      <c r="C31" s="9">
        <v>0.71970524999999996</v>
      </c>
      <c r="D31" s="9">
        <v>1.6898029999999999</v>
      </c>
      <c r="E31" s="10">
        <v>0.86477192000000003</v>
      </c>
      <c r="F31">
        <f t="shared" si="1"/>
        <v>0.86477192000000003</v>
      </c>
      <c r="H31">
        <f t="shared" si="2"/>
        <v>0.14506667000000001</v>
      </c>
      <c r="L31">
        <f t="shared" si="3"/>
        <v>0.16775136500731894</v>
      </c>
    </row>
    <row r="32" spans="1:12" ht="15.75" thickBot="1" x14ac:dyDescent="0.3">
      <c r="A32" s="8" t="s">
        <v>69</v>
      </c>
      <c r="B32" s="9">
        <v>7.0000000000000007E-2</v>
      </c>
      <c r="C32" s="9">
        <v>0.32929496000000003</v>
      </c>
      <c r="D32" s="9">
        <v>1.5098259999999999</v>
      </c>
      <c r="E32" s="10">
        <v>0.39929495999999998</v>
      </c>
      <c r="F32">
        <f t="shared" si="1"/>
        <v>0.39929495999999998</v>
      </c>
      <c r="H32">
        <f t="shared" si="2"/>
        <v>7.0000000000000007E-2</v>
      </c>
      <c r="L32">
        <f t="shared" si="3"/>
        <v>0.17530899964277036</v>
      </c>
    </row>
    <row r="33" spans="1:12" ht="15.75" thickBot="1" x14ac:dyDescent="0.3">
      <c r="A33" s="8" t="s">
        <v>70</v>
      </c>
      <c r="B33" s="9">
        <v>1.71733333</v>
      </c>
      <c r="C33" s="9">
        <v>0.31042851999999999</v>
      </c>
      <c r="D33" s="9">
        <v>1.436002</v>
      </c>
      <c r="E33" s="10">
        <v>2.0277618500000001</v>
      </c>
      <c r="F33">
        <f t="shared" si="1"/>
        <v>2.0277618500000001</v>
      </c>
      <c r="H33">
        <f t="shared" si="2"/>
        <v>1.71733333</v>
      </c>
      <c r="L33">
        <f t="shared" si="3"/>
        <v>0.84691076025520451</v>
      </c>
    </row>
    <row r="34" spans="1:12" ht="15.75" thickBot="1" x14ac:dyDescent="0.3">
      <c r="A34" s="8" t="s">
        <v>71</v>
      </c>
      <c r="B34" s="9">
        <v>0.03</v>
      </c>
      <c r="C34" s="9">
        <v>5.0251129999999998E-2</v>
      </c>
      <c r="D34">
        <v>1.4562294</v>
      </c>
      <c r="E34" s="10">
        <v>8.0251130000000004E-2</v>
      </c>
      <c r="F34">
        <f t="shared" si="1"/>
        <v>8.0251130000000004E-2</v>
      </c>
      <c r="H34">
        <f t="shared" si="2"/>
        <v>0.03</v>
      </c>
      <c r="L34">
        <f t="shared" si="3"/>
        <v>0.37382651185098575</v>
      </c>
    </row>
    <row r="35" spans="1:12" ht="15.75" thickBot="1" x14ac:dyDescent="0.3">
      <c r="A35" s="8" t="s">
        <v>72</v>
      </c>
      <c r="B35" s="9">
        <v>0.02</v>
      </c>
      <c r="C35" s="9">
        <v>0.10430912000000001</v>
      </c>
      <c r="D35">
        <v>1.4511657</v>
      </c>
      <c r="E35" s="10">
        <v>0.12430912</v>
      </c>
      <c r="F35">
        <f t="shared" si="1"/>
        <v>0.12430912</v>
      </c>
      <c r="H35">
        <f t="shared" si="2"/>
        <v>0.02</v>
      </c>
      <c r="L35">
        <f t="shared" si="3"/>
        <v>0.16088924127208043</v>
      </c>
    </row>
    <row r="36" spans="1:12" ht="15.75" thickBot="1" x14ac:dyDescent="0.3">
      <c r="A36" s="8" t="s">
        <v>73</v>
      </c>
      <c r="B36" s="9">
        <v>0.05</v>
      </c>
      <c r="C36" s="9">
        <v>7.6219640000000005E-2</v>
      </c>
      <c r="D36">
        <v>1.3547157999999999</v>
      </c>
      <c r="E36" s="10">
        <v>0.12621963999999999</v>
      </c>
      <c r="F36">
        <f t="shared" si="1"/>
        <v>0.12621963999999999</v>
      </c>
      <c r="H36">
        <f t="shared" si="2"/>
        <v>0.05</v>
      </c>
      <c r="L36">
        <f t="shared" si="3"/>
        <v>0.39613486459001146</v>
      </c>
    </row>
    <row r="37" spans="1:12" ht="15.75" thickBot="1" x14ac:dyDescent="0.3">
      <c r="A37" s="8" t="s">
        <v>74</v>
      </c>
      <c r="B37" s="9">
        <v>0.03</v>
      </c>
      <c r="C37" s="9">
        <v>4.6224210000000002E-2</v>
      </c>
      <c r="D37">
        <v>1.1954099</v>
      </c>
      <c r="E37" s="10">
        <v>7.6224210000000001E-2</v>
      </c>
      <c r="F37">
        <f t="shared" si="1"/>
        <v>7.6224210000000001E-2</v>
      </c>
      <c r="H37">
        <f t="shared" si="2"/>
        <v>0.03</v>
      </c>
      <c r="L37">
        <f t="shared" si="3"/>
        <v>0.39357574188043404</v>
      </c>
    </row>
    <row r="38" spans="1:12" ht="15.75" thickBot="1" x14ac:dyDescent="0.3">
      <c r="A38" s="8" t="s">
        <v>75</v>
      </c>
      <c r="B38" s="9">
        <v>0.05</v>
      </c>
      <c r="C38" s="9">
        <v>6.3651540000000006E-2</v>
      </c>
      <c r="D38">
        <v>1.1633933999999999</v>
      </c>
      <c r="E38" s="10">
        <v>0.11365154</v>
      </c>
      <c r="F38">
        <f t="shared" si="1"/>
        <v>0.11365154</v>
      </c>
      <c r="H38">
        <f t="shared" si="2"/>
        <v>0.05</v>
      </c>
      <c r="L38">
        <f t="shared" si="3"/>
        <v>0.43994124496685216</v>
      </c>
    </row>
    <row r="39" spans="1:12" ht="15.75" thickBot="1" x14ac:dyDescent="0.3">
      <c r="A39" s="8" t="s">
        <v>76</v>
      </c>
      <c r="B39" s="9">
        <v>0.05</v>
      </c>
      <c r="C39" s="9">
        <v>2.3757859999999999E-2</v>
      </c>
      <c r="D39">
        <v>1.0180883999999999</v>
      </c>
      <c r="E39" s="10">
        <v>7.3757859999999995E-2</v>
      </c>
      <c r="F39">
        <f t="shared" si="1"/>
        <v>7.3757859999999995E-2</v>
      </c>
      <c r="H39">
        <f t="shared" si="2"/>
        <v>0.05</v>
      </c>
      <c r="L39">
        <f t="shared" si="3"/>
        <v>0.67789385429566418</v>
      </c>
    </row>
    <row r="40" spans="1:12" ht="15.75" thickBot="1" x14ac:dyDescent="0.3">
      <c r="A40" s="8" t="s">
        <v>77</v>
      </c>
      <c r="B40" s="9">
        <v>0.06</v>
      </c>
      <c r="C40" s="9">
        <v>5.78481E-2</v>
      </c>
      <c r="D40">
        <v>1.0016925999999999</v>
      </c>
      <c r="E40" s="10">
        <v>0.1178481</v>
      </c>
      <c r="F40">
        <f t="shared" si="1"/>
        <v>0.1178481</v>
      </c>
      <c r="H40">
        <f t="shared" si="2"/>
        <v>0.06</v>
      </c>
      <c r="L40">
        <f t="shared" si="3"/>
        <v>0.50912997324521991</v>
      </c>
    </row>
    <row r="41" spans="1:12" ht="15.75" thickBot="1" x14ac:dyDescent="0.3">
      <c r="A41" s="8" t="s">
        <v>78</v>
      </c>
      <c r="B41" s="9">
        <v>0.02</v>
      </c>
      <c r="C41" s="9">
        <v>3.7158499999999997E-2</v>
      </c>
      <c r="D41">
        <v>1.0046206</v>
      </c>
      <c r="E41" s="10">
        <v>5.7158500000000001E-2</v>
      </c>
      <c r="F41">
        <f t="shared" si="1"/>
        <v>5.7158500000000001E-2</v>
      </c>
      <c r="H41">
        <f t="shared" si="2"/>
        <v>0.02</v>
      </c>
      <c r="L41">
        <f t="shared" si="3"/>
        <v>0.34990421372149372</v>
      </c>
    </row>
    <row r="42" spans="1:12" ht="15.75" thickBot="1" x14ac:dyDescent="0.3">
      <c r="A42" s="8" t="s">
        <v>78</v>
      </c>
      <c r="B42" s="9">
        <v>0.04</v>
      </c>
      <c r="C42" s="9">
        <v>3.7158499999999997E-2</v>
      </c>
      <c r="D42">
        <v>1.0046206</v>
      </c>
      <c r="E42" s="10">
        <v>7.7158500000000005E-2</v>
      </c>
      <c r="F42">
        <f t="shared" si="1"/>
        <v>7.7158500000000005E-2</v>
      </c>
      <c r="H42">
        <f t="shared" si="2"/>
        <v>0.04</v>
      </c>
      <c r="L42">
        <f t="shared" si="3"/>
        <v>0.51841339580214763</v>
      </c>
    </row>
    <row r="43" spans="1:12" ht="15.75" thickBot="1" x14ac:dyDescent="0.3">
      <c r="A43" s="8" t="s">
        <v>79</v>
      </c>
      <c r="B43" s="9">
        <v>0.02</v>
      </c>
      <c r="C43" s="9">
        <v>4.9504510000000002E-2</v>
      </c>
      <c r="D43">
        <v>0.95423389999999997</v>
      </c>
      <c r="E43" s="10">
        <v>6.9504499999999997E-2</v>
      </c>
      <c r="F43">
        <f t="shared" si="1"/>
        <v>6.9504499999999997E-2</v>
      </c>
      <c r="H43">
        <f t="shared" si="2"/>
        <v>0.02</v>
      </c>
      <c r="L43">
        <f t="shared" si="3"/>
        <v>0.28775111140269888</v>
      </c>
    </row>
  </sheetData>
  <conditionalFormatting sqref="D1:E1048576 F1">
    <cfRule type="colorScale" priority="6">
      <colorScale>
        <cfvo type="min"/>
        <cfvo type="max"/>
        <color rgb="FF63BE7B"/>
        <color rgb="FFFCFCFF"/>
      </colorScale>
    </cfRule>
  </conditionalFormatting>
  <conditionalFormatting sqref="E2:E43">
    <cfRule type="colorScale" priority="5">
      <colorScale>
        <cfvo type="min"/>
        <cfvo type="max"/>
        <color rgb="FFF8696B"/>
        <color rgb="FFFCFCFF"/>
      </colorScale>
    </cfRule>
  </conditionalFormatting>
  <conditionalFormatting sqref="G1">
    <cfRule type="colorScale" priority="4">
      <colorScale>
        <cfvo type="min"/>
        <cfvo type="max"/>
        <color rgb="FF63BE7B"/>
        <color rgb="FFFCFCFF"/>
      </colorScale>
    </cfRule>
  </conditionalFormatting>
  <conditionalFormatting sqref="H1">
    <cfRule type="colorScale" priority="3">
      <colorScale>
        <cfvo type="min"/>
        <cfvo type="max"/>
        <color rgb="FF63BE7B"/>
        <color rgb="FFFCFCFF"/>
      </colorScale>
    </cfRule>
  </conditionalFormatting>
  <conditionalFormatting sqref="I1">
    <cfRule type="colorScale" priority="2">
      <colorScale>
        <cfvo type="min"/>
        <cfvo type="max"/>
        <color rgb="FF63BE7B"/>
        <color rgb="FFFCFCFF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7" zoomScale="70" zoomScaleNormal="70" workbookViewId="0">
      <selection activeCell="M34" sqref="M34"/>
    </sheetView>
  </sheetViews>
  <sheetFormatPr defaultRowHeight="15" x14ac:dyDescent="0.25"/>
  <cols>
    <col min="4" max="4" width="11.85546875" style="40" customWidth="1"/>
    <col min="8" max="8" width="13" customWidth="1"/>
    <col min="10" max="10" width="9.7109375" customWidth="1"/>
    <col min="14" max="14" width="13.42578125" customWidth="1"/>
  </cols>
  <sheetData>
    <row r="1" spans="1:16" s="42" customFormat="1" ht="45" x14ac:dyDescent="0.25">
      <c r="A1" s="1" t="s">
        <v>42</v>
      </c>
      <c r="B1" s="1" t="s">
        <v>41</v>
      </c>
      <c r="C1" s="1" t="s">
        <v>150</v>
      </c>
      <c r="D1" s="41" t="s">
        <v>151</v>
      </c>
      <c r="E1" s="1" t="s">
        <v>152</v>
      </c>
      <c r="F1" s="1" t="s">
        <v>153</v>
      </c>
      <c r="G1" s="1" t="s">
        <v>154</v>
      </c>
      <c r="H1" s="1" t="str">
        <f>CONCATENATE(E1,"-",G1)</f>
        <v>D50_A-D50_B</v>
      </c>
      <c r="I1" s="42" t="str">
        <f>E1</f>
        <v>D50_A</v>
      </c>
      <c r="J1" s="1" t="str">
        <f>CONCATENATE(C1,"-",F1)</f>
        <v>bsd-bsd_B</v>
      </c>
      <c r="K1" s="42" t="s">
        <v>161</v>
      </c>
      <c r="M1" s="43" t="s">
        <v>152</v>
      </c>
      <c r="N1" s="43" t="s">
        <v>154</v>
      </c>
      <c r="O1" s="44" t="s">
        <v>160</v>
      </c>
      <c r="P1" s="44" t="s">
        <v>161</v>
      </c>
    </row>
    <row r="2" spans="1:16" x14ac:dyDescent="0.25">
      <c r="A2">
        <v>1.67</v>
      </c>
      <c r="B2">
        <v>384.7565512947038</v>
      </c>
      <c r="C2">
        <v>8.491108641975309E-2</v>
      </c>
      <c r="D2" s="40">
        <v>42539.666666666672</v>
      </c>
      <c r="E2">
        <v>1.3820346320346319</v>
      </c>
      <c r="M2" s="45">
        <f>AVERAGE(I:I)</f>
        <v>3.1481329186895435</v>
      </c>
      <c r="N2" s="45">
        <f>AVERAGE(G:G)</f>
        <v>2.847544122544122</v>
      </c>
      <c r="O2" s="46">
        <f>AVERAGE(K:K)*100</f>
        <v>43.393275852978306</v>
      </c>
      <c r="P2" s="47">
        <f>(M2-N2)/M2*100</f>
        <v>9.5481608912036009</v>
      </c>
    </row>
    <row r="3" spans="1:16" x14ac:dyDescent="0.25">
      <c r="A3">
        <v>1.66</v>
      </c>
      <c r="B3">
        <v>355.38542738777062</v>
      </c>
      <c r="C3">
        <v>0.13526750000000001</v>
      </c>
      <c r="D3" s="40">
        <v>42540.791666666672</v>
      </c>
      <c r="E3">
        <v>1.901406926406926</v>
      </c>
    </row>
    <row r="4" spans="1:16" x14ac:dyDescent="0.25">
      <c r="A4">
        <v>1.53</v>
      </c>
      <c r="B4">
        <v>328.49151344768859</v>
      </c>
      <c r="C4">
        <v>3.1872866666666673E-2</v>
      </c>
      <c r="D4" s="40">
        <v>42541.5</v>
      </c>
      <c r="E4">
        <v>2.4336580086580089</v>
      </c>
    </row>
    <row r="5" spans="1:16" x14ac:dyDescent="0.25">
      <c r="A5">
        <v>1.56</v>
      </c>
      <c r="B5">
        <v>333.41145701092091</v>
      </c>
      <c r="C5">
        <v>1.9109999999999999E-2</v>
      </c>
      <c r="D5" s="40">
        <v>42541.75</v>
      </c>
      <c r="E5">
        <v>1.6559523809523811</v>
      </c>
    </row>
    <row r="6" spans="1:16" x14ac:dyDescent="0.25">
      <c r="A6">
        <v>1.81</v>
      </c>
      <c r="B6">
        <v>422.320889131</v>
      </c>
      <c r="C6">
        <v>9.8599999999999993E-2</v>
      </c>
      <c r="D6" s="40">
        <v>42542.75</v>
      </c>
      <c r="E6">
        <v>3.7469696969696979</v>
      </c>
    </row>
    <row r="7" spans="1:16" x14ac:dyDescent="0.25">
      <c r="A7">
        <v>1.69</v>
      </c>
      <c r="B7">
        <v>1986.803407978141</v>
      </c>
      <c r="C7">
        <v>5.1999999999999998E-2</v>
      </c>
      <c r="D7" s="40">
        <v>42543.583333333328</v>
      </c>
      <c r="E7">
        <v>2.241233766233766</v>
      </c>
      <c r="F7">
        <v>1.008E-2</v>
      </c>
      <c r="G7">
        <v>1.6760822510822511</v>
      </c>
      <c r="H7">
        <f>E7-G7</f>
        <v>0.56515151515151496</v>
      </c>
      <c r="I7">
        <f>E7</f>
        <v>2.241233766233766</v>
      </c>
      <c r="J7">
        <f t="shared" ref="J7:J51" si="0">C7-F7</f>
        <v>4.1919999999999999E-2</v>
      </c>
      <c r="K7">
        <f>J7/C7</f>
        <v>0.80615384615384622</v>
      </c>
      <c r="L7">
        <f t="shared" ref="L3:L51" si="1">LOG10(A7)</f>
        <v>0.22788670461367352</v>
      </c>
    </row>
    <row r="8" spans="1:16" x14ac:dyDescent="0.25">
      <c r="A8">
        <v>2.81</v>
      </c>
      <c r="B8">
        <v>2209.895716032906</v>
      </c>
      <c r="C8">
        <v>0.21290799999999999</v>
      </c>
      <c r="D8" s="40">
        <v>42545.666666666672</v>
      </c>
      <c r="E8">
        <v>6.2679653679653669</v>
      </c>
      <c r="F8">
        <v>3.9826666666666663E-2</v>
      </c>
      <c r="G8">
        <v>3.8609307359307361</v>
      </c>
      <c r="H8">
        <f t="shared" ref="H8:H51" si="2">E8-G8</f>
        <v>2.4070346320346308</v>
      </c>
      <c r="I8">
        <f t="shared" ref="I8:I11" si="3">E8</f>
        <v>6.2679653679653669</v>
      </c>
      <c r="J8">
        <f t="shared" si="0"/>
        <v>0.17308133333333331</v>
      </c>
      <c r="K8">
        <f t="shared" ref="K8:K51" si="4">J8/C8</f>
        <v>0.81293954822427206</v>
      </c>
      <c r="L8">
        <f t="shared" si="1"/>
        <v>0.44870631990507992</v>
      </c>
    </row>
    <row r="9" spans="1:16" x14ac:dyDescent="0.25">
      <c r="A9">
        <v>2.71</v>
      </c>
      <c r="B9">
        <v>2820.3249675462912</v>
      </c>
      <c r="C9">
        <v>0.53660571428571435</v>
      </c>
      <c r="D9" s="40">
        <v>42546.833333333328</v>
      </c>
      <c r="E9">
        <v>9.9992424242424232</v>
      </c>
      <c r="F9">
        <v>5.9200000000000003E-2</v>
      </c>
      <c r="G9">
        <v>2.387337662337663</v>
      </c>
      <c r="H9">
        <f t="shared" si="2"/>
        <v>7.6119047619047606</v>
      </c>
      <c r="I9">
        <f t="shared" si="3"/>
        <v>9.9992424242424232</v>
      </c>
      <c r="J9">
        <f t="shared" si="0"/>
        <v>0.47740571428571432</v>
      </c>
      <c r="K9">
        <f t="shared" si="4"/>
        <v>0.88967691095350665</v>
      </c>
      <c r="L9">
        <f t="shared" si="1"/>
        <v>0.43296929087440572</v>
      </c>
    </row>
    <row r="10" spans="1:16" x14ac:dyDescent="0.25">
      <c r="A10">
        <v>2.75</v>
      </c>
      <c r="B10">
        <v>700.12270927867667</v>
      </c>
      <c r="C10">
        <v>2.5440000000000001E-2</v>
      </c>
      <c r="D10" s="40">
        <v>42549.541666666672</v>
      </c>
      <c r="E10">
        <v>0.5622294372294373</v>
      </c>
    </row>
    <row r="11" spans="1:16" x14ac:dyDescent="0.25">
      <c r="A11">
        <v>3.08</v>
      </c>
      <c r="B11">
        <v>9546.9060273478135</v>
      </c>
      <c r="C11">
        <v>9.0000000000000011E-2</v>
      </c>
      <c r="D11" s="40">
        <v>42551.708333333328</v>
      </c>
      <c r="E11">
        <v>7.2740259740259727</v>
      </c>
      <c r="F11">
        <v>1.9588000000000001E-2</v>
      </c>
      <c r="G11">
        <v>0.49372294372294379</v>
      </c>
      <c r="H11">
        <f t="shared" si="2"/>
        <v>6.7803030303030294</v>
      </c>
      <c r="I11">
        <f t="shared" si="3"/>
        <v>7.2740259740259727</v>
      </c>
      <c r="K11">
        <f>O22/C11</f>
        <v>0.78235555555555547</v>
      </c>
      <c r="L11">
        <f t="shared" si="1"/>
        <v>0.48855071650044429</v>
      </c>
    </row>
    <row r="12" spans="1:16" x14ac:dyDescent="0.25">
      <c r="A12">
        <v>2.46</v>
      </c>
      <c r="B12">
        <v>5044.5825188606696</v>
      </c>
      <c r="C12">
        <v>5.7593333333333323E-2</v>
      </c>
      <c r="D12" s="40">
        <v>42552.541666666672</v>
      </c>
      <c r="E12">
        <v>2.233874458874459</v>
      </c>
    </row>
    <row r="13" spans="1:16" x14ac:dyDescent="0.25">
      <c r="A13">
        <v>2.57</v>
      </c>
      <c r="B13">
        <v>4289.9824513948697</v>
      </c>
      <c r="C13">
        <v>5.0099999999999999E-2</v>
      </c>
      <c r="D13" s="40">
        <v>42556.666666666672</v>
      </c>
      <c r="E13">
        <v>1.074891774891775</v>
      </c>
    </row>
    <row r="14" spans="1:16" x14ac:dyDescent="0.25">
      <c r="A14">
        <v>1.759094853199993</v>
      </c>
      <c r="B14">
        <v>661.31272842557587</v>
      </c>
      <c r="D14" s="40">
        <v>42915.75</v>
      </c>
      <c r="I14" s="4">
        <f>CORREL(C$2:C$1048576,E$2:E$1048576)</f>
        <v>0.26041624787563428</v>
      </c>
    </row>
    <row r="15" spans="1:16" x14ac:dyDescent="0.25">
      <c r="A15">
        <v>1.5474190133999961</v>
      </c>
      <c r="B15">
        <v>332.75740445957621</v>
      </c>
      <c r="D15" s="40">
        <v>42916.416666666672</v>
      </c>
      <c r="I15">
        <f>MIN(C:C)</f>
        <v>1.9109999999999999E-2</v>
      </c>
    </row>
    <row r="16" spans="1:16" x14ac:dyDescent="0.25">
      <c r="A16">
        <v>1.05515617679999</v>
      </c>
      <c r="B16">
        <v>225.33008335171931</v>
      </c>
      <c r="D16" s="40">
        <v>42917.416666666672</v>
      </c>
    </row>
    <row r="17" spans="1:18" x14ac:dyDescent="0.25">
      <c r="A17">
        <v>1.7244908802000041</v>
      </c>
      <c r="B17">
        <v>462.38052775554252</v>
      </c>
      <c r="D17" s="40">
        <v>42922.75</v>
      </c>
    </row>
    <row r="18" spans="1:18" x14ac:dyDescent="0.25">
      <c r="A18">
        <v>1.3416103116000031</v>
      </c>
      <c r="B18">
        <v>286.73973012775821</v>
      </c>
      <c r="D18" s="40">
        <v>42927.375</v>
      </c>
    </row>
    <row r="19" spans="1:18" x14ac:dyDescent="0.25">
      <c r="A19">
        <v>1.598238723599996</v>
      </c>
      <c r="B19">
        <v>352.41072885034708</v>
      </c>
      <c r="D19" s="40">
        <v>42928.75</v>
      </c>
    </row>
    <row r="20" spans="1:18" x14ac:dyDescent="0.25">
      <c r="A20">
        <v>1.5183920825999939</v>
      </c>
      <c r="B20">
        <v>367.06224726737378</v>
      </c>
      <c r="D20" s="40">
        <v>42931.583333333328</v>
      </c>
    </row>
    <row r="21" spans="1:18" x14ac:dyDescent="0.25">
      <c r="A21">
        <v>1.5160689053999949</v>
      </c>
      <c r="B21">
        <v>354.06083604836908</v>
      </c>
      <c r="D21" s="40">
        <v>42931.791666666672</v>
      </c>
    </row>
    <row r="22" spans="1:18" x14ac:dyDescent="0.25">
      <c r="A22">
        <v>1.3825680101999891</v>
      </c>
      <c r="B22">
        <v>296.20246270373912</v>
      </c>
      <c r="D22" s="40">
        <v>42932.416666666672</v>
      </c>
      <c r="O22">
        <f>C11-F11</f>
        <v>7.0412000000000002E-2</v>
      </c>
    </row>
    <row r="23" spans="1:18" x14ac:dyDescent="0.25">
      <c r="A23">
        <v>1.3972884155999981</v>
      </c>
      <c r="B23">
        <v>323.71424620641568</v>
      </c>
      <c r="D23" s="40">
        <v>42933.458333333328</v>
      </c>
    </row>
    <row r="24" spans="1:18" x14ac:dyDescent="0.25">
      <c r="A24">
        <v>1.225799038800006</v>
      </c>
      <c r="B24">
        <v>346.43659019388957</v>
      </c>
      <c r="D24" s="40">
        <v>42935.291666666672</v>
      </c>
      <c r="R24">
        <f>CORREL(G:G,L:L)</f>
        <v>-0.21627089456517837</v>
      </c>
    </row>
    <row r="25" spans="1:18" x14ac:dyDescent="0.25">
      <c r="A25">
        <v>1.554329741400007</v>
      </c>
      <c r="B25">
        <v>496.08321366654161</v>
      </c>
      <c r="D25" s="40">
        <v>42935.708333333328</v>
      </c>
    </row>
    <row r="26" spans="1:18" x14ac:dyDescent="0.25">
      <c r="A26">
        <v>1.7290153312712271</v>
      </c>
      <c r="B26">
        <v>661.63952292485146</v>
      </c>
      <c r="C26">
        <v>0.1153777777777778</v>
      </c>
      <c r="D26" s="40">
        <v>42942.666666666672</v>
      </c>
      <c r="E26">
        <v>0.57608695652173914</v>
      </c>
    </row>
    <row r="27" spans="1:18" x14ac:dyDescent="0.25">
      <c r="A27">
        <v>1.7709427945317699</v>
      </c>
      <c r="B27">
        <v>454.49331628529029</v>
      </c>
      <c r="C27">
        <v>4.6822222222222223E-2</v>
      </c>
      <c r="D27" s="40">
        <v>42943.791666666672</v>
      </c>
      <c r="E27">
        <v>0.38224637681159418</v>
      </c>
    </row>
    <row r="28" spans="1:18" x14ac:dyDescent="0.25">
      <c r="A28">
        <v>1.7436416392789249</v>
      </c>
      <c r="B28">
        <v>523.86138210043009</v>
      </c>
      <c r="C28">
        <v>7.7288888888888893E-2</v>
      </c>
      <c r="D28" s="40">
        <v>42945.791666666672</v>
      </c>
      <c r="E28">
        <v>0.48641304347826092</v>
      </c>
    </row>
    <row r="29" spans="1:18" x14ac:dyDescent="0.25">
      <c r="A29">
        <v>1.8043718316612489</v>
      </c>
      <c r="B29">
        <v>668.10840127549011</v>
      </c>
      <c r="C29">
        <v>0.10053333333333329</v>
      </c>
      <c r="D29" s="40">
        <v>42946.75</v>
      </c>
      <c r="E29">
        <v>0.43478260869565211</v>
      </c>
      <c r="O29">
        <v>0</v>
      </c>
      <c r="P29">
        <v>0</v>
      </c>
    </row>
    <row r="30" spans="1:18" x14ac:dyDescent="0.25">
      <c r="A30">
        <v>2.204039871754699</v>
      </c>
      <c r="B30">
        <v>601.71824307892928</v>
      </c>
      <c r="D30" s="40">
        <v>42947.708333333328</v>
      </c>
      <c r="O30">
        <v>1</v>
      </c>
      <c r="P30">
        <v>0.04</v>
      </c>
      <c r="Q30">
        <v>1.9328000000000001</v>
      </c>
    </row>
    <row r="31" spans="1:18" x14ac:dyDescent="0.25">
      <c r="A31">
        <v>2.063020294670971</v>
      </c>
      <c r="B31">
        <v>493.99926459924939</v>
      </c>
      <c r="C31">
        <v>0.45333333333333331</v>
      </c>
      <c r="D31" s="40">
        <v>42949.75</v>
      </c>
      <c r="E31">
        <v>1.125</v>
      </c>
    </row>
    <row r="32" spans="1:18" x14ac:dyDescent="0.25">
      <c r="A32">
        <v>2.0169034876951701</v>
      </c>
      <c r="B32">
        <v>537.3904543568143</v>
      </c>
      <c r="C32">
        <v>0.2224444444444445</v>
      </c>
      <c r="D32" s="40">
        <v>42953.791666666672</v>
      </c>
      <c r="E32">
        <v>0.63949275362318847</v>
      </c>
    </row>
    <row r="33" spans="1:17" x14ac:dyDescent="0.25">
      <c r="A33">
        <v>2.1136497507983401</v>
      </c>
      <c r="B33">
        <v>750.38495730024727</v>
      </c>
      <c r="C33">
        <v>0.33800000000000002</v>
      </c>
      <c r="D33" s="40">
        <v>42954.75</v>
      </c>
      <c r="E33">
        <v>1.0923913043478259</v>
      </c>
    </row>
    <row r="34" spans="1:17" x14ac:dyDescent="0.25">
      <c r="A34">
        <v>2.3390219687048299</v>
      </c>
      <c r="B34">
        <v>2652.974380028279</v>
      </c>
      <c r="C34">
        <v>0.23324444444444439</v>
      </c>
      <c r="D34" s="40">
        <v>42956.708333333328</v>
      </c>
      <c r="E34">
        <v>0.6557971014492755</v>
      </c>
    </row>
    <row r="35" spans="1:17" x14ac:dyDescent="0.25">
      <c r="A35">
        <v>2.3167505278715348</v>
      </c>
      <c r="B35">
        <v>1224.241995699098</v>
      </c>
      <c r="C35">
        <v>0.43804444444444451</v>
      </c>
      <c r="D35" s="40">
        <v>42957.708333333328</v>
      </c>
      <c r="E35">
        <v>1.442028985507247</v>
      </c>
    </row>
    <row r="36" spans="1:17" x14ac:dyDescent="0.25">
      <c r="A36">
        <v>1.724478376766043</v>
      </c>
      <c r="B36">
        <v>376.21056705897928</v>
      </c>
      <c r="C36">
        <v>0.2204444444444445</v>
      </c>
      <c r="D36" s="40">
        <v>42958.75</v>
      </c>
      <c r="E36">
        <v>0.65217391304347816</v>
      </c>
    </row>
    <row r="37" spans="1:17" x14ac:dyDescent="0.25">
      <c r="A37">
        <v>1.6658511142043331</v>
      </c>
      <c r="B37">
        <v>384.95153441409929</v>
      </c>
      <c r="C37">
        <v>9.6777777777777782E-2</v>
      </c>
      <c r="D37" s="40">
        <v>42960.791666666672</v>
      </c>
      <c r="E37">
        <v>0.59510869565217395</v>
      </c>
    </row>
    <row r="38" spans="1:17" x14ac:dyDescent="0.25">
      <c r="A38">
        <v>1.7251051199999961</v>
      </c>
      <c r="B38">
        <v>552.95702694936415</v>
      </c>
      <c r="C38">
        <v>0.1137777777777778</v>
      </c>
      <c r="D38" s="40">
        <v>42963.75</v>
      </c>
      <c r="E38">
        <v>0.3731884057971015</v>
      </c>
    </row>
    <row r="39" spans="1:17" x14ac:dyDescent="0.25">
      <c r="A39">
        <v>2.0705433600000038</v>
      </c>
      <c r="B39">
        <v>897.07629536983313</v>
      </c>
      <c r="C39">
        <v>0.1450666666666667</v>
      </c>
      <c r="D39" s="40">
        <v>42965.708333333328</v>
      </c>
      <c r="E39">
        <v>0.44112318840579712</v>
      </c>
    </row>
    <row r="40" spans="1:17" x14ac:dyDescent="0.25">
      <c r="A40">
        <v>1.868013759999992</v>
      </c>
      <c r="B40">
        <v>542.0276831196029</v>
      </c>
      <c r="C40">
        <v>7.0000000000000007E-2</v>
      </c>
      <c r="D40" s="40">
        <v>42967.541666666672</v>
      </c>
      <c r="E40">
        <v>0.25905797101449268</v>
      </c>
    </row>
    <row r="41" spans="1:17" x14ac:dyDescent="0.25">
      <c r="A41">
        <v>2.5335758399999908</v>
      </c>
      <c r="B41">
        <v>2460.182198774176</v>
      </c>
      <c r="D41" s="40">
        <v>42970.708333333328</v>
      </c>
      <c r="Q41">
        <v>1.7173333333333329</v>
      </c>
    </row>
    <row r="42" spans="1:17" x14ac:dyDescent="0.25">
      <c r="A42">
        <v>1.4562294</v>
      </c>
      <c r="B42">
        <v>0.17077062668075119</v>
      </c>
      <c r="C42">
        <v>0.03</v>
      </c>
      <c r="D42" s="40">
        <v>45149.708333333328</v>
      </c>
      <c r="E42">
        <v>0.25</v>
      </c>
      <c r="F42">
        <v>0.06</v>
      </c>
      <c r="G42">
        <v>0.32</v>
      </c>
      <c r="H42">
        <f t="shared" si="2"/>
        <v>-7.0000000000000007E-2</v>
      </c>
      <c r="I42">
        <f>E42</f>
        <v>0.25</v>
      </c>
      <c r="J42">
        <f t="shared" si="0"/>
        <v>-0.03</v>
      </c>
      <c r="K42">
        <f t="shared" si="4"/>
        <v>-1</v>
      </c>
      <c r="L42">
        <f t="shared" si="1"/>
        <v>0.16322979483045072</v>
      </c>
    </row>
    <row r="43" spans="1:17" x14ac:dyDescent="0.25">
      <c r="A43">
        <v>1.4511657</v>
      </c>
      <c r="B43">
        <v>9.4677723568139791E-2</v>
      </c>
      <c r="C43">
        <v>0.02</v>
      </c>
      <c r="D43" s="40">
        <v>45150.708333333328</v>
      </c>
      <c r="E43">
        <v>2.15</v>
      </c>
      <c r="F43">
        <v>0.01</v>
      </c>
      <c r="G43">
        <v>0.33</v>
      </c>
      <c r="H43">
        <f t="shared" si="2"/>
        <v>1.8199999999999998</v>
      </c>
      <c r="I43">
        <f t="shared" ref="I43:I51" si="5">E43</f>
        <v>2.15</v>
      </c>
      <c r="J43">
        <f t="shared" si="0"/>
        <v>0.01</v>
      </c>
      <c r="K43">
        <f t="shared" si="4"/>
        <v>0.5</v>
      </c>
      <c r="L43">
        <f t="shared" si="1"/>
        <v>0.16171700477888273</v>
      </c>
    </row>
    <row r="44" spans="1:17" x14ac:dyDescent="0.25">
      <c r="A44">
        <v>1.3547157999999999</v>
      </c>
      <c r="B44">
        <v>0.4502690603055724</v>
      </c>
      <c r="C44">
        <v>0.05</v>
      </c>
      <c r="D44" s="40">
        <v>45152.458333333328</v>
      </c>
      <c r="E44">
        <v>0.7</v>
      </c>
      <c r="F44">
        <v>0.05</v>
      </c>
      <c r="G44">
        <v>4.78</v>
      </c>
      <c r="H44">
        <f t="shared" si="2"/>
        <v>-4.08</v>
      </c>
      <c r="I44">
        <f t="shared" si="5"/>
        <v>0.7</v>
      </c>
      <c r="J44">
        <f t="shared" si="0"/>
        <v>0</v>
      </c>
      <c r="K44">
        <f t="shared" si="4"/>
        <v>0</v>
      </c>
      <c r="L44">
        <f t="shared" si="1"/>
        <v>0.13184819599462522</v>
      </c>
    </row>
    <row r="45" spans="1:17" x14ac:dyDescent="0.25">
      <c r="A45">
        <v>1.1954099</v>
      </c>
      <c r="B45">
        <v>0.33896310916103711</v>
      </c>
      <c r="C45">
        <v>0.03</v>
      </c>
      <c r="D45" s="40">
        <v>45155.541666666672</v>
      </c>
      <c r="E45">
        <v>2.5499999999999998</v>
      </c>
      <c r="F45">
        <v>0.04</v>
      </c>
      <c r="G45">
        <v>4.63</v>
      </c>
      <c r="H45">
        <f t="shared" si="2"/>
        <v>-2.08</v>
      </c>
      <c r="I45">
        <f t="shared" si="5"/>
        <v>2.5499999999999998</v>
      </c>
      <c r="J45">
        <f t="shared" si="0"/>
        <v>-1.0000000000000002E-2</v>
      </c>
      <c r="K45">
        <f t="shared" si="4"/>
        <v>-0.33333333333333343</v>
      </c>
      <c r="L45">
        <f t="shared" si="1"/>
        <v>7.7516848199659788E-2</v>
      </c>
    </row>
    <row r="46" spans="1:17" x14ac:dyDescent="0.25">
      <c r="A46">
        <v>1.1633933999999999</v>
      </c>
      <c r="B46">
        <v>0.15371584801536059</v>
      </c>
      <c r="C46">
        <v>0.05</v>
      </c>
      <c r="D46" s="40">
        <v>45156.458333333328</v>
      </c>
      <c r="E46">
        <v>2.41</v>
      </c>
      <c r="F46">
        <v>0.02</v>
      </c>
      <c r="G46">
        <v>2.2400000000000002</v>
      </c>
      <c r="H46">
        <f t="shared" si="2"/>
        <v>0.16999999999999993</v>
      </c>
      <c r="I46">
        <f t="shared" si="5"/>
        <v>2.41</v>
      </c>
      <c r="J46">
        <f t="shared" si="0"/>
        <v>3.0000000000000002E-2</v>
      </c>
      <c r="K46">
        <f t="shared" si="4"/>
        <v>0.6</v>
      </c>
      <c r="L46">
        <f t="shared" si="1"/>
        <v>6.5726595690893758E-2</v>
      </c>
    </row>
    <row r="47" spans="1:17" x14ac:dyDescent="0.25">
      <c r="A47">
        <v>1.0180883999999999</v>
      </c>
      <c r="B47">
        <v>0.1188924679384608</v>
      </c>
      <c r="C47">
        <v>0.05</v>
      </c>
      <c r="D47" s="40">
        <v>45158.666666666672</v>
      </c>
      <c r="E47">
        <v>3.06</v>
      </c>
    </row>
    <row r="48" spans="1:17" x14ac:dyDescent="0.25">
      <c r="A48">
        <v>1.0016925999999999</v>
      </c>
      <c r="B48">
        <v>0.44994965711747981</v>
      </c>
      <c r="C48">
        <v>0.06</v>
      </c>
      <c r="D48" s="40">
        <v>45159.541666666672</v>
      </c>
      <c r="E48">
        <v>7.62</v>
      </c>
      <c r="F48">
        <v>0.01</v>
      </c>
      <c r="G48">
        <v>0.42</v>
      </c>
      <c r="H48">
        <f t="shared" si="2"/>
        <v>7.2</v>
      </c>
      <c r="I48">
        <f t="shared" si="5"/>
        <v>7.62</v>
      </c>
      <c r="J48">
        <f t="shared" si="0"/>
        <v>4.9999999999999996E-2</v>
      </c>
      <c r="K48">
        <f t="shared" si="4"/>
        <v>0.83333333333333326</v>
      </c>
      <c r="L48">
        <f t="shared" si="1"/>
        <v>7.3446543716888335E-4</v>
      </c>
    </row>
    <row r="49" spans="1:12" x14ac:dyDescent="0.25">
      <c r="A49">
        <v>1.0046206</v>
      </c>
      <c r="B49">
        <v>1.7602234677918889E-2</v>
      </c>
      <c r="C49">
        <v>0.02</v>
      </c>
      <c r="D49" s="40">
        <v>45161.375</v>
      </c>
      <c r="E49">
        <v>2.36</v>
      </c>
      <c r="F49">
        <v>0.01</v>
      </c>
      <c r="G49">
        <v>1.54</v>
      </c>
      <c r="H49">
        <f t="shared" si="2"/>
        <v>0.81999999999999984</v>
      </c>
      <c r="I49">
        <f t="shared" si="5"/>
        <v>2.36</v>
      </c>
      <c r="J49">
        <f t="shared" si="0"/>
        <v>0.01</v>
      </c>
      <c r="K49">
        <f t="shared" si="4"/>
        <v>0.5</v>
      </c>
      <c r="L49">
        <f t="shared" si="1"/>
        <v>2.0020792332475961E-3</v>
      </c>
    </row>
    <row r="50" spans="1:12" x14ac:dyDescent="0.25">
      <c r="A50">
        <v>1.0046206</v>
      </c>
      <c r="B50">
        <v>5.0894971931032519E-2</v>
      </c>
      <c r="C50">
        <v>0.04</v>
      </c>
      <c r="D50" s="40">
        <v>45161.75</v>
      </c>
      <c r="E50">
        <v>1.91</v>
      </c>
      <c r="F50">
        <v>0.01</v>
      </c>
      <c r="G50">
        <v>12.8</v>
      </c>
      <c r="H50">
        <f t="shared" si="2"/>
        <v>-10.89</v>
      </c>
      <c r="I50">
        <f t="shared" si="5"/>
        <v>1.91</v>
      </c>
      <c r="J50">
        <f t="shared" si="0"/>
        <v>0.03</v>
      </c>
      <c r="K50">
        <f t="shared" si="4"/>
        <v>0.75</v>
      </c>
      <c r="L50">
        <f t="shared" si="1"/>
        <v>2.0020792332475961E-3</v>
      </c>
    </row>
    <row r="51" spans="1:12" x14ac:dyDescent="0.25">
      <c r="A51">
        <v>0.95423389999999997</v>
      </c>
      <c r="B51">
        <v>2.497426506616619E-2</v>
      </c>
      <c r="C51">
        <v>0.02</v>
      </c>
      <c r="D51" s="40">
        <v>45163.458333333328</v>
      </c>
      <c r="E51">
        <v>1.21</v>
      </c>
      <c r="F51">
        <v>0.01</v>
      </c>
      <c r="G51">
        <v>1.54</v>
      </c>
      <c r="H51">
        <f t="shared" si="2"/>
        <v>-0.33000000000000007</v>
      </c>
      <c r="I51">
        <f t="shared" si="5"/>
        <v>1.21</v>
      </c>
      <c r="J51">
        <f t="shared" si="0"/>
        <v>0.01</v>
      </c>
      <c r="K51">
        <f t="shared" si="4"/>
        <v>0.5</v>
      </c>
      <c r="L51">
        <f t="shared" si="1"/>
        <v>-2.0345158808933984E-2</v>
      </c>
    </row>
  </sheetData>
  <conditionalFormatting sqref="A42:A51">
    <cfRule type="colorScale" priority="2">
      <colorScale>
        <cfvo type="min"/>
        <cfvo type="max"/>
        <color rgb="FF63BE7B"/>
        <color rgb="FFFCFCFF"/>
      </colorScale>
    </cfRule>
  </conditionalFormatting>
  <conditionalFormatting sqref="C1:C29 C31:C40 C42:C1048576 Q41 Q3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таблица</vt:lpstr>
      <vt:lpstr>суммарный сток наносов</vt:lpstr>
      <vt:lpstr>влекомый сток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RePack by Diakov</cp:lastModifiedBy>
  <dcterms:created xsi:type="dcterms:W3CDTF">2024-02-20T11:13:11Z</dcterms:created>
  <dcterms:modified xsi:type="dcterms:W3CDTF">2024-02-24T14:25:43Z</dcterms:modified>
</cp:coreProperties>
</file>