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влекомые наносы Толя\"/>
    </mc:Choice>
  </mc:AlternateContent>
  <bookViews>
    <workbookView xWindow="-105" yWindow="-105" windowWidth="19425" windowHeight="10560" activeTab="5"/>
  </bookViews>
  <sheets>
    <sheet name="2015" sheetId="4" r:id="rId1"/>
    <sheet name="2016" sheetId="2" r:id="rId2"/>
    <sheet name="2017" sheetId="5" r:id="rId3"/>
    <sheet name="to gradistat" sheetId="9" r:id="rId4"/>
    <sheet name="gradistat out" sheetId="10" r:id="rId5"/>
    <sheet name="vlekomye2016" sheetId="3" r:id="rId6"/>
    <sheet name="vlekomye2017" sheetId="6" r:id="rId7"/>
    <sheet name="topsoil2017" sheetId="8" r:id="rId8"/>
  </sheets>
  <definedNames>
    <definedName name="_xlnm._FilterDatabase" localSheetId="2" hidden="1">'2017'!$A$2:$T$24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10" i="3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16" i="6"/>
  <c r="Z16" i="6"/>
  <c r="K4" i="3"/>
  <c r="J17" i="3"/>
  <c r="J18" i="3"/>
  <c r="J19" i="3"/>
  <c r="J20" i="3"/>
  <c r="I4" i="3"/>
  <c r="L31" i="6"/>
  <c r="Z31" i="6"/>
  <c r="J31" i="6"/>
  <c r="Y31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AT5" i="10"/>
  <c r="AS5" i="10"/>
  <c r="AS36" i="10"/>
  <c r="T25" i="5"/>
  <c r="T12" i="2"/>
  <c r="T14" i="4"/>
  <c r="I14" i="4"/>
  <c r="J14" i="4"/>
  <c r="K14" i="4"/>
  <c r="L14" i="4"/>
  <c r="M14" i="4"/>
  <c r="N14" i="4"/>
  <c r="O14" i="4"/>
  <c r="P14" i="4"/>
  <c r="Q14" i="4"/>
  <c r="R14" i="4"/>
  <c r="S14" i="4"/>
  <c r="H14" i="4"/>
  <c r="S12" i="2"/>
  <c r="R12" i="2"/>
  <c r="Q12" i="2"/>
  <c r="P12" i="2"/>
  <c r="O12" i="2"/>
  <c r="N12" i="2"/>
  <c r="M12" i="2"/>
  <c r="L12" i="2"/>
  <c r="K12" i="2"/>
  <c r="J12" i="2"/>
  <c r="I12" i="2"/>
  <c r="H12" i="2"/>
  <c r="S26" i="5"/>
  <c r="R26" i="5"/>
  <c r="Q26" i="5"/>
  <c r="P26" i="5"/>
  <c r="O26" i="5"/>
  <c r="N26" i="5"/>
  <c r="M26" i="5"/>
  <c r="L26" i="5"/>
  <c r="K26" i="5"/>
  <c r="J26" i="5"/>
  <c r="I26" i="5"/>
  <c r="H26" i="5"/>
  <c r="I25" i="5"/>
  <c r="J25" i="5"/>
  <c r="K25" i="5"/>
  <c r="L25" i="5"/>
  <c r="M25" i="5"/>
  <c r="N25" i="5"/>
  <c r="O25" i="5"/>
  <c r="P25" i="5"/>
  <c r="Q25" i="5"/>
  <c r="R25" i="5"/>
  <c r="S25" i="5"/>
  <c r="H25" i="5"/>
  <c r="G2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T28" i="5"/>
  <c r="T27" i="5"/>
  <c r="T26" i="5"/>
  <c r="H2" i="4"/>
  <c r="H15" i="4"/>
  <c r="I15" i="4"/>
  <c r="J15" i="4"/>
  <c r="K15" i="4"/>
  <c r="L15" i="4"/>
  <c r="M15" i="4"/>
  <c r="N15" i="4"/>
  <c r="O15" i="4"/>
  <c r="P15" i="4"/>
  <c r="Q15" i="4"/>
  <c r="R15" i="4"/>
  <c r="U15" i="4"/>
  <c r="U14" i="4"/>
  <c r="U9" i="4"/>
  <c r="U8" i="4"/>
  <c r="U7" i="4"/>
  <c r="U6" i="4"/>
  <c r="U5" i="4"/>
  <c r="U4" i="4"/>
  <c r="U3" i="4"/>
  <c r="E19" i="4"/>
  <c r="U4" i="3"/>
  <c r="W5" i="3"/>
  <c r="X5" i="3"/>
  <c r="Y5" i="3"/>
  <c r="Z5" i="3"/>
  <c r="AA5" i="3"/>
  <c r="AB5" i="3"/>
  <c r="AC5" i="3"/>
  <c r="AD5" i="3"/>
  <c r="AE5" i="3"/>
  <c r="AF5" i="3"/>
  <c r="W6" i="3"/>
  <c r="X6" i="3"/>
  <c r="Y6" i="3"/>
  <c r="Z6" i="3"/>
  <c r="AA6" i="3"/>
  <c r="AB6" i="3"/>
  <c r="AC6" i="3"/>
  <c r="AD6" i="3"/>
  <c r="AE6" i="3"/>
  <c r="AF6" i="3"/>
  <c r="W7" i="3"/>
  <c r="X7" i="3"/>
  <c r="Y7" i="3"/>
  <c r="Z7" i="3"/>
  <c r="AA7" i="3"/>
  <c r="AB7" i="3"/>
  <c r="AC7" i="3"/>
  <c r="AD7" i="3"/>
  <c r="AE7" i="3"/>
  <c r="AF7" i="3"/>
  <c r="W8" i="3"/>
  <c r="X8" i="3"/>
  <c r="Y8" i="3"/>
  <c r="Z8" i="3"/>
  <c r="AA8" i="3"/>
  <c r="AB8" i="3"/>
  <c r="AC8" i="3"/>
  <c r="AD8" i="3"/>
  <c r="AE8" i="3"/>
  <c r="AF8" i="3"/>
  <c r="W9" i="3"/>
  <c r="X9" i="3"/>
  <c r="Y9" i="3"/>
  <c r="Z9" i="3"/>
  <c r="AA9" i="3"/>
  <c r="AB9" i="3"/>
  <c r="AC9" i="3"/>
  <c r="AD9" i="3"/>
  <c r="AE9" i="3"/>
  <c r="AF9" i="3"/>
  <c r="W10" i="3"/>
  <c r="X10" i="3"/>
  <c r="Y10" i="3"/>
  <c r="Z10" i="3"/>
  <c r="AA10" i="3"/>
  <c r="AB10" i="3"/>
  <c r="AC10" i="3"/>
  <c r="AD10" i="3"/>
  <c r="AE10" i="3"/>
  <c r="AF10" i="3"/>
  <c r="W11" i="3"/>
  <c r="X11" i="3"/>
  <c r="Y11" i="3"/>
  <c r="Z11" i="3"/>
  <c r="AA11" i="3"/>
  <c r="AB11" i="3"/>
  <c r="AC11" i="3"/>
  <c r="AD11" i="3"/>
  <c r="AE11" i="3"/>
  <c r="AF11" i="3"/>
  <c r="W12" i="3"/>
  <c r="X12" i="3"/>
  <c r="Y12" i="3"/>
  <c r="Z12" i="3"/>
  <c r="AA12" i="3"/>
  <c r="AB12" i="3"/>
  <c r="AC12" i="3"/>
  <c r="AD12" i="3"/>
  <c r="AE12" i="3"/>
  <c r="AF12" i="3"/>
  <c r="W13" i="3"/>
  <c r="X13" i="3"/>
  <c r="Y13" i="3"/>
  <c r="Z13" i="3"/>
  <c r="AA13" i="3"/>
  <c r="AB13" i="3"/>
  <c r="AC13" i="3"/>
  <c r="AD13" i="3"/>
  <c r="AE13" i="3"/>
  <c r="AF13" i="3"/>
  <c r="W14" i="3"/>
  <c r="X14" i="3"/>
  <c r="Y14" i="3"/>
  <c r="Z14" i="3"/>
  <c r="AA14" i="3"/>
  <c r="AB14" i="3"/>
  <c r="AC14" i="3"/>
  <c r="AD14" i="3"/>
  <c r="AE14" i="3"/>
  <c r="AF14" i="3"/>
  <c r="W15" i="3"/>
  <c r="X15" i="3"/>
  <c r="Y15" i="3"/>
  <c r="Z15" i="3"/>
  <c r="AA15" i="3"/>
  <c r="AB15" i="3"/>
  <c r="AC15" i="3"/>
  <c r="AD15" i="3"/>
  <c r="AE15" i="3"/>
  <c r="AF15" i="3"/>
  <c r="AF16" i="3"/>
  <c r="W17" i="3"/>
  <c r="X17" i="3"/>
  <c r="Y17" i="3"/>
  <c r="Z17" i="3"/>
  <c r="AA17" i="3"/>
  <c r="AB17" i="3"/>
  <c r="AC17" i="3"/>
  <c r="AD17" i="3"/>
  <c r="AE17" i="3"/>
  <c r="AF17" i="3"/>
  <c r="W18" i="3"/>
  <c r="X18" i="3"/>
  <c r="Y18" i="3"/>
  <c r="Z18" i="3"/>
  <c r="AA18" i="3"/>
  <c r="AB18" i="3"/>
  <c r="AC18" i="3"/>
  <c r="AD18" i="3"/>
  <c r="AE18" i="3"/>
  <c r="AF18" i="3"/>
  <c r="W19" i="3"/>
  <c r="X19" i="3"/>
  <c r="Y19" i="3"/>
  <c r="Z19" i="3"/>
  <c r="AA19" i="3"/>
  <c r="AB19" i="3"/>
  <c r="AC19" i="3"/>
  <c r="AD19" i="3"/>
  <c r="AE19" i="3"/>
  <c r="AF19" i="3"/>
  <c r="W20" i="3"/>
  <c r="X20" i="3"/>
  <c r="Y20" i="3"/>
  <c r="Z20" i="3"/>
  <c r="AA20" i="3"/>
  <c r="AB20" i="3"/>
  <c r="AC20" i="3"/>
  <c r="AD20" i="3"/>
  <c r="AE20" i="3"/>
  <c r="AF20" i="3"/>
  <c r="X4" i="3"/>
  <c r="W4" i="3"/>
  <c r="Y4" i="3"/>
  <c r="Z4" i="3"/>
  <c r="AA4" i="3"/>
  <c r="AB4" i="3"/>
  <c r="AC4" i="3"/>
  <c r="AD4" i="3"/>
  <c r="AE4" i="3"/>
  <c r="AF4" i="3"/>
  <c r="U20" i="3"/>
  <c r="K20" i="3"/>
  <c r="I20" i="3"/>
  <c r="U19" i="3"/>
  <c r="K19" i="3"/>
  <c r="I19" i="3"/>
  <c r="U18" i="3"/>
  <c r="K18" i="3"/>
  <c r="I18" i="3"/>
  <c r="U17" i="3"/>
  <c r="K17" i="3"/>
  <c r="I17" i="3"/>
  <c r="U15" i="3"/>
  <c r="K15" i="3"/>
  <c r="J15" i="3"/>
  <c r="I15" i="3"/>
  <c r="U14" i="3"/>
  <c r="K14" i="3"/>
  <c r="J14" i="3"/>
  <c r="I14" i="3"/>
  <c r="U13" i="3"/>
  <c r="K13" i="3"/>
  <c r="J13" i="3"/>
  <c r="I13" i="3"/>
  <c r="U12" i="3"/>
  <c r="K12" i="3"/>
  <c r="J12" i="3"/>
  <c r="I12" i="3"/>
  <c r="U11" i="3"/>
  <c r="K11" i="3"/>
  <c r="J11" i="3"/>
  <c r="I11" i="3"/>
  <c r="F11" i="3"/>
  <c r="U10" i="3"/>
  <c r="K10" i="3"/>
  <c r="I10" i="3"/>
  <c r="U9" i="3"/>
  <c r="K9" i="3"/>
  <c r="J9" i="3"/>
  <c r="I9" i="3"/>
  <c r="U8" i="3"/>
  <c r="H8" i="3"/>
  <c r="K8" i="3"/>
  <c r="J8" i="3"/>
  <c r="I8" i="3"/>
  <c r="U7" i="3"/>
  <c r="H7" i="3"/>
  <c r="K7" i="3"/>
  <c r="J7" i="3"/>
  <c r="I7" i="3"/>
  <c r="U6" i="3"/>
  <c r="K6" i="3"/>
  <c r="J6" i="3"/>
  <c r="I6" i="3"/>
  <c r="U5" i="3"/>
  <c r="K5" i="3"/>
  <c r="J5" i="3"/>
  <c r="I5" i="3"/>
  <c r="D4" i="3"/>
  <c r="AB5" i="6"/>
  <c r="AC5" i="6"/>
  <c r="AD5" i="6"/>
  <c r="AE5" i="6"/>
  <c r="AF5" i="6"/>
  <c r="AG5" i="6"/>
  <c r="AH5" i="6"/>
  <c r="AH4" i="6"/>
  <c r="AB6" i="6"/>
  <c r="AC6" i="6"/>
  <c r="AD6" i="6"/>
  <c r="AE6" i="6"/>
  <c r="AF6" i="6"/>
  <c r="AG6" i="6"/>
  <c r="AH6" i="6"/>
  <c r="AB7" i="6"/>
  <c r="AC7" i="6"/>
  <c r="AD7" i="6"/>
  <c r="AE7" i="6"/>
  <c r="AF7" i="6"/>
  <c r="AG7" i="6"/>
  <c r="AH7" i="6"/>
  <c r="AB8" i="6"/>
  <c r="AC8" i="6"/>
  <c r="AD8" i="6"/>
  <c r="AE8" i="6"/>
  <c r="AF8" i="6"/>
  <c r="AG8" i="6"/>
  <c r="AH8" i="6"/>
  <c r="AB9" i="6"/>
  <c r="AC9" i="6"/>
  <c r="AD9" i="6"/>
  <c r="AE9" i="6"/>
  <c r="AF9" i="6"/>
  <c r="AG9" i="6"/>
  <c r="AH9" i="6"/>
  <c r="AB10" i="6"/>
  <c r="AC10" i="6"/>
  <c r="AD10" i="6"/>
  <c r="AE10" i="6"/>
  <c r="AF10" i="6"/>
  <c r="AG10" i="6"/>
  <c r="AH10" i="6"/>
  <c r="AB11" i="6"/>
  <c r="AC11" i="6"/>
  <c r="AD11" i="6"/>
  <c r="AE11" i="6"/>
  <c r="AF11" i="6"/>
  <c r="AG11" i="6"/>
  <c r="AH11" i="6"/>
  <c r="S12" i="6"/>
  <c r="AB12" i="6"/>
  <c r="AC12" i="6"/>
  <c r="AD12" i="6"/>
  <c r="AE12" i="6"/>
  <c r="AF12" i="6"/>
  <c r="AG12" i="6"/>
  <c r="AH12" i="6"/>
  <c r="AB13" i="6"/>
  <c r="AC13" i="6"/>
  <c r="AD13" i="6"/>
  <c r="AE13" i="6"/>
  <c r="AF13" i="6"/>
  <c r="AG13" i="6"/>
  <c r="AH13" i="6"/>
  <c r="AB14" i="6"/>
  <c r="AC14" i="6"/>
  <c r="AD14" i="6"/>
  <c r="AE14" i="6"/>
  <c r="AF14" i="6"/>
  <c r="AG14" i="6"/>
  <c r="AH14" i="6"/>
  <c r="AB15" i="6"/>
  <c r="AC15" i="6"/>
  <c r="AD15" i="6"/>
  <c r="AE15" i="6"/>
  <c r="AF15" i="6"/>
  <c r="AG15" i="6"/>
  <c r="AH15" i="6"/>
  <c r="S16" i="6"/>
  <c r="AB16" i="6"/>
  <c r="T16" i="6"/>
  <c r="AC16" i="6"/>
  <c r="U16" i="6"/>
  <c r="AD16" i="6"/>
  <c r="V16" i="6"/>
  <c r="AE16" i="6"/>
  <c r="W16" i="6"/>
  <c r="AF16" i="6"/>
  <c r="X16" i="6"/>
  <c r="AG16" i="6"/>
  <c r="AH16" i="6"/>
  <c r="S17" i="6"/>
  <c r="AB17" i="6"/>
  <c r="T17" i="6"/>
  <c r="AC17" i="6"/>
  <c r="U17" i="6"/>
  <c r="AD17" i="6"/>
  <c r="V17" i="6"/>
  <c r="AE17" i="6"/>
  <c r="W17" i="6"/>
  <c r="AF17" i="6"/>
  <c r="X17" i="6"/>
  <c r="AG17" i="6"/>
  <c r="AH17" i="6"/>
  <c r="S18" i="6"/>
  <c r="AB18" i="6"/>
  <c r="T18" i="6"/>
  <c r="AC18" i="6"/>
  <c r="U18" i="6"/>
  <c r="AD18" i="6"/>
  <c r="V18" i="6"/>
  <c r="AE18" i="6"/>
  <c r="W18" i="6"/>
  <c r="AF18" i="6"/>
  <c r="X18" i="6"/>
  <c r="AG18" i="6"/>
  <c r="AH18" i="6"/>
  <c r="S19" i="6"/>
  <c r="AB19" i="6"/>
  <c r="T19" i="6"/>
  <c r="AC19" i="6"/>
  <c r="U19" i="6"/>
  <c r="AD19" i="6"/>
  <c r="V19" i="6"/>
  <c r="AE19" i="6"/>
  <c r="W19" i="6"/>
  <c r="AF19" i="6"/>
  <c r="X19" i="6"/>
  <c r="AG19" i="6"/>
  <c r="AH19" i="6"/>
  <c r="S20" i="6"/>
  <c r="AB20" i="6"/>
  <c r="T20" i="6"/>
  <c r="AC20" i="6"/>
  <c r="U20" i="6"/>
  <c r="AD20" i="6"/>
  <c r="V20" i="6"/>
  <c r="AE20" i="6"/>
  <c r="W20" i="6"/>
  <c r="AF20" i="6"/>
  <c r="X20" i="6"/>
  <c r="AG20" i="6"/>
  <c r="AH20" i="6"/>
  <c r="S21" i="6"/>
  <c r="AB21" i="6"/>
  <c r="T21" i="6"/>
  <c r="AC21" i="6"/>
  <c r="U21" i="6"/>
  <c r="AD21" i="6"/>
  <c r="V21" i="6"/>
  <c r="AE21" i="6"/>
  <c r="W21" i="6"/>
  <c r="AF21" i="6"/>
  <c r="X21" i="6"/>
  <c r="AG21" i="6"/>
  <c r="AH21" i="6"/>
  <c r="S22" i="6"/>
  <c r="AB22" i="6"/>
  <c r="T22" i="6"/>
  <c r="AC22" i="6"/>
  <c r="U22" i="6"/>
  <c r="AD22" i="6"/>
  <c r="V22" i="6"/>
  <c r="AE22" i="6"/>
  <c r="W22" i="6"/>
  <c r="AF22" i="6"/>
  <c r="X22" i="6"/>
  <c r="AG22" i="6"/>
  <c r="AH22" i="6"/>
  <c r="S23" i="6"/>
  <c r="AB23" i="6"/>
  <c r="T23" i="6"/>
  <c r="AC23" i="6"/>
  <c r="U23" i="6"/>
  <c r="AD23" i="6"/>
  <c r="V23" i="6"/>
  <c r="AE23" i="6"/>
  <c r="W23" i="6"/>
  <c r="AF23" i="6"/>
  <c r="X23" i="6"/>
  <c r="AG23" i="6"/>
  <c r="AH23" i="6"/>
  <c r="S24" i="6"/>
  <c r="AB24" i="6"/>
  <c r="T24" i="6"/>
  <c r="AC24" i="6"/>
  <c r="U24" i="6"/>
  <c r="AD24" i="6"/>
  <c r="V24" i="6"/>
  <c r="AE24" i="6"/>
  <c r="W24" i="6"/>
  <c r="AF24" i="6"/>
  <c r="X24" i="6"/>
  <c r="AG24" i="6"/>
  <c r="AH24" i="6"/>
  <c r="S25" i="6"/>
  <c r="AB25" i="6"/>
  <c r="T25" i="6"/>
  <c r="AC25" i="6"/>
  <c r="U25" i="6"/>
  <c r="AD25" i="6"/>
  <c r="V25" i="6"/>
  <c r="AE25" i="6"/>
  <c r="W25" i="6"/>
  <c r="AF25" i="6"/>
  <c r="X25" i="6"/>
  <c r="AG25" i="6"/>
  <c r="AH25" i="6"/>
  <c r="S26" i="6"/>
  <c r="AB26" i="6"/>
  <c r="T26" i="6"/>
  <c r="AC26" i="6"/>
  <c r="U26" i="6"/>
  <c r="AD26" i="6"/>
  <c r="V26" i="6"/>
  <c r="AE26" i="6"/>
  <c r="W26" i="6"/>
  <c r="AF26" i="6"/>
  <c r="X26" i="6"/>
  <c r="AG26" i="6"/>
  <c r="AH26" i="6"/>
  <c r="S27" i="6"/>
  <c r="AB27" i="6"/>
  <c r="T27" i="6"/>
  <c r="AC27" i="6"/>
  <c r="U27" i="6"/>
  <c r="AD27" i="6"/>
  <c r="V27" i="6"/>
  <c r="AE27" i="6"/>
  <c r="W27" i="6"/>
  <c r="AF27" i="6"/>
  <c r="X27" i="6"/>
  <c r="AG27" i="6"/>
  <c r="AH27" i="6"/>
  <c r="S28" i="6"/>
  <c r="AB28" i="6"/>
  <c r="T28" i="6"/>
  <c r="AC28" i="6"/>
  <c r="U28" i="6"/>
  <c r="AD28" i="6"/>
  <c r="V28" i="6"/>
  <c r="AE28" i="6"/>
  <c r="W28" i="6"/>
  <c r="AF28" i="6"/>
  <c r="X28" i="6"/>
  <c r="AG28" i="6"/>
  <c r="AH28" i="6"/>
  <c r="S29" i="6"/>
  <c r="AB29" i="6"/>
  <c r="T29" i="6"/>
  <c r="AC29" i="6"/>
  <c r="U29" i="6"/>
  <c r="AD29" i="6"/>
  <c r="V29" i="6"/>
  <c r="AE29" i="6"/>
  <c r="W29" i="6"/>
  <c r="AF29" i="6"/>
  <c r="X29" i="6"/>
  <c r="AG29" i="6"/>
  <c r="AH29" i="6"/>
  <c r="S30" i="6"/>
  <c r="AB30" i="6"/>
  <c r="T30" i="6"/>
  <c r="AC30" i="6"/>
  <c r="U30" i="6"/>
  <c r="AD30" i="6"/>
  <c r="V30" i="6"/>
  <c r="AE30" i="6"/>
  <c r="W30" i="6"/>
  <c r="AF30" i="6"/>
  <c r="X30" i="6"/>
  <c r="AG30" i="6"/>
  <c r="AH30" i="6"/>
  <c r="AB31" i="6"/>
  <c r="AC31" i="6"/>
  <c r="AD31" i="6"/>
  <c r="AE31" i="6"/>
  <c r="AF31" i="6"/>
  <c r="AG31" i="6"/>
  <c r="G31" i="6"/>
  <c r="K30" i="6"/>
  <c r="L30" i="6"/>
  <c r="Z30" i="6"/>
  <c r="J30" i="6"/>
  <c r="Y30" i="6"/>
  <c r="G30" i="6"/>
  <c r="L29" i="6"/>
  <c r="Z29" i="6"/>
  <c r="J29" i="6"/>
  <c r="Y29" i="6"/>
  <c r="G29" i="6"/>
  <c r="L28" i="6"/>
  <c r="Z28" i="6"/>
  <c r="J28" i="6"/>
  <c r="Y28" i="6"/>
  <c r="G28" i="6"/>
  <c r="L27" i="6"/>
  <c r="Z27" i="6"/>
  <c r="J27" i="6"/>
  <c r="Y27" i="6"/>
  <c r="G27" i="6"/>
  <c r="L26" i="6"/>
  <c r="Z26" i="6"/>
  <c r="J26" i="6"/>
  <c r="Y26" i="6"/>
  <c r="G26" i="6"/>
  <c r="L25" i="6"/>
  <c r="Z25" i="6"/>
  <c r="J25" i="6"/>
  <c r="Y25" i="6"/>
  <c r="G25" i="6"/>
  <c r="L24" i="6"/>
  <c r="Z24" i="6"/>
  <c r="J24" i="6"/>
  <c r="Y24" i="6"/>
  <c r="G24" i="6"/>
  <c r="L23" i="6"/>
  <c r="Z23" i="6"/>
  <c r="J23" i="6"/>
  <c r="Y23" i="6"/>
  <c r="G23" i="6"/>
  <c r="L22" i="6"/>
  <c r="Z22" i="6"/>
  <c r="J22" i="6"/>
  <c r="Y22" i="6"/>
  <c r="G22" i="6"/>
  <c r="L21" i="6"/>
  <c r="Z21" i="6"/>
  <c r="J21" i="6"/>
  <c r="Y21" i="6"/>
  <c r="G21" i="6"/>
  <c r="L20" i="6"/>
  <c r="Z20" i="6"/>
  <c r="J20" i="6"/>
  <c r="Y20" i="6"/>
  <c r="G20" i="6"/>
  <c r="L19" i="6"/>
  <c r="Z19" i="6"/>
  <c r="J19" i="6"/>
  <c r="Y19" i="6"/>
  <c r="G19" i="6"/>
  <c r="L18" i="6"/>
  <c r="Z18" i="6"/>
  <c r="J18" i="6"/>
  <c r="Y18" i="6"/>
  <c r="G18" i="6"/>
  <c r="L17" i="6"/>
  <c r="Z17" i="6"/>
  <c r="J17" i="6"/>
  <c r="Y17" i="6"/>
  <c r="G17" i="6"/>
  <c r="L16" i="6"/>
  <c r="J16" i="6"/>
  <c r="Y16" i="6"/>
  <c r="G16" i="6"/>
  <c r="Z15" i="6"/>
  <c r="Z14" i="6"/>
  <c r="Z13" i="6"/>
  <c r="Z12" i="6"/>
  <c r="Z11" i="6"/>
  <c r="Z10" i="6"/>
  <c r="Z9" i="6"/>
  <c r="Z8" i="6"/>
  <c r="L7" i="6"/>
  <c r="Z7" i="6"/>
  <c r="G7" i="6"/>
  <c r="I6" i="6"/>
  <c r="I5" i="6"/>
  <c r="G5" i="6"/>
  <c r="I4" i="6"/>
  <c r="G4" i="6"/>
  <c r="H2" i="5"/>
  <c r="T7" i="5"/>
  <c r="T24" i="5"/>
  <c r="T16" i="5"/>
  <c r="T3" i="5"/>
  <c r="T15" i="5"/>
  <c r="T12" i="5"/>
  <c r="T20" i="5"/>
  <c r="T19" i="5"/>
  <c r="T22" i="5"/>
  <c r="T23" i="5"/>
  <c r="T11" i="5"/>
  <c r="T9" i="5"/>
  <c r="T5" i="5"/>
  <c r="T4" i="5"/>
  <c r="T18" i="5"/>
  <c r="T6" i="5"/>
  <c r="T17" i="5"/>
  <c r="T21" i="5"/>
  <c r="H2" i="2"/>
  <c r="T3" i="2"/>
  <c r="T3" i="4"/>
  <c r="T4" i="2"/>
  <c r="T5" i="2"/>
  <c r="T6" i="2"/>
  <c r="T7" i="2"/>
  <c r="T8" i="2"/>
  <c r="T9" i="2"/>
  <c r="T10" i="2"/>
  <c r="T11" i="2"/>
  <c r="T11" i="4"/>
  <c r="T9" i="4"/>
  <c r="T4" i="4"/>
  <c r="T5" i="4"/>
  <c r="T6" i="4"/>
  <c r="T7" i="4"/>
  <c r="T8" i="4"/>
  <c r="T10" i="4"/>
  <c r="T12" i="4"/>
  <c r="T13" i="4"/>
  <c r="D13" i="4"/>
  <c r="D9" i="4"/>
  <c r="D4" i="4"/>
  <c r="D5" i="4"/>
  <c r="D6" i="4"/>
  <c r="D7" i="4"/>
  <c r="D8" i="4"/>
  <c r="D10" i="4"/>
  <c r="D11" i="4"/>
  <c r="D12" i="4"/>
  <c r="T10" i="5"/>
  <c r="T13" i="5"/>
  <c r="T8" i="5"/>
  <c r="T14" i="5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<sst xmlns="http://schemas.openxmlformats.org/spreadsheetml/2006/main" count="864" uniqueCount="295">
  <si>
    <t>Точки</t>
  </si>
  <si>
    <t>0.001-0.005</t>
  </si>
  <si>
    <t>0.005-0.01</t>
  </si>
  <si>
    <t>0.05-0.1</t>
  </si>
  <si>
    <t>0.1-0.25</t>
  </si>
  <si>
    <t>0.25-0.5</t>
  </si>
  <si>
    <t>0.5-0.75</t>
  </si>
  <si>
    <t>0.75-1.0</t>
  </si>
  <si>
    <t>1.0-1.5</t>
  </si>
  <si>
    <t>d ср, мм</t>
  </si>
  <si>
    <t>Средневзвешенный диаметр</t>
  </si>
  <si>
    <t>1.5-2.0</t>
  </si>
  <si>
    <t>2.0-2.5</t>
  </si>
  <si>
    <t>0.01-0,05</t>
  </si>
  <si>
    <t>0-0.001</t>
  </si>
  <si>
    <t>Дата</t>
  </si>
  <si>
    <t>Время</t>
  </si>
  <si>
    <t>Дата+Время</t>
  </si>
  <si>
    <t>Фильтр №</t>
  </si>
  <si>
    <t xml:space="preserve">Место </t>
  </si>
  <si>
    <t>Мутность, г/л</t>
  </si>
  <si>
    <t>№</t>
  </si>
  <si>
    <t>гст Джанкуат</t>
  </si>
  <si>
    <t>Д1</t>
  </si>
  <si>
    <t>Д2</t>
  </si>
  <si>
    <t>&gt;10</t>
  </si>
  <si>
    <t>7-10</t>
  </si>
  <si>
    <t>5-7</t>
  </si>
  <si>
    <t>3-5</t>
  </si>
  <si>
    <t>2-3</t>
  </si>
  <si>
    <t>1-2</t>
  </si>
  <si>
    <t>0.5-1</t>
  </si>
  <si>
    <t>&lt;0.25</t>
  </si>
  <si>
    <t>Д3</t>
  </si>
  <si>
    <t>Д4</t>
  </si>
  <si>
    <t>Д5</t>
  </si>
  <si>
    <t>Д6</t>
  </si>
  <si>
    <t>Д7</t>
  </si>
  <si>
    <t>Д9</t>
  </si>
  <si>
    <t>Д10</t>
  </si>
  <si>
    <t>Д11</t>
  </si>
  <si>
    <t>Д12</t>
  </si>
  <si>
    <t>Д13</t>
  </si>
  <si>
    <t>Д14</t>
  </si>
  <si>
    <t>Д15</t>
  </si>
  <si>
    <t>Д16</t>
  </si>
  <si>
    <t>Д17</t>
  </si>
  <si>
    <t>Д18</t>
  </si>
  <si>
    <t>Д19</t>
  </si>
  <si>
    <t>Д20</t>
  </si>
  <si>
    <t>Д22</t>
  </si>
  <si>
    <t>Д23</t>
  </si>
  <si>
    <t>Д24</t>
  </si>
  <si>
    <t>Д25</t>
  </si>
  <si>
    <t>№ образца</t>
  </si>
  <si>
    <t>Время отбора, мин</t>
  </si>
  <si>
    <t>Уровень, см</t>
  </si>
  <si>
    <t>Мутность, NTU</t>
  </si>
  <si>
    <t>Примечание/ Hmax</t>
  </si>
  <si>
    <t>Ширина реки в створе, м</t>
  </si>
  <si>
    <t>Ширина реки в см</t>
  </si>
  <si>
    <t>Масса, кг</t>
  </si>
  <si>
    <t>Масса, г</t>
  </si>
  <si>
    <t>Масса фракций, кг</t>
  </si>
  <si>
    <t>Масса фракций, г</t>
  </si>
  <si>
    <t>Расход влекомых наносов G, г/с</t>
  </si>
  <si>
    <t>Расход влекомых наносов G,кг/мин</t>
  </si>
  <si>
    <t>5-10</t>
  </si>
  <si>
    <t>2-5</t>
  </si>
  <si>
    <t>0.5-2.0</t>
  </si>
  <si>
    <t>0.1-0.5</t>
  </si>
  <si>
    <t>&lt;0.1</t>
  </si>
  <si>
    <t>ВН1</t>
  </si>
  <si>
    <t>ВН2</t>
  </si>
  <si>
    <t>ВН3</t>
  </si>
  <si>
    <t>ВН4</t>
  </si>
  <si>
    <t>ВН5</t>
  </si>
  <si>
    <t>ВН6</t>
  </si>
  <si>
    <t>ВН9</t>
  </si>
  <si>
    <t>ВН10</t>
  </si>
  <si>
    <t>ВН11</t>
  </si>
  <si>
    <t>ВН12</t>
  </si>
  <si>
    <t>ВН13</t>
  </si>
  <si>
    <t>ВН14</t>
  </si>
  <si>
    <t>ВЛ20</t>
  </si>
  <si>
    <t>пб</t>
  </si>
  <si>
    <t>ВЛ22</t>
  </si>
  <si>
    <t>ВЛ24</t>
  </si>
  <si>
    <t>ВЛ26</t>
  </si>
  <si>
    <t>ВЛ28</t>
  </si>
  <si>
    <t>ВЛ29</t>
  </si>
  <si>
    <t>ВЛ30</t>
  </si>
  <si>
    <t>ВЛ31</t>
  </si>
  <si>
    <t>ВЛ32</t>
  </si>
  <si>
    <t>ВЛ33</t>
  </si>
  <si>
    <t>ВЛ34</t>
  </si>
  <si>
    <t>ВЛ35</t>
  </si>
  <si>
    <t>ВЛ36</t>
  </si>
  <si>
    <t>ВЛ37</t>
  </si>
  <si>
    <t>ВЛ38</t>
  </si>
  <si>
    <t>ВЛ39</t>
  </si>
  <si>
    <t>Средневзвешенный диаметр, мм</t>
  </si>
  <si>
    <t>Н, см</t>
  </si>
  <si>
    <t>t, мин</t>
  </si>
  <si>
    <t>B, см</t>
  </si>
  <si>
    <t>T, NTU</t>
  </si>
  <si>
    <t>m мокр, кг</t>
  </si>
  <si>
    <t>m сух, кг</t>
  </si>
  <si>
    <t>Wg, кг/мин</t>
  </si>
  <si>
    <t>Wg, кг/с</t>
  </si>
  <si>
    <t>Wg, г/с</t>
  </si>
  <si>
    <t>∑</t>
  </si>
  <si>
    <t>Примечание</t>
  </si>
  <si>
    <t>-</t>
  </si>
  <si>
    <t>конец зандра</t>
  </si>
  <si>
    <t>8,5</t>
  </si>
  <si>
    <t>6</t>
  </si>
  <si>
    <t>4</t>
  </si>
  <si>
    <t>2,5</t>
  </si>
  <si>
    <t>1,2</t>
  </si>
  <si>
    <t>0,75</t>
  </si>
  <si>
    <t>0,375</t>
  </si>
  <si>
    <t>0,125</t>
  </si>
  <si>
    <t>Доля фракций, %</t>
  </si>
  <si>
    <t>гст Дальний</t>
  </si>
  <si>
    <t>d50</t>
  </si>
  <si>
    <t>d90</t>
  </si>
  <si>
    <t>span</t>
  </si>
  <si>
    <t>(d90-d10)/d50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</si>
  <si>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</si>
  <si>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</si>
  <si>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</si>
  <si>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</si>
  <si>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</si>
  <si>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</si>
  <si>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</si>
  <si>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</si>
  <si>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</si>
  <si>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D10 (mm):</t>
  </si>
  <si>
    <t>D50 (mm):</t>
  </si>
  <si>
    <t>D90 (mm):</t>
  </si>
  <si>
    <t>(D90 / D10) (mm):</t>
  </si>
  <si>
    <t>(D90 - D10) (mm):</t>
  </si>
  <si>
    <t>(D75 / D25) (mm):</t>
  </si>
  <si>
    <t>(D75 - D25) (mm):</t>
  </si>
  <si>
    <t>Номер</t>
  </si>
  <si>
    <t>Место</t>
  </si>
  <si>
    <t>Описание</t>
  </si>
  <si>
    <t>Удельная активность 
Cs-137, Бк/кг</t>
  </si>
  <si>
    <t>ρ, кг/м³</t>
  </si>
  <si>
    <t>Sed1</t>
  </si>
  <si>
    <t>отмостка. Внутри погребенного льда.</t>
  </si>
  <si>
    <t>Sed2</t>
  </si>
  <si>
    <t>ПБ долины. Створ лагеря. Склон водопадов ≈50м относительно дна долины.</t>
  </si>
  <si>
    <t>Sed3</t>
  </si>
  <si>
    <t>ПБ долины. Пб старого русла Койавгана. Крутой склон ≈40°. 10 м до снежника. Склон покрыт луговой раст-ю</t>
  </si>
  <si>
    <t>Sed4</t>
  </si>
  <si>
    <t>Моренный чехол над погребенным льдом ≈1995г. Мощность чехла 100-123 см. низ</t>
  </si>
  <si>
    <t>Sed5</t>
  </si>
  <si>
    <t>Моренный чехол над погребенным льдом ≈1995г. Мощность чехла 100-123 см. поверхность.</t>
  </si>
  <si>
    <t>Sed6</t>
  </si>
  <si>
    <t>Д8</t>
  </si>
  <si>
    <t>Спартаковская ночевка ≈VII зона. Очень крупные обломчные отложения. Мох, лишайники, трава.</t>
  </si>
  <si>
    <t>Sed7</t>
  </si>
  <si>
    <t>Морена ПБ. Южный склон. На вершине сыпуха</t>
  </si>
  <si>
    <t>Sed8</t>
  </si>
  <si>
    <t>Морена ПБ. Северный склон. Низовья склона</t>
  </si>
  <si>
    <t>Sed9</t>
  </si>
  <si>
    <t>ПБ склон долины. В створе базы. Около 3ьего водопада. Есть травянистая растительность.</t>
  </si>
  <si>
    <t>Sed10</t>
  </si>
  <si>
    <t>ПБ реки Джан. 100м ниже старого русла Койавгана. Морена перемытая аллювием</t>
  </si>
  <si>
    <t>Sed11</t>
  </si>
  <si>
    <t>ПБ. Один из конусов выноса. Крупные обломочные, мелкие тоже. Внизу можжевельники. Везде мох и морена</t>
  </si>
  <si>
    <t>Sed12</t>
  </si>
  <si>
    <t>Пов. ледника около ≈14 р. Исток реки джанкуат.</t>
  </si>
  <si>
    <t>Sed13</t>
  </si>
  <si>
    <t>отмостка</t>
  </si>
  <si>
    <t>Sed14</t>
  </si>
  <si>
    <t>Низ ПБ морены у борта ледника, там где поток Поповнина</t>
  </si>
  <si>
    <t>Sed15</t>
  </si>
  <si>
    <t>отложения супранивального потока у р.8</t>
  </si>
  <si>
    <t>Sed16</t>
  </si>
  <si>
    <t>ЛБ морена, верховья врезов, самое их начало, в свторе устья  Коя</t>
  </si>
  <si>
    <t>Sed17</t>
  </si>
  <si>
    <t>ЛБ морена, до врезов, в створе моренного вала 30х годов</t>
  </si>
  <si>
    <t>Sed18</t>
  </si>
  <si>
    <t>ПБ, последний конус выноса</t>
  </si>
  <si>
    <t>Sed19</t>
  </si>
  <si>
    <t>ПБ, в створе 30х годов, отложения снежных потоков</t>
  </si>
  <si>
    <t>ЦД21</t>
  </si>
  <si>
    <t>0-5 см</t>
  </si>
  <si>
    <t>ЦД22</t>
  </si>
  <si>
    <t>5-10 см</t>
  </si>
  <si>
    <t>ЦД23</t>
  </si>
  <si>
    <t>10-15 см</t>
  </si>
  <si>
    <t>ЦД24</t>
  </si>
  <si>
    <t>15-20 см</t>
  </si>
  <si>
    <t>d45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</si>
  <si>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</si>
  <si>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</si>
  <si>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</si>
  <si>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</si>
  <si>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</si>
  <si>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</si>
  <si>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</si>
  <si>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</si>
  <si>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</si>
  <si>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</si>
  <si>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 xml:space="preserve">SAMPLE TYPE: </t>
  </si>
  <si>
    <t>Bimodal, Poorly Sorted</t>
  </si>
  <si>
    <t>Unimodal, Poorly Sorted</t>
  </si>
  <si>
    <t>Bimodal, Very Poorly Sorted</t>
  </si>
  <si>
    <t>Unimodal, Moderately Sorted</t>
  </si>
  <si>
    <t>Trimodal, Very Poorly Sorted</t>
  </si>
  <si>
    <t xml:space="preserve">TEXTURAL GROUP: </t>
  </si>
  <si>
    <t>Sandy Mud</t>
  </si>
  <si>
    <t>Mud</t>
  </si>
  <si>
    <t>Muddy Sand</t>
  </si>
  <si>
    <t xml:space="preserve">SEDIMENT NAME: </t>
  </si>
  <si>
    <t>Very Fine Sandy Fine Silt</t>
  </si>
  <si>
    <t>Very Fine Sandy Very Coarse Silt</t>
  </si>
  <si>
    <t>Very Fine Silt</t>
  </si>
  <si>
    <t>Medium Sandy Mud</t>
  </si>
  <si>
    <t>Fine Silty Very Coarse Sand</t>
  </si>
  <si>
    <t>Fine Silt</t>
  </si>
  <si>
    <t>Very Coarse Sandy Fine Silt</t>
  </si>
  <si>
    <t>METHOD OF</t>
  </si>
  <si>
    <t>MEAN</t>
  </si>
  <si>
    <t>MOMENTS</t>
  </si>
  <si>
    <t>SORTING</t>
  </si>
  <si>
    <t>Arithmetic (mm)</t>
  </si>
  <si>
    <t>SKEWNESS</t>
  </si>
  <si>
    <t>KURTOSIS</t>
  </si>
  <si>
    <t>Geometric (mm)</t>
  </si>
  <si>
    <t>Logarithmic (f)</t>
  </si>
  <si>
    <t>FOLK AND</t>
  </si>
  <si>
    <t>WARD METHOD</t>
  </si>
  <si>
    <t>(mm)</t>
  </si>
  <si>
    <t>(f)</t>
  </si>
  <si>
    <t>MEAN:</t>
  </si>
  <si>
    <t>Medium Silt</t>
  </si>
  <si>
    <t>Coarse Silt</t>
  </si>
  <si>
    <t>Very Coarse Silt</t>
  </si>
  <si>
    <t>Fine Sand</t>
  </si>
  <si>
    <t>SORTING:</t>
  </si>
  <si>
    <t>Poorly Sorted</t>
  </si>
  <si>
    <t>Very Poorly Sorted</t>
  </si>
  <si>
    <t>Moderately Sorted</t>
  </si>
  <si>
    <t>(Description)</t>
  </si>
  <si>
    <t>SKEWNESS:</t>
  </si>
  <si>
    <t>Very Coarse Skewed</t>
  </si>
  <si>
    <t>Coarse Skewed</t>
  </si>
  <si>
    <t>Very Fine Skewed</t>
  </si>
  <si>
    <t>Symmetrical</t>
  </si>
  <si>
    <t>KURTOSIS:</t>
  </si>
  <si>
    <t>Platykurtic</t>
  </si>
  <si>
    <t>Very Platykurtic</t>
  </si>
  <si>
    <t>Leptokurtic</t>
  </si>
  <si>
    <t>Mesokurtic</t>
  </si>
  <si>
    <t>Very Leptokurtic</t>
  </si>
  <si>
    <t>MODE 1 (mm):</t>
  </si>
  <si>
    <t>MODE 2 (mm):</t>
  </si>
  <si>
    <t>MODE 3 (mm):</t>
  </si>
  <si>
    <t>MODE 1 (f):</t>
  </si>
  <si>
    <t>MODE 2 (f):</t>
  </si>
  <si>
    <t>MODE 3 (f):</t>
  </si>
  <si>
    <t>D10 (f):</t>
  </si>
  <si>
    <t>D50 (f):</t>
  </si>
  <si>
    <t>D90 (f):</t>
  </si>
  <si>
    <t>(D90 / D10) (f):</t>
  </si>
  <si>
    <t>(D90 - D10) (f):</t>
  </si>
  <si>
    <t>(D75 / D25) (f):</t>
  </si>
  <si>
    <t>(D75 - D25) (f):</t>
  </si>
  <si>
    <t>% GRAVEL:</t>
  </si>
  <si>
    <t>% SAND:</t>
  </si>
  <si>
    <t>% MUD:</t>
  </si>
  <si>
    <t>% V COARSE GRAVEL:</t>
  </si>
  <si>
    <t>% COARSE GRAVEL:</t>
  </si>
  <si>
    <t>% MEDIUM GRAVEL:</t>
  </si>
  <si>
    <t>% FINE GRAVEL:</t>
  </si>
  <si>
    <t>% V FINE GRAVEL:</t>
  </si>
  <si>
    <t>% V COARSE SAND:</t>
  </si>
  <si>
    <t>% COARSE SAND:</t>
  </si>
  <si>
    <t>% MEDIUM SAND:</t>
  </si>
  <si>
    <t>% FINE SAND:</t>
  </si>
  <si>
    <t>% V FINE SAND:</t>
  </si>
  <si>
    <t>% V COARSE SILT:</t>
  </si>
  <si>
    <t>% COARSE SILT:</t>
  </si>
  <si>
    <t>% MEDIUM SILT:</t>
  </si>
  <si>
    <t>% FINE SILT:</t>
  </si>
  <si>
    <t>% V FINE SILT:</t>
  </si>
  <si>
    <t>% CLAY:</t>
  </si>
  <si>
    <t>Время и Дата</t>
  </si>
  <si>
    <t>Прим.</t>
  </si>
  <si>
    <t>влекомые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</si>
</sst>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00"/>
    <numFmt numFmtId="167" formatCode="[$-F400]h:mm:ss\ AM/PM"/>
    <numFmt numFmtId="168" formatCode="0.0"/>
    <numFmt numFmtId="169" formatCode="0.000000"/>
    <numFmt numFmtId="170" formatCode="0.0%"/>
  </numFmts>
  <fonts count="2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name val="Calibri"/>
      <family val="2"/>
      <scheme val="minor"/>
    </font>
    <font>
      <i/>
      <sz val="11"/>
      <name val="Arial"/>
      <family val="2"/>
    </font>
    <font>
      <sz val="10"/>
      <name val="Arial"/>
      <family val="2"/>
      <charset val="204"/>
    </font>
    <font>
      <b/>
      <sz val="10"/>
      <name val="Arial Cyr"/>
      <charset val="204"/>
    </font>
    <font>
      <i/>
      <sz val="11"/>
      <name val="Courier New"/>
      <family val="3"/>
    </font>
    <font>
      <b/>
      <sz val="10"/>
      <name val="Arial"/>
      <family val="2"/>
    </font>
    <font>
      <sz val="10"/>
      <color rgb="FF000000"/>
      <name val="Lucida Console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9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/>
  </cellStyleXfs>
  <cellXfs count="141">
    <xf numFmtId="0" fontId="0" fillId="0" borderId="0" xfId="0"/>
    <xf numFmtId="0" fontId="0" fillId="0" borderId="0" xfId="0"/>
    <xf numFmtId="164" fontId="0" fillId="0" borderId="1" xfId="0" applyNumberFormat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/>
    <xf numFmtId="14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9" fillId="0" borderId="0" xfId="0" applyFont="1" applyFill="1"/>
    <xf numFmtId="0" fontId="3" fillId="0" borderId="0" xfId="0" applyFont="1" applyFill="1"/>
    <xf numFmtId="14" fontId="0" fillId="0" borderId="1" xfId="0" applyNumberFormat="1" applyBorder="1"/>
    <xf numFmtId="20" fontId="0" fillId="0" borderId="1" xfId="0" applyNumberFormat="1" applyBorder="1"/>
    <xf numFmtId="0" fontId="9" fillId="0" borderId="0" xfId="0" applyFont="1"/>
    <xf numFmtId="20" fontId="0" fillId="0" borderId="0" xfId="0" applyNumberFormat="1" applyFill="1"/>
    <xf numFmtId="1" fontId="0" fillId="0" borderId="0" xfId="0" applyNumberFormat="1"/>
    <xf numFmtId="165" fontId="0" fillId="0" borderId="0" xfId="0" applyNumberFormat="1" applyFill="1"/>
    <xf numFmtId="22" fontId="0" fillId="0" borderId="0" xfId="0" applyNumberFormat="1"/>
    <xf numFmtId="0" fontId="0" fillId="0" borderId="0" xfId="0" applyNumberFormat="1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/>
    <xf numFmtId="14" fontId="0" fillId="0" borderId="0" xfId="0" applyNumberFormat="1" applyAlignment="1">
      <alignment horizontal="right"/>
    </xf>
    <xf numFmtId="168" fontId="0" fillId="0" borderId="0" xfId="0" applyNumberFormat="1" applyFill="1"/>
    <xf numFmtId="49" fontId="2" fillId="0" borderId="1" xfId="1" applyNumberFormat="1" applyBorder="1"/>
    <xf numFmtId="49" fontId="2" fillId="0" borderId="1" xfId="1" applyNumberFormat="1" applyFill="1" applyBorder="1"/>
    <xf numFmtId="0" fontId="2" fillId="0" borderId="1" xfId="1" applyBorder="1"/>
    <xf numFmtId="14" fontId="2" fillId="0" borderId="1" xfId="1" applyNumberFormat="1" applyBorder="1"/>
    <xf numFmtId="20" fontId="2" fillId="0" borderId="1" xfId="1" applyNumberFormat="1" applyBorder="1"/>
    <xf numFmtId="0" fontId="2" fillId="0" borderId="1" xfId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2" fillId="0" borderId="1" xfId="1" applyNumberFormat="1" applyFill="1" applyBorder="1"/>
    <xf numFmtId="0" fontId="2" fillId="0" borderId="1" xfId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0" fontId="2" fillId="0" borderId="0" xfId="1"/>
    <xf numFmtId="0" fontId="2" fillId="0" borderId="1" xfId="1" applyFill="1" applyBorder="1"/>
    <xf numFmtId="1" fontId="2" fillId="0" borderId="1" xfId="1" applyNumberFormat="1" applyFill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2" fontId="0" fillId="0" borderId="0" xfId="0" applyNumberFormat="1"/>
    <xf numFmtId="49" fontId="2" fillId="0" borderId="1" xfId="1" applyNumberFormat="1" applyFill="1" applyBorder="1" applyAlignment="1">
      <alignment horizontal="center" vertical="center"/>
    </xf>
    <xf numFmtId="0" fontId="6" fillId="0" borderId="0" xfId="0" applyFont="1" applyAlignment="1"/>
    <xf numFmtId="2" fontId="6" fillId="0" borderId="0" xfId="0" applyNumberFormat="1" applyFont="1" applyAlignment="1"/>
    <xf numFmtId="2" fontId="11" fillId="0" borderId="0" xfId="0" applyNumberFormat="1" applyFont="1"/>
    <xf numFmtId="2" fontId="14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1" fontId="0" fillId="0" borderId="0" xfId="0" applyNumberFormat="1" applyFill="1"/>
    <xf numFmtId="0" fontId="0" fillId="6" borderId="0" xfId="0" applyFill="1"/>
    <xf numFmtId="2" fontId="0" fillId="6" borderId="0" xfId="0" applyNumberFormat="1" applyFont="1" applyFill="1"/>
    <xf numFmtId="1" fontId="0" fillId="6" borderId="0" xfId="0" applyNumberFormat="1" applyFont="1" applyFill="1"/>
    <xf numFmtId="2" fontId="14" fillId="6" borderId="0" xfId="0" applyNumberFormat="1" applyFont="1" applyFill="1"/>
    <xf numFmtId="0" fontId="11" fillId="6" borderId="0" xfId="0" applyFont="1" applyFill="1"/>
    <xf numFmtId="1" fontId="0" fillId="6" borderId="0" xfId="0" applyNumberFormat="1" applyFill="1"/>
    <xf numFmtId="168" fontId="10" fillId="0" borderId="0" xfId="0" applyNumberFormat="1" applyFont="1" applyAlignment="1">
      <alignment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9" fontId="0" fillId="0" borderId="1" xfId="0" applyNumberForma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0" fillId="0" borderId="0" xfId="0" applyNumberFormat="1"/>
    <xf numFmtId="166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64" fontId="0" fillId="0" borderId="1" xfId="0" applyNumberFormat="1" applyFill="1" applyBorder="1" applyAlignment="1">
      <alignment vertical="center"/>
    </xf>
    <xf numFmtId="0" fontId="5" fillId="0" borderId="1" xfId="38" applyFont="1" applyBorder="1" applyAlignment="1">
      <alignment horizontal="center" vertical="center"/>
    </xf>
    <xf numFmtId="0" fontId="1" fillId="0" borderId="1" xfId="38" applyFont="1" applyBorder="1" applyAlignment="1">
      <alignment horizontal="center" vertical="center"/>
    </xf>
    <xf numFmtId="0" fontId="17" fillId="0" borderId="0" xfId="38"/>
    <xf numFmtId="166" fontId="6" fillId="0" borderId="1" xfId="38" applyNumberFormat="1" applyFont="1" applyBorder="1" applyAlignment="1">
      <alignment horizontal="center" vertical="center"/>
    </xf>
    <xf numFmtId="164" fontId="6" fillId="0" borderId="1" xfId="38" applyNumberFormat="1" applyFont="1" applyBorder="1" applyAlignment="1">
      <alignment horizontal="center" vertical="center"/>
    </xf>
    <xf numFmtId="165" fontId="6" fillId="0" borderId="1" xfId="38" applyNumberFormat="1" applyFont="1" applyBorder="1" applyAlignment="1">
      <alignment horizontal="center" vertical="center"/>
    </xf>
    <xf numFmtId="2" fontId="6" fillId="0" borderId="1" xfId="38" applyNumberFormat="1" applyFont="1" applyBorder="1" applyAlignment="1">
      <alignment horizontal="center" vertical="center"/>
    </xf>
    <xf numFmtId="164" fontId="17" fillId="0" borderId="1" xfId="38" applyNumberFormat="1" applyBorder="1" applyAlignment="1">
      <alignment horizontal="center" vertical="center" wrapText="1"/>
    </xf>
    <xf numFmtId="0" fontId="17" fillId="0" borderId="1" xfId="38" applyBorder="1"/>
    <xf numFmtId="22" fontId="17" fillId="0" borderId="1" xfId="38" applyNumberFormat="1" applyBorder="1"/>
    <xf numFmtId="0" fontId="17" fillId="0" borderId="2" xfId="38" applyBorder="1" applyAlignment="1">
      <alignment wrapText="1"/>
    </xf>
    <xf numFmtId="2" fontId="17" fillId="0" borderId="1" xfId="38" applyNumberFormat="1" applyBorder="1"/>
    <xf numFmtId="0" fontId="17" fillId="0" borderId="1" xfId="38" applyBorder="1" applyAlignment="1">
      <alignment vertical="center"/>
    </xf>
    <xf numFmtId="2" fontId="17" fillId="0" borderId="1" xfId="38" applyNumberFormat="1" applyBorder="1" applyAlignment="1">
      <alignment vertical="center"/>
    </xf>
    <xf numFmtId="168" fontId="17" fillId="0" borderId="1" xfId="38" applyNumberFormat="1" applyBorder="1"/>
    <xf numFmtId="0" fontId="16" fillId="0" borderId="0" xfId="0" applyFont="1"/>
    <xf numFmtId="0" fontId="19" fillId="0" borderId="0" xfId="0" applyFont="1" applyFill="1"/>
    <xf numFmtId="0" fontId="20" fillId="0" borderId="0" xfId="0" applyFont="1" applyFill="1"/>
    <xf numFmtId="0" fontId="16" fillId="0" borderId="0" xfId="0" applyFont="1" applyFill="1"/>
    <xf numFmtId="170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2" fontId="2" fillId="0" borderId="1" xfId="1" applyNumberFormat="1" applyBorder="1"/>
    <xf numFmtId="22" fontId="0" fillId="3" borderId="0" xfId="0" applyNumberFormat="1" applyFill="1"/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8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2" borderId="0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0" xfId="1" applyFill="1" applyBorder="1" applyAlignment="1">
      <alignment horizontal="center" vertical="center" wrapText="1"/>
    </xf>
    <xf numFmtId="0" fontId="2" fillId="0" borderId="5" xfId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8" fillId="0" borderId="1" xfId="38" applyFont="1" applyBorder="1" applyAlignment="1">
      <alignment horizontal="center" vertical="center"/>
    </xf>
    <xf numFmtId="0" fontId="16" fillId="0" borderId="9" xfId="38" applyFont="1" applyBorder="1" applyAlignment="1">
      <alignment horizontal="center" vertical="center"/>
    </xf>
    <xf numFmtId="0" fontId="16" fillId="0" borderId="5" xfId="38" applyFont="1" applyBorder="1" applyAlignment="1">
      <alignment horizontal="center" vertical="center"/>
    </xf>
    <xf numFmtId="0" fontId="18" fillId="0" borderId="1" xfId="38" applyFont="1" applyBorder="1" applyAlignment="1">
      <alignment horizontal="center" vertical="center" wrapText="1"/>
    </xf>
    <xf numFmtId="1" fontId="12" fillId="0" borderId="0" xfId="1" applyNumberFormat="1" applyFont="1" applyFill="1" applyBorder="1" applyAlignment="1">
      <alignment horizontal="center" vertical="center" wrapText="1"/>
    </xf>
    <xf numFmtId="2" fontId="12" fillId="0" borderId="0" xfId="1" applyNumberFormat="1" applyFont="1" applyFill="1" applyBorder="1" applyAlignment="1">
      <alignment horizontal="center" vertical="center" wrapText="1"/>
    </xf>
  </cellXfs>
  <cellStyles count="39">
    <cellStyle name="Normal 2" xfId="38"/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Обычный" xfId="0" builtinId="0"/>
    <cellStyle name="Обычный 2" xfId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0-0.001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'2015'!$H$3:$H$13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0.1</c:v>
                </c:pt>
                <c:pt idx="9">
                  <c:v>23.5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6-40C4-BC7D-B02119522A72}"/>
            </c:ext>
          </c:extLst>
        </c:ser>
        <c:ser>
          <c:idx val="1"/>
          <c:order val="1"/>
          <c:tx>
            <c:v>0.001-0.005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'2015'!$I$3:$I$13</c:f>
              <c:numCache>
                <c:formatCode>General</c:formatCode>
                <c:ptCount val="11"/>
                <c:pt idx="0">
                  <c:v>12.8</c:v>
                </c:pt>
                <c:pt idx="1">
                  <c:v>11.6</c:v>
                </c:pt>
                <c:pt idx="2">
                  <c:v>10</c:v>
                </c:pt>
                <c:pt idx="3">
                  <c:v>9.1999999999999993</c:v>
                </c:pt>
                <c:pt idx="4">
                  <c:v>4.2</c:v>
                </c:pt>
                <c:pt idx="5">
                  <c:v>10.3</c:v>
                </c:pt>
                <c:pt idx="6">
                  <c:v>7.4</c:v>
                </c:pt>
                <c:pt idx="7">
                  <c:v>66.3</c:v>
                </c:pt>
                <c:pt idx="8">
                  <c:v>9.4</c:v>
                </c:pt>
                <c:pt idx="9">
                  <c:v>43.2</c:v>
                </c:pt>
                <c:pt idx="10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6-40C4-BC7D-B02119522A72}"/>
            </c:ext>
          </c:extLst>
        </c:ser>
        <c:ser>
          <c:idx val="2"/>
          <c:order val="2"/>
          <c:tx>
            <c:v>0.005-0.01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'2015'!$J$3:$J$13</c:f>
              <c:numCache>
                <c:formatCode>General</c:formatCode>
                <c:ptCount val="11"/>
                <c:pt idx="0">
                  <c:v>41.300000000000004</c:v>
                </c:pt>
                <c:pt idx="1">
                  <c:v>52.7</c:v>
                </c:pt>
                <c:pt idx="2">
                  <c:v>39.5</c:v>
                </c:pt>
                <c:pt idx="3">
                  <c:v>38.599999999999994</c:v>
                </c:pt>
                <c:pt idx="4">
                  <c:v>23.3</c:v>
                </c:pt>
                <c:pt idx="5">
                  <c:v>37.599999999999994</c:v>
                </c:pt>
                <c:pt idx="6">
                  <c:v>33.700000000000003</c:v>
                </c:pt>
                <c:pt idx="7">
                  <c:v>24.899999999999991</c:v>
                </c:pt>
                <c:pt idx="8">
                  <c:v>40.200000000000003</c:v>
                </c:pt>
                <c:pt idx="9">
                  <c:v>9.9999999999994316E-2</c:v>
                </c:pt>
                <c:pt idx="10">
                  <c:v>40.599999999999994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6-40C4-BC7D-B02119522A72}"/>
            </c:ext>
          </c:extLst>
        </c:ser>
        <c:ser>
          <c:idx val="3"/>
          <c:order val="3"/>
          <c:tx>
            <c:v>0.01-0.05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'2015'!$K$3:$K$13</c:f>
              <c:numCache>
                <c:formatCode>General</c:formatCode>
                <c:ptCount val="11"/>
                <c:pt idx="0">
                  <c:v>18.200000000000003</c:v>
                </c:pt>
                <c:pt idx="1">
                  <c:v>12.5</c:v>
                </c:pt>
                <c:pt idx="2">
                  <c:v>18.200000000000003</c:v>
                </c:pt>
                <c:pt idx="3">
                  <c:v>19.700000000000003</c:v>
                </c:pt>
                <c:pt idx="4">
                  <c:v>17.200000000000003</c:v>
                </c:pt>
                <c:pt idx="5">
                  <c:v>18.300000000000004</c:v>
                </c:pt>
                <c:pt idx="6">
                  <c:v>19.299999999999997</c:v>
                </c:pt>
                <c:pt idx="7">
                  <c:v>2.4000000000000057</c:v>
                </c:pt>
                <c:pt idx="8">
                  <c:v>12.699999999999996</c:v>
                </c:pt>
                <c:pt idx="9">
                  <c:v>0.40000000000000568</c:v>
                </c:pt>
                <c:pt idx="10">
                  <c:v>15.500000000000007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6-40C4-BC7D-B02119522A72}"/>
            </c:ext>
          </c:extLst>
        </c:ser>
        <c:ser>
          <c:idx val="4"/>
          <c:order val="4"/>
          <c:tx>
            <c:v>0.05-0.1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'2015'!$L$3:$L$13</c:f>
              <c:numCache>
                <c:formatCode>General</c:formatCode>
                <c:ptCount val="11"/>
                <c:pt idx="0">
                  <c:v>27.599999999999994</c:v>
                </c:pt>
                <c:pt idx="1">
                  <c:v>23.099999999999994</c:v>
                </c:pt>
                <c:pt idx="2">
                  <c:v>32.299999999999997</c:v>
                </c:pt>
                <c:pt idx="3">
                  <c:v>32.5</c:v>
                </c:pt>
                <c:pt idx="4">
                  <c:v>49.2</c:v>
                </c:pt>
                <c:pt idx="5">
                  <c:v>33.700000000000003</c:v>
                </c:pt>
                <c:pt idx="6">
                  <c:v>39.4</c:v>
                </c:pt>
                <c:pt idx="7">
                  <c:v>2.5</c:v>
                </c:pt>
                <c:pt idx="8">
                  <c:v>35.300000000000004</c:v>
                </c:pt>
                <c:pt idx="9">
                  <c:v>3.0999999999999943</c:v>
                </c:pt>
                <c:pt idx="10">
                  <c:v>29.099999999999994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6-40C4-BC7D-B02119522A72}"/>
            </c:ext>
          </c:extLst>
        </c:ser>
        <c:ser>
          <c:idx val="5"/>
          <c:order val="5"/>
          <c:tx>
            <c:v>0.1-0.25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'2015'!$M$3:$M$13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6.0999999999999943</c:v>
                </c:pt>
                <c:pt idx="5">
                  <c:v>9.9999999999994316E-2</c:v>
                </c:pt>
                <c:pt idx="6">
                  <c:v>0.20000000000000284</c:v>
                </c:pt>
                <c:pt idx="7">
                  <c:v>0</c:v>
                </c:pt>
                <c:pt idx="8">
                  <c:v>2.2999999999999972</c:v>
                </c:pt>
                <c:pt idx="9">
                  <c:v>3.7000000000000028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6-40C4-BC7D-B02119522A72}"/>
            </c:ext>
          </c:extLst>
        </c:ser>
        <c:ser>
          <c:idx val="6"/>
          <c:order val="6"/>
          <c:tx>
            <c:v>0.25-0.5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'2015'!$N$3:$N$13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6-40C4-BC7D-B02119522A72}"/>
            </c:ext>
          </c:extLst>
        </c:ser>
        <c:ser>
          <c:idx val="7"/>
          <c:order val="7"/>
          <c:tx>
            <c:v>0.5-0.75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6-40C4-BC7D-B02119522A72}"/>
            </c:ext>
          </c:extLst>
        </c:ser>
        <c:ser>
          <c:idx val="8"/>
          <c:order val="8"/>
          <c:tx>
            <c:v>0.75-1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'2015'!$P$3:$P$13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0.70000000000000284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6-40C4-BC7D-B02119522A72}"/>
            </c:ext>
          </c:extLst>
        </c:ser>
        <c:ser>
          <c:idx val="9"/>
          <c:order val="9"/>
          <c:tx>
            <c:v>1-1.5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'2015'!$Q$3:$Q$13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0.20000000000000284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16-40C4-BC7D-B02119522A72}"/>
            </c:ext>
          </c:extLst>
        </c:ser>
        <c:ser>
          <c:idx val="10"/>
          <c:order val="10"/>
          <c:tx>
            <c:v>1.5-2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'2015'!$E$3:$E$13</c:f>
              <c:numCache>
                <c:formatCode>General</c:formatCode>
                <c:ptCount val="11"/>
                <c:pt idx="0">
                  <c:v>45</c:v>
                </c:pt>
                <c:pt idx="1">
                  <c:v>1501</c:v>
                </c:pt>
                <c:pt idx="2">
                  <c:v>1502</c:v>
                </c:pt>
                <c:pt idx="3">
                  <c:v>1503</c:v>
                </c:pt>
                <c:pt idx="4">
                  <c:v>1504</c:v>
                </c:pt>
                <c:pt idx="5">
                  <c:v>1505</c:v>
                </c:pt>
                <c:pt idx="6">
                  <c:v>1506</c:v>
                </c:pt>
                <c:pt idx="7">
                  <c:v>1507</c:v>
                </c:pt>
                <c:pt idx="8">
                  <c:v>1508</c:v>
                </c:pt>
                <c:pt idx="9">
                  <c:v>1509</c:v>
                </c:pt>
                <c:pt idx="10">
                  <c:v>1510</c:v>
                </c:pt>
              </c:numCache>
            </c:numRef>
          </c:cat>
          <c:val>
            <c:numRef>
              <c:f>'2015'!$R$3:$R$13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9.9999999999994316E-2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16-40C4-BC7D-B02119522A72}"/>
            </c:ext>
          </c:extLst>
        </c:ser>
        <c:ser>
          <c:idx val="11"/>
          <c:order val="11"/>
          <c:tx>
            <c:v>2-2.5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'2015'!$S$3:$S$13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16-40C4-BC7D-B0211952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78565472"/>
        <c:axId val="1977688672"/>
      </c:barChart>
      <c:catAx>
        <c:axId val="197856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7688672"/>
        <c:crosses val="autoZero"/>
        <c:auto val="1"/>
        <c:lblAlgn val="ctr"/>
        <c:lblOffset val="100"/>
        <c:noMultiLvlLbl val="0"/>
      </c:catAx>
      <c:valAx>
        <c:axId val="19776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51290929059396E-2"/>
          <c:y val="6.2999743151778906E-2"/>
          <c:w val="0.76929732608417101"/>
          <c:h val="0.87370949561699796"/>
        </c:manualLayout>
      </c:layout>
      <c:barChart>
        <c:barDir val="bar"/>
        <c:grouping val="stacked"/>
        <c:varyColors val="0"/>
        <c:ser>
          <c:idx val="0"/>
          <c:order val="0"/>
          <c:tx>
            <c:v>0-0.001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'2016'!$H$3:$H$11</c:f>
              <c:numCache>
                <c:formatCode>General</c:formatCode>
                <c:ptCount val="9"/>
                <c:pt idx="0">
                  <c:v>0.1</c:v>
                </c:pt>
                <c:pt idx="1">
                  <c:v>7.9</c:v>
                </c:pt>
                <c:pt idx="2">
                  <c:v>0.1</c:v>
                </c:pt>
                <c:pt idx="3">
                  <c:v>2.5</c:v>
                </c:pt>
                <c:pt idx="4">
                  <c:v>0.4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7-4B71-80D7-82A60F16B869}"/>
            </c:ext>
          </c:extLst>
        </c:ser>
        <c:ser>
          <c:idx val="1"/>
          <c:order val="1"/>
          <c:tx>
            <c:v>0.001-0.005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'2016'!$I$3:$I$11</c:f>
              <c:numCache>
                <c:formatCode>General</c:formatCode>
                <c:ptCount val="9"/>
                <c:pt idx="0">
                  <c:v>14</c:v>
                </c:pt>
                <c:pt idx="1">
                  <c:v>84.6</c:v>
                </c:pt>
                <c:pt idx="2">
                  <c:v>19.7</c:v>
                </c:pt>
                <c:pt idx="3">
                  <c:v>19.5</c:v>
                </c:pt>
                <c:pt idx="4">
                  <c:v>16.5</c:v>
                </c:pt>
                <c:pt idx="5">
                  <c:v>13.700000000000001</c:v>
                </c:pt>
                <c:pt idx="6">
                  <c:v>10.8</c:v>
                </c:pt>
                <c:pt idx="7">
                  <c:v>23.4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7-4B71-80D7-82A60F16B869}"/>
            </c:ext>
          </c:extLst>
        </c:ser>
        <c:ser>
          <c:idx val="2"/>
          <c:order val="2"/>
          <c:tx>
            <c:v>0.005-0.01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'2016'!$J$3:$J$11</c:f>
              <c:numCache>
                <c:formatCode>General</c:formatCode>
                <c:ptCount val="9"/>
                <c:pt idx="0">
                  <c:v>36.6</c:v>
                </c:pt>
                <c:pt idx="1">
                  <c:v>7.5</c:v>
                </c:pt>
                <c:pt idx="2">
                  <c:v>49</c:v>
                </c:pt>
                <c:pt idx="3">
                  <c:v>44</c:v>
                </c:pt>
                <c:pt idx="4">
                  <c:v>41.1</c:v>
                </c:pt>
                <c:pt idx="5">
                  <c:v>44.099999999999994</c:v>
                </c:pt>
                <c:pt idx="6">
                  <c:v>50.599999999999994</c:v>
                </c:pt>
                <c:pt idx="7">
                  <c:v>51</c:v>
                </c:pt>
                <c:pt idx="8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7-4B71-80D7-82A60F16B869}"/>
            </c:ext>
          </c:extLst>
        </c:ser>
        <c:ser>
          <c:idx val="3"/>
          <c:order val="3"/>
          <c:tx>
            <c:v>0.01-0.05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'2016'!$K$3:$K$11</c:f>
              <c:numCache>
                <c:formatCode>General</c:formatCode>
                <c:ptCount val="9"/>
                <c:pt idx="0">
                  <c:v>18</c:v>
                </c:pt>
                <c:pt idx="1">
                  <c:v>0</c:v>
                </c:pt>
                <c:pt idx="2">
                  <c:v>12.799999999999997</c:v>
                </c:pt>
                <c:pt idx="3">
                  <c:v>14.299999999999997</c:v>
                </c:pt>
                <c:pt idx="4">
                  <c:v>17.099999999999994</c:v>
                </c:pt>
                <c:pt idx="5">
                  <c:v>16.600000000000001</c:v>
                </c:pt>
                <c:pt idx="6">
                  <c:v>18.300000000000004</c:v>
                </c:pt>
                <c:pt idx="7">
                  <c:v>10.200000000000003</c:v>
                </c:pt>
                <c:pt idx="8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7-4B71-80D7-82A60F16B869}"/>
            </c:ext>
          </c:extLst>
        </c:ser>
        <c:ser>
          <c:idx val="4"/>
          <c:order val="4"/>
          <c:tx>
            <c:v>0.05-0.1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'2016'!$L$3:$L$11</c:f>
              <c:numCache>
                <c:formatCode>General</c:formatCode>
                <c:ptCount val="9"/>
                <c:pt idx="0">
                  <c:v>31.299999999999997</c:v>
                </c:pt>
                <c:pt idx="1">
                  <c:v>0</c:v>
                </c:pt>
                <c:pt idx="2">
                  <c:v>18.400000000000006</c:v>
                </c:pt>
                <c:pt idx="3">
                  <c:v>19.700000000000003</c:v>
                </c:pt>
                <c:pt idx="4">
                  <c:v>24.900000000000006</c:v>
                </c:pt>
                <c:pt idx="5">
                  <c:v>25.5</c:v>
                </c:pt>
                <c:pt idx="6">
                  <c:v>20.299999999999997</c:v>
                </c:pt>
                <c:pt idx="7">
                  <c:v>15.299999999999997</c:v>
                </c:pt>
                <c:pt idx="8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7-4B71-80D7-82A60F16B869}"/>
            </c:ext>
          </c:extLst>
        </c:ser>
        <c:ser>
          <c:idx val="5"/>
          <c:order val="5"/>
          <c:tx>
            <c:v>0.1-0.25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7-4B71-80D7-82A60F16B869}"/>
            </c:ext>
          </c:extLst>
        </c:ser>
        <c:ser>
          <c:idx val="6"/>
          <c:order val="6"/>
          <c:tx>
            <c:v>0.25-0.5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7-4B71-80D7-82A60F16B869}"/>
            </c:ext>
          </c:extLst>
        </c:ser>
        <c:ser>
          <c:idx val="7"/>
          <c:order val="7"/>
          <c:tx>
            <c:v>0.5-0.75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C7-4B71-80D7-82A60F16B869}"/>
            </c:ext>
          </c:extLst>
        </c:ser>
        <c:ser>
          <c:idx val="8"/>
          <c:order val="8"/>
          <c:tx>
            <c:v>0.75-1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C7-4B71-80D7-82A60F16B869}"/>
            </c:ext>
          </c:extLst>
        </c:ser>
        <c:ser>
          <c:idx val="9"/>
          <c:order val="9"/>
          <c:tx>
            <c:v>1-1.5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C7-4B71-80D7-82A60F16B869}"/>
            </c:ext>
          </c:extLst>
        </c:ser>
        <c:ser>
          <c:idx val="10"/>
          <c:order val="10"/>
          <c:tx>
            <c:v>1.5-2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C7-4B71-80D7-82A60F16B869}"/>
            </c:ext>
          </c:extLst>
        </c:ser>
        <c:ser>
          <c:idx val="11"/>
          <c:order val="11"/>
          <c:tx>
            <c:v>2-2.5</c:v>
          </c:tx>
          <c:invertIfNegative val="0"/>
          <c:cat>
            <c:numRef>
              <c:f>'2016'!$E$3:$E$11</c:f>
              <c:numCache>
                <c:formatCode>General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46</c:v>
                </c:pt>
                <c:pt idx="7">
                  <c:v>40</c:v>
                </c:pt>
                <c:pt idx="8">
                  <c:v>38</c:v>
                </c:pt>
              </c:numCache>
            </c:numRef>
          </c:cat>
          <c:val>
            <c:numRef>
              <c:f>'2016'!$S$3:$S$11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C7-4B71-80D7-82A60F16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685920"/>
        <c:axId val="1977732400"/>
      </c:barChart>
      <c:catAx>
        <c:axId val="1977685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77732400"/>
        <c:crosses val="autoZero"/>
        <c:auto val="1"/>
        <c:lblAlgn val="ctr"/>
        <c:lblOffset val="100"/>
        <c:noMultiLvlLbl val="0"/>
      </c:catAx>
      <c:valAx>
        <c:axId val="1977732400"/>
        <c:scaling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97768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926484742781"/>
          <c:y val="0.173693358644224"/>
          <c:w val="0.12518567771733899"/>
          <c:h val="0.610306971715455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0-0.001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'2017'!$H$3:$H$24</c:f>
              <c:numCache>
                <c:formatCode>General</c:formatCode>
                <c:ptCount val="22"/>
                <c:pt idx="0">
                  <c:v>7.4</c:v>
                </c:pt>
                <c:pt idx="1">
                  <c:v>0.1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4.7</c:v>
                </c:pt>
                <c:pt idx="10">
                  <c:v>0.3</c:v>
                </c:pt>
                <c:pt idx="11">
                  <c:v>5.2</c:v>
                </c:pt>
                <c:pt idx="12">
                  <c:v>1</c:v>
                </c:pt>
                <c:pt idx="13">
                  <c:v>4.5999999999999996</c:v>
                </c:pt>
                <c:pt idx="14">
                  <c:v>0.5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DC6-BB5C-28DFD1FD0EED}"/>
            </c:ext>
          </c:extLst>
        </c:ser>
        <c:ser>
          <c:idx val="1"/>
          <c:order val="1"/>
          <c:tx>
            <c:v>0.001-0.005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'2017'!$I$3:$I$24</c:f>
              <c:numCache>
                <c:formatCode>General</c:formatCode>
                <c:ptCount val="22"/>
                <c:pt idx="0">
                  <c:v>81.199999999999989</c:v>
                </c:pt>
                <c:pt idx="1">
                  <c:v>7.9</c:v>
                </c:pt>
                <c:pt idx="2">
                  <c:v>12</c:v>
                </c:pt>
                <c:pt idx="3">
                  <c:v>9.4</c:v>
                </c:pt>
                <c:pt idx="4">
                  <c:v>9.5</c:v>
                </c:pt>
                <c:pt idx="5">
                  <c:v>9.1</c:v>
                </c:pt>
                <c:pt idx="6">
                  <c:v>9.1</c:v>
                </c:pt>
                <c:pt idx="7">
                  <c:v>9.8000000000000007</c:v>
                </c:pt>
                <c:pt idx="8">
                  <c:v>12.5</c:v>
                </c:pt>
                <c:pt idx="9">
                  <c:v>18.400000000000002</c:v>
                </c:pt>
                <c:pt idx="10">
                  <c:v>14.7</c:v>
                </c:pt>
                <c:pt idx="11">
                  <c:v>19.8</c:v>
                </c:pt>
                <c:pt idx="12">
                  <c:v>50.7</c:v>
                </c:pt>
                <c:pt idx="13">
                  <c:v>72.400000000000006</c:v>
                </c:pt>
                <c:pt idx="14">
                  <c:v>43.1</c:v>
                </c:pt>
                <c:pt idx="15">
                  <c:v>16.599999999999998</c:v>
                </c:pt>
                <c:pt idx="16">
                  <c:v>12.3</c:v>
                </c:pt>
                <c:pt idx="17">
                  <c:v>9.8000000000000007</c:v>
                </c:pt>
                <c:pt idx="18">
                  <c:v>44.6</c:v>
                </c:pt>
                <c:pt idx="19">
                  <c:v>8.6</c:v>
                </c:pt>
                <c:pt idx="20">
                  <c:v>10.1</c:v>
                </c:pt>
                <c:pt idx="21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4DC6-BB5C-28DFD1FD0EED}"/>
            </c:ext>
          </c:extLst>
        </c:ser>
        <c:ser>
          <c:idx val="2"/>
          <c:order val="2"/>
          <c:tx>
            <c:v>0.005-0.01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'2017'!$J$3:$J$24</c:f>
              <c:numCache>
                <c:formatCode>General</c:formatCode>
                <c:ptCount val="22"/>
                <c:pt idx="0">
                  <c:v>11.400000000000006</c:v>
                </c:pt>
                <c:pt idx="1">
                  <c:v>25</c:v>
                </c:pt>
                <c:pt idx="2">
                  <c:v>34.700000000000003</c:v>
                </c:pt>
                <c:pt idx="3">
                  <c:v>35.200000000000003</c:v>
                </c:pt>
                <c:pt idx="4">
                  <c:v>33.4</c:v>
                </c:pt>
                <c:pt idx="5">
                  <c:v>34.6</c:v>
                </c:pt>
                <c:pt idx="6">
                  <c:v>33.6</c:v>
                </c:pt>
                <c:pt idx="7">
                  <c:v>42.5</c:v>
                </c:pt>
                <c:pt idx="8">
                  <c:v>36.400000000000006</c:v>
                </c:pt>
                <c:pt idx="9">
                  <c:v>40.699999999999996</c:v>
                </c:pt>
                <c:pt idx="10">
                  <c:v>39.5</c:v>
                </c:pt>
                <c:pt idx="11">
                  <c:v>41.599999999999994</c:v>
                </c:pt>
                <c:pt idx="12">
                  <c:v>39.299999999999997</c:v>
                </c:pt>
                <c:pt idx="13">
                  <c:v>20.599999999999994</c:v>
                </c:pt>
                <c:pt idx="14">
                  <c:v>42.800000000000004</c:v>
                </c:pt>
                <c:pt idx="15">
                  <c:v>52.3</c:v>
                </c:pt>
                <c:pt idx="16">
                  <c:v>41.2</c:v>
                </c:pt>
                <c:pt idx="17">
                  <c:v>38.5</c:v>
                </c:pt>
                <c:pt idx="18">
                  <c:v>41.4</c:v>
                </c:pt>
                <c:pt idx="19">
                  <c:v>42.8</c:v>
                </c:pt>
                <c:pt idx="20">
                  <c:v>40.6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E-4DC6-BB5C-28DFD1FD0EED}"/>
            </c:ext>
          </c:extLst>
        </c:ser>
        <c:ser>
          <c:idx val="3"/>
          <c:order val="3"/>
          <c:tx>
            <c:v>0.01-0.05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'2017'!$K$3:$K$24</c:f>
              <c:numCache>
                <c:formatCode>General</c:formatCode>
                <c:ptCount val="22"/>
                <c:pt idx="0">
                  <c:v>0</c:v>
                </c:pt>
                <c:pt idx="1">
                  <c:v>14.299999999999997</c:v>
                </c:pt>
                <c:pt idx="2">
                  <c:v>14.5</c:v>
                </c:pt>
                <c:pt idx="3">
                  <c:v>18.5</c:v>
                </c:pt>
                <c:pt idx="4">
                  <c:v>17.600000000000001</c:v>
                </c:pt>
                <c:pt idx="5">
                  <c:v>18.799999999999997</c:v>
                </c:pt>
                <c:pt idx="6">
                  <c:v>17.599999999999994</c:v>
                </c:pt>
                <c:pt idx="7">
                  <c:v>20.100000000000009</c:v>
                </c:pt>
                <c:pt idx="8">
                  <c:v>16.999999999999993</c:v>
                </c:pt>
                <c:pt idx="9">
                  <c:v>12.600000000000009</c:v>
                </c:pt>
                <c:pt idx="10">
                  <c:v>15.900000000000006</c:v>
                </c:pt>
                <c:pt idx="11">
                  <c:v>12.100000000000009</c:v>
                </c:pt>
                <c:pt idx="12">
                  <c:v>4.9000000000000057</c:v>
                </c:pt>
                <c:pt idx="13">
                  <c:v>1.4000000000000057</c:v>
                </c:pt>
                <c:pt idx="14">
                  <c:v>6.2999999999999972</c:v>
                </c:pt>
                <c:pt idx="15">
                  <c:v>12.599999999999994</c:v>
                </c:pt>
                <c:pt idx="16">
                  <c:v>18.400000000000006</c:v>
                </c:pt>
                <c:pt idx="17">
                  <c:v>19.400000000000006</c:v>
                </c:pt>
                <c:pt idx="18">
                  <c:v>5.9000000000000057</c:v>
                </c:pt>
                <c:pt idx="19">
                  <c:v>24.4</c:v>
                </c:pt>
                <c:pt idx="20">
                  <c:v>20.099999999999994</c:v>
                </c:pt>
                <c:pt idx="21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E-4DC6-BB5C-28DFD1FD0EED}"/>
            </c:ext>
          </c:extLst>
        </c:ser>
        <c:ser>
          <c:idx val="4"/>
          <c:order val="4"/>
          <c:tx>
            <c:v>0.05-0.1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'2017'!$L$3:$L$24</c:f>
              <c:numCache>
                <c:formatCode>General</c:formatCode>
                <c:ptCount val="22"/>
                <c:pt idx="0">
                  <c:v>0</c:v>
                </c:pt>
                <c:pt idx="1">
                  <c:v>40.5</c:v>
                </c:pt>
                <c:pt idx="2">
                  <c:v>36.300000000000004</c:v>
                </c:pt>
                <c:pt idx="3">
                  <c:v>36.699999999999996</c:v>
                </c:pt>
                <c:pt idx="4">
                  <c:v>38.900000000000006</c:v>
                </c:pt>
                <c:pt idx="5">
                  <c:v>37.400000000000006</c:v>
                </c:pt>
                <c:pt idx="6">
                  <c:v>39.200000000000003</c:v>
                </c:pt>
                <c:pt idx="7">
                  <c:v>27.599999999999994</c:v>
                </c:pt>
                <c:pt idx="8">
                  <c:v>33.800000000000011</c:v>
                </c:pt>
                <c:pt idx="9">
                  <c:v>23.599999999999994</c:v>
                </c:pt>
                <c:pt idx="10">
                  <c:v>29.5</c:v>
                </c:pt>
                <c:pt idx="11">
                  <c:v>21.299999999999997</c:v>
                </c:pt>
                <c:pt idx="12">
                  <c:v>4.0999999999999943</c:v>
                </c:pt>
                <c:pt idx="13">
                  <c:v>1</c:v>
                </c:pt>
                <c:pt idx="14">
                  <c:v>7.2999999999999972</c:v>
                </c:pt>
                <c:pt idx="15">
                  <c:v>18.400000000000006</c:v>
                </c:pt>
                <c:pt idx="16">
                  <c:v>28.099999999999994</c:v>
                </c:pt>
                <c:pt idx="17">
                  <c:v>32.299999999999997</c:v>
                </c:pt>
                <c:pt idx="18">
                  <c:v>7.2999999999999972</c:v>
                </c:pt>
                <c:pt idx="19">
                  <c:v>13.600000000000009</c:v>
                </c:pt>
                <c:pt idx="20">
                  <c:v>29.200000000000003</c:v>
                </c:pt>
                <c:pt idx="2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E-4DC6-BB5C-28DFD1FD0EED}"/>
            </c:ext>
          </c:extLst>
        </c:ser>
        <c:ser>
          <c:idx val="5"/>
          <c:order val="5"/>
          <c:tx>
            <c:v>0.1-0.25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'2017'!$M$3:$M$24</c:f>
              <c:numCache>
                <c:formatCode>General</c:formatCode>
                <c:ptCount val="22"/>
                <c:pt idx="0">
                  <c:v>0</c:v>
                </c:pt>
                <c:pt idx="1">
                  <c:v>11</c:v>
                </c:pt>
                <c:pt idx="2">
                  <c:v>2.2999999999999972</c:v>
                </c:pt>
                <c:pt idx="3">
                  <c:v>0.20000000000000284</c:v>
                </c:pt>
                <c:pt idx="4">
                  <c:v>0.59999999999999432</c:v>
                </c:pt>
                <c:pt idx="5">
                  <c:v>9.9999999999994316E-2</c:v>
                </c:pt>
                <c:pt idx="6">
                  <c:v>0.5</c:v>
                </c:pt>
                <c:pt idx="7">
                  <c:v>0</c:v>
                </c:pt>
                <c:pt idx="8">
                  <c:v>9.9999999999994316E-2</c:v>
                </c:pt>
                <c:pt idx="9">
                  <c:v>0</c:v>
                </c:pt>
                <c:pt idx="10">
                  <c:v>9.9999999999994316E-2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E-4DC6-BB5C-28DFD1FD0EED}"/>
            </c:ext>
          </c:extLst>
        </c:ser>
        <c:ser>
          <c:idx val="6"/>
          <c:order val="6"/>
          <c:tx>
            <c:v>0.25-0.5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'2017'!$N$3:$N$24</c:f>
              <c:numCache>
                <c:formatCode>General</c:formatCode>
                <c:ptCount val="22"/>
                <c:pt idx="0">
                  <c:v>0</c:v>
                </c:pt>
                <c:pt idx="1">
                  <c:v>1.2000000000000028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E-4DC6-BB5C-28DFD1FD0EED}"/>
            </c:ext>
          </c:extLst>
        </c:ser>
        <c:ser>
          <c:idx val="7"/>
          <c:order val="7"/>
          <c:tx>
            <c:v>0.5-0.75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'2017'!$O$3:$O$24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CE-4DC6-BB5C-28DFD1FD0EED}"/>
            </c:ext>
          </c:extLst>
        </c:ser>
        <c:ser>
          <c:idx val="8"/>
          <c:order val="8"/>
          <c:tx>
            <c:v>0.75-1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'2017'!$P$3:$P$24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CE-4DC6-BB5C-28DFD1FD0EED}"/>
            </c:ext>
          </c:extLst>
        </c:ser>
        <c:ser>
          <c:idx val="9"/>
          <c:order val="9"/>
          <c:tx>
            <c:v>1-1.5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'2017'!$Q$3:$Q$24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4.2999999999999972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CE-4DC6-BB5C-28DFD1FD0EED}"/>
            </c:ext>
          </c:extLst>
        </c:ser>
        <c:ser>
          <c:idx val="10"/>
          <c:order val="10"/>
          <c:tx>
            <c:v>1.5-2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'2017'!$R$3:$R$24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5.3999999999999915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CE-4DC6-BB5C-28DFD1FD0EED}"/>
            </c:ext>
          </c:extLst>
        </c:ser>
        <c:ser>
          <c:idx val="11"/>
          <c:order val="11"/>
          <c:tx>
            <c:v>2-2.5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'2017'!$E$3:$E$24</c:f>
              <c:numCache>
                <c:formatCode>General</c:formatCode>
                <c:ptCount val="22"/>
                <c:pt idx="0">
                  <c:v>1708</c:v>
                </c:pt>
                <c:pt idx="1">
                  <c:v>1722</c:v>
                </c:pt>
                <c:pt idx="2">
                  <c:v>1721</c:v>
                </c:pt>
                <c:pt idx="3">
                  <c:v>1732</c:v>
                </c:pt>
                <c:pt idx="4">
                  <c:v>1705</c:v>
                </c:pt>
                <c:pt idx="5">
                  <c:v>1704</c:v>
                </c:pt>
                <c:pt idx="6">
                  <c:v>1720</c:v>
                </c:pt>
                <c:pt idx="7">
                  <c:v>1702</c:v>
                </c:pt>
                <c:pt idx="8">
                  <c:v>1715</c:v>
                </c:pt>
                <c:pt idx="9">
                  <c:v>1710</c:v>
                </c:pt>
                <c:pt idx="10">
                  <c:v>1703</c:v>
                </c:pt>
                <c:pt idx="11">
                  <c:v>1701</c:v>
                </c:pt>
                <c:pt idx="12">
                  <c:v>1709</c:v>
                </c:pt>
                <c:pt idx="13">
                  <c:v>1707</c:v>
                </c:pt>
                <c:pt idx="14">
                  <c:v>1733</c:v>
                </c:pt>
                <c:pt idx="15">
                  <c:v>1730</c:v>
                </c:pt>
                <c:pt idx="16">
                  <c:v>1712</c:v>
                </c:pt>
                <c:pt idx="17">
                  <c:v>1711</c:v>
                </c:pt>
                <c:pt idx="18">
                  <c:v>1734</c:v>
                </c:pt>
                <c:pt idx="19">
                  <c:v>1713</c:v>
                </c:pt>
                <c:pt idx="20">
                  <c:v>1714</c:v>
                </c:pt>
                <c:pt idx="21">
                  <c:v>1706</c:v>
                </c:pt>
              </c:numCache>
            </c:numRef>
          </c:cat>
          <c:val>
            <c:numRef>
              <c:f>'2017'!$S$3:$S$24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0.40000000000000568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CE-4DC6-BB5C-28DFD1FD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355264"/>
        <c:axId val="1978356896"/>
      </c:barChart>
      <c:catAx>
        <c:axId val="197835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356896"/>
        <c:crosses val="autoZero"/>
        <c:auto val="1"/>
        <c:lblAlgn val="ctr"/>
        <c:lblOffset val="100"/>
        <c:noMultiLvlLbl val="0"/>
      </c:catAx>
      <c:valAx>
        <c:axId val="19783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3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53853049592199"/>
          <c:y val="0.26649338420326302"/>
          <c:w val="0.12686758675131601"/>
          <c:h val="0.50206477798522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topsoil2017!$D$22:$D$25</c:f>
              <c:strCache>
                <c:ptCount val="4"/>
                <c:pt idx="0">
                  <c:v>0-5 см</c:v>
                </c:pt>
                <c:pt idx="1">
                  <c:v>5-10 см</c:v>
                </c:pt>
                <c:pt idx="2">
                  <c:v>10-15 см</c:v>
                </c:pt>
                <c:pt idx="3">
                  <c:v>15-20 см</c:v>
                </c:pt>
              </c:strCache>
            </c:strRef>
          </c:cat>
          <c:val>
            <c:numRef>
              <c:f>topsoil2017!$E$22:$E$25</c:f>
              <c:numCache>
                <c:formatCode>0.0</c:formatCode>
                <c:ptCount val="4"/>
                <c:pt idx="0" formatCode="0.00">
                  <c:v>85.940489780980997</c:v>
                </c:pt>
                <c:pt idx="1">
                  <c:v>10.361177960913254</c:v>
                </c:pt>
                <c:pt idx="2">
                  <c:v>20.093987992313373</c:v>
                </c:pt>
                <c:pt idx="3">
                  <c:v>40.777153327807383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C-4490-83FA-EFB8218F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58067936"/>
        <c:axId val="-758055568"/>
      </c:barChart>
      <c:catAx>
        <c:axId val="-75806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8055568"/>
        <c:crosses val="autoZero"/>
        <c:auto val="1"/>
        <c:lblAlgn val="ctr"/>
        <c:lblOffset val="100"/>
        <c:noMultiLvlLbl val="0"/>
      </c:catAx>
      <c:valAx>
        <c:axId val="-758055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80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topsoil2017!$G$1</c:f>
              <c:strCache>
                <c:ptCount val="1"/>
                <c:pt idx="0">
                  <c:v>0-0.001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topsoil2017!$G$3:$G$25</c:f>
              <c:numCache>
                <c:formatCode>General</c:formatCode>
                <c:ptCount val="23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2.9</c:v>
                </c:pt>
                <c:pt idx="10">
                  <c:v>0.1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0.4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0.1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2-47C8-92D1-CBFBDDAF9E3A}"/>
            </c:ext>
          </c:extLst>
        </c:ser>
        <c:ser>
          <c:idx val="1"/>
          <c:order val="1"/>
          <c:tx>
            <c:strRef>
              <c:f>topsoil2017!$H$1</c:f>
              <c:strCache>
                <c:ptCount val="1"/>
                <c:pt idx="0">
                  <c:v>0.001-0.005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topsoil2017!$H$3:$H$25</c:f>
              <c:numCache>
                <c:formatCode>General</c:formatCode>
                <c:ptCount val="23"/>
                <c:pt idx="0">
                  <c:v>10.3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7.7</c:v>
                </c:pt>
                <c:pt idx="4">
                  <c:v>4.8000000000000007</c:v>
                </c:pt>
                <c:pt idx="5">
                  <c:v>3.8</c:v>
                </c:pt>
                <c:pt idx="6">
                  <c:v>9.8000000000000007</c:v>
                </c:pt>
                <c:pt idx="7">
                  <c:v>4.9000000000000004</c:v>
                </c:pt>
                <c:pt idx="8">
                  <c:v>0.9</c:v>
                </c:pt>
                <c:pt idx="9">
                  <c:v>16.600000000000001</c:v>
                </c:pt>
                <c:pt idx="10">
                  <c:v>4.7</c:v>
                </c:pt>
                <c:pt idx="11">
                  <c:v>7.9999999999999991</c:v>
                </c:pt>
                <c:pt idx="12">
                  <c:v>10.5</c:v>
                </c:pt>
                <c:pt idx="13">
                  <c:v>6.4</c:v>
                </c:pt>
                <c:pt idx="14">
                  <c:v>11.299999999999999</c:v>
                </c:pt>
                <c:pt idx="15">
                  <c:v>13.600000000000001</c:v>
                </c:pt>
                <c:pt idx="16">
                  <c:v>4.5999999999999996</c:v>
                </c:pt>
                <c:pt idx="17">
                  <c:v>4.2</c:v>
                </c:pt>
                <c:pt idx="18">
                  <c:v>8.1999999999999993</c:v>
                </c:pt>
                <c:pt idx="19">
                  <c:v>4.7</c:v>
                </c:pt>
                <c:pt idx="20">
                  <c:v>5.3999999999999995</c:v>
                </c:pt>
                <c:pt idx="21">
                  <c:v>4.7</c:v>
                </c:pt>
                <c:pt idx="22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2-47C8-92D1-CBFBDDAF9E3A}"/>
            </c:ext>
          </c:extLst>
        </c:ser>
        <c:ser>
          <c:idx val="2"/>
          <c:order val="2"/>
          <c:tx>
            <c:strRef>
              <c:f>topsoil2017!$I$1</c:f>
              <c:strCache>
                <c:ptCount val="1"/>
                <c:pt idx="0">
                  <c:v>0.005-0.01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topsoil2017!$I$3:$I$25</c:f>
              <c:numCache>
                <c:formatCode>General</c:formatCode>
                <c:ptCount val="23"/>
                <c:pt idx="0">
                  <c:v>23.800000000000004</c:v>
                </c:pt>
                <c:pt idx="1">
                  <c:v>17.399999999999999</c:v>
                </c:pt>
                <c:pt idx="2">
                  <c:v>18.5</c:v>
                </c:pt>
                <c:pt idx="3">
                  <c:v>27.599999999999998</c:v>
                </c:pt>
                <c:pt idx="4">
                  <c:v>16.5</c:v>
                </c:pt>
                <c:pt idx="5">
                  <c:v>16.8</c:v>
                </c:pt>
                <c:pt idx="6">
                  <c:v>33</c:v>
                </c:pt>
                <c:pt idx="7">
                  <c:v>20.8</c:v>
                </c:pt>
                <c:pt idx="8">
                  <c:v>4.8</c:v>
                </c:pt>
                <c:pt idx="9">
                  <c:v>35.1</c:v>
                </c:pt>
                <c:pt idx="10">
                  <c:v>17.7</c:v>
                </c:pt>
                <c:pt idx="11">
                  <c:v>26.000000000000004</c:v>
                </c:pt>
                <c:pt idx="12">
                  <c:v>45.5</c:v>
                </c:pt>
                <c:pt idx="13">
                  <c:v>27.5</c:v>
                </c:pt>
                <c:pt idx="14">
                  <c:v>27.7</c:v>
                </c:pt>
                <c:pt idx="15">
                  <c:v>32.299999999999997</c:v>
                </c:pt>
                <c:pt idx="16">
                  <c:v>17.700000000000003</c:v>
                </c:pt>
                <c:pt idx="17">
                  <c:v>15.400000000000002</c:v>
                </c:pt>
                <c:pt idx="18">
                  <c:v>28.200000000000003</c:v>
                </c:pt>
                <c:pt idx="19">
                  <c:v>15.099999999999998</c:v>
                </c:pt>
                <c:pt idx="20">
                  <c:v>17.899999999999999</c:v>
                </c:pt>
                <c:pt idx="21">
                  <c:v>15.600000000000001</c:v>
                </c:pt>
                <c:pt idx="22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2-47C8-92D1-CBFBDDAF9E3A}"/>
            </c:ext>
          </c:extLst>
        </c:ser>
        <c:ser>
          <c:idx val="3"/>
          <c:order val="3"/>
          <c:tx>
            <c:strRef>
              <c:f>topsoil2017!$J$1</c:f>
              <c:strCache>
                <c:ptCount val="1"/>
                <c:pt idx="0">
                  <c:v>0.01-0,05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topsoil2017!$J$3:$J$25</c:f>
              <c:numCache>
                <c:formatCode>General</c:formatCode>
                <c:ptCount val="23"/>
                <c:pt idx="0">
                  <c:v>14.599999999999994</c:v>
                </c:pt>
                <c:pt idx="1">
                  <c:v>14.899999999999999</c:v>
                </c:pt>
                <c:pt idx="2">
                  <c:v>16.299999999999997</c:v>
                </c:pt>
                <c:pt idx="3">
                  <c:v>15.600000000000001</c:v>
                </c:pt>
                <c:pt idx="4">
                  <c:v>16.100000000000001</c:v>
                </c:pt>
                <c:pt idx="5">
                  <c:v>13.299999999999997</c:v>
                </c:pt>
                <c:pt idx="6">
                  <c:v>17.700000000000003</c:v>
                </c:pt>
                <c:pt idx="7">
                  <c:v>18.499999999999996</c:v>
                </c:pt>
                <c:pt idx="8">
                  <c:v>3.8999999999999995</c:v>
                </c:pt>
                <c:pt idx="9">
                  <c:v>12.899999999999999</c:v>
                </c:pt>
                <c:pt idx="10">
                  <c:v>14.100000000000001</c:v>
                </c:pt>
                <c:pt idx="11">
                  <c:v>16</c:v>
                </c:pt>
                <c:pt idx="12">
                  <c:v>15.499999999999993</c:v>
                </c:pt>
                <c:pt idx="13">
                  <c:v>18</c:v>
                </c:pt>
                <c:pt idx="14">
                  <c:v>14.100000000000001</c:v>
                </c:pt>
                <c:pt idx="15">
                  <c:v>15.600000000000001</c:v>
                </c:pt>
                <c:pt idx="16">
                  <c:v>14.999999999999996</c:v>
                </c:pt>
                <c:pt idx="17">
                  <c:v>14.299999999999997</c:v>
                </c:pt>
                <c:pt idx="18">
                  <c:v>16.199999999999996</c:v>
                </c:pt>
                <c:pt idx="19">
                  <c:v>13.800000000000004</c:v>
                </c:pt>
                <c:pt idx="20">
                  <c:v>15.100000000000001</c:v>
                </c:pt>
                <c:pt idx="21">
                  <c:v>13.3</c:v>
                </c:pt>
                <c:pt idx="22">
                  <c:v>17.799999999999997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2-47C8-92D1-CBFBDDAF9E3A}"/>
            </c:ext>
          </c:extLst>
        </c:ser>
        <c:ser>
          <c:idx val="4"/>
          <c:order val="4"/>
          <c:tx>
            <c:strRef>
              <c:f>topsoil2017!$K$1</c:f>
              <c:strCache>
                <c:ptCount val="1"/>
                <c:pt idx="0">
                  <c:v>0.05-0.1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topsoil2017!$K$3:$K$25</c:f>
              <c:numCache>
                <c:formatCode>General</c:formatCode>
                <c:ptCount val="23"/>
                <c:pt idx="0">
                  <c:v>48.3</c:v>
                </c:pt>
                <c:pt idx="1">
                  <c:v>45.4</c:v>
                </c:pt>
                <c:pt idx="2">
                  <c:v>55.199999999999996</c:v>
                </c:pt>
                <c:pt idx="3">
                  <c:v>33.400000000000006</c:v>
                </c:pt>
                <c:pt idx="4">
                  <c:v>33.799999999999997</c:v>
                </c:pt>
                <c:pt idx="5">
                  <c:v>48.6</c:v>
                </c:pt>
                <c:pt idx="6">
                  <c:v>38.300000000000004</c:v>
                </c:pt>
                <c:pt idx="7">
                  <c:v>50.3</c:v>
                </c:pt>
                <c:pt idx="8">
                  <c:v>17.700000000000003</c:v>
                </c:pt>
                <c:pt idx="9">
                  <c:v>32.099999999999994</c:v>
                </c:pt>
                <c:pt idx="10">
                  <c:v>39.199999999999996</c:v>
                </c:pt>
                <c:pt idx="11">
                  <c:v>46.2</c:v>
                </c:pt>
                <c:pt idx="12">
                  <c:v>28.400000000000006</c:v>
                </c:pt>
                <c:pt idx="13">
                  <c:v>44</c:v>
                </c:pt>
                <c:pt idx="14">
                  <c:v>43.7</c:v>
                </c:pt>
                <c:pt idx="15">
                  <c:v>36.700000000000003</c:v>
                </c:pt>
                <c:pt idx="16">
                  <c:v>47.600000000000009</c:v>
                </c:pt>
                <c:pt idx="17">
                  <c:v>50.199999999999996</c:v>
                </c:pt>
                <c:pt idx="18">
                  <c:v>16.399999999999999</c:v>
                </c:pt>
                <c:pt idx="19">
                  <c:v>43.8</c:v>
                </c:pt>
                <c:pt idx="20">
                  <c:v>24</c:v>
                </c:pt>
                <c:pt idx="21">
                  <c:v>29.299999999999997</c:v>
                </c:pt>
                <c:pt idx="22">
                  <c:v>50.199999999999996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2-47C8-92D1-CBFBDDAF9E3A}"/>
            </c:ext>
          </c:extLst>
        </c:ser>
        <c:ser>
          <c:idx val="5"/>
          <c:order val="5"/>
          <c:tx>
            <c:strRef>
              <c:f>topsoil2017!$L$1</c:f>
              <c:strCache>
                <c:ptCount val="1"/>
                <c:pt idx="0">
                  <c:v>0.1-0.25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topsoil2017!$L$3:$L$25</c:f>
              <c:numCache>
                <c:formatCode>General</c:formatCode>
                <c:ptCount val="23"/>
                <c:pt idx="0">
                  <c:v>2.4000000000000057</c:v>
                </c:pt>
                <c:pt idx="1">
                  <c:v>17.5</c:v>
                </c:pt>
                <c:pt idx="2">
                  <c:v>5.9000000000000057</c:v>
                </c:pt>
                <c:pt idx="3">
                  <c:v>14.899999999999991</c:v>
                </c:pt>
                <c:pt idx="4">
                  <c:v>23</c:v>
                </c:pt>
                <c:pt idx="5">
                  <c:v>16.900000000000006</c:v>
                </c:pt>
                <c:pt idx="6">
                  <c:v>1.0999999999999943</c:v>
                </c:pt>
                <c:pt idx="7">
                  <c:v>5.4000000000000057</c:v>
                </c:pt>
                <c:pt idx="8">
                  <c:v>18.7</c:v>
                </c:pt>
                <c:pt idx="9">
                  <c:v>0.40000000000000568</c:v>
                </c:pt>
                <c:pt idx="10">
                  <c:v>21.5</c:v>
                </c:pt>
                <c:pt idx="11">
                  <c:v>3.5999999999999943</c:v>
                </c:pt>
                <c:pt idx="12">
                  <c:v>0</c:v>
                </c:pt>
                <c:pt idx="13">
                  <c:v>4</c:v>
                </c:pt>
                <c:pt idx="14">
                  <c:v>2.7999999999999972</c:v>
                </c:pt>
                <c:pt idx="15">
                  <c:v>0.59999999999999432</c:v>
                </c:pt>
                <c:pt idx="16">
                  <c:v>14.699999999999989</c:v>
                </c:pt>
                <c:pt idx="17">
                  <c:v>15.600000000000009</c:v>
                </c:pt>
                <c:pt idx="18">
                  <c:v>3</c:v>
                </c:pt>
                <c:pt idx="19">
                  <c:v>21.400000000000006</c:v>
                </c:pt>
                <c:pt idx="20">
                  <c:v>16.699999999999996</c:v>
                </c:pt>
                <c:pt idx="21">
                  <c:v>27.800000000000004</c:v>
                </c:pt>
                <c:pt idx="22">
                  <c:v>5.9000000000000057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2-47C8-92D1-CBFBDDAF9E3A}"/>
            </c:ext>
          </c:extLst>
        </c:ser>
        <c:ser>
          <c:idx val="6"/>
          <c:order val="6"/>
          <c:tx>
            <c:strRef>
              <c:f>topsoil2017!$M$1</c:f>
              <c:strCache>
                <c:ptCount val="1"/>
                <c:pt idx="0">
                  <c:v>0.25-0.5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topsoil2017!$M$3:$M$25</c:f>
              <c:numCache>
                <c:formatCode>General</c:formatCode>
                <c:ptCount val="23"/>
                <c:pt idx="0">
                  <c:v>0</c:v>
                </c:pt>
                <c:pt idx="1">
                  <c:v>0.70000000000000284</c:v>
                </c:pt>
                <c:pt idx="2">
                  <c:v>0</c:v>
                </c:pt>
                <c:pt idx="3">
                  <c:v>0.70000000000000284</c:v>
                </c:pt>
                <c:pt idx="4">
                  <c:v>5.7000000000000028</c:v>
                </c:pt>
                <c:pt idx="5">
                  <c:v>0.59999999999999432</c:v>
                </c:pt>
                <c:pt idx="6">
                  <c:v>0</c:v>
                </c:pt>
                <c:pt idx="7">
                  <c:v>0</c:v>
                </c:pt>
                <c:pt idx="8">
                  <c:v>32.200000000000003</c:v>
                </c:pt>
                <c:pt idx="9">
                  <c:v>0</c:v>
                </c:pt>
                <c:pt idx="10">
                  <c:v>2.7000000000000028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0.40000000000000568</c:v>
                </c:pt>
                <c:pt idx="17">
                  <c:v>0.29999999999999716</c:v>
                </c:pt>
                <c:pt idx="18">
                  <c:v>26.700000000000003</c:v>
                </c:pt>
                <c:pt idx="19">
                  <c:v>1.0999999999999943</c:v>
                </c:pt>
                <c:pt idx="20">
                  <c:v>20.700000000000003</c:v>
                </c:pt>
                <c:pt idx="21">
                  <c:v>9.2999999999999972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2-47C8-92D1-CBFBDDAF9E3A}"/>
            </c:ext>
          </c:extLst>
        </c:ser>
        <c:ser>
          <c:idx val="7"/>
          <c:order val="7"/>
          <c:tx>
            <c:strRef>
              <c:f>topsoil2017!$N$1</c:f>
              <c:strCache>
                <c:ptCount val="1"/>
                <c:pt idx="0">
                  <c:v>0.5-0.75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topsoil2017!$N$3:$N$25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17.299999999999997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52-47C8-92D1-CBFBDDAF9E3A}"/>
            </c:ext>
          </c:extLst>
        </c:ser>
        <c:ser>
          <c:idx val="8"/>
          <c:order val="8"/>
          <c:tx>
            <c:strRef>
              <c:f>topsoil2017!$O$1</c:f>
              <c:strCache>
                <c:ptCount val="1"/>
                <c:pt idx="0">
                  <c:v>0.75-1.0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topsoil2017!$O$3:$O$25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4.2000000000000028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52-47C8-92D1-CBFBDDAF9E3A}"/>
            </c:ext>
          </c:extLst>
        </c:ser>
        <c:ser>
          <c:idx val="9"/>
          <c:order val="9"/>
          <c:tx>
            <c:strRef>
              <c:f>topsoil2017!$P$1</c:f>
              <c:strCache>
                <c:ptCount val="1"/>
                <c:pt idx="0">
                  <c:v>1.0-1.5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topsoil2017!$P$3:$P$25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0.29999999999999716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52-47C8-92D1-CBFBDDAF9E3A}"/>
            </c:ext>
          </c:extLst>
        </c:ser>
        <c:ser>
          <c:idx val="10"/>
          <c:order val="10"/>
          <c:tx>
            <c:strRef>
              <c:f>topsoil2017!$Q$1</c:f>
              <c:strCache>
                <c:ptCount val="1"/>
                <c:pt idx="0">
                  <c:v>1.5-2.0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topsoil2017!$Q$3:$Q$25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52-47C8-92D1-CBFBDDAF9E3A}"/>
            </c:ext>
          </c:extLst>
        </c:ser>
        <c:ser>
          <c:idx val="11"/>
          <c:order val="11"/>
          <c:tx>
            <c:strRef>
              <c:f>topsoil2017!$R$1</c:f>
              <c:strCache>
                <c:ptCount val="1"/>
                <c:pt idx="0">
                  <c:v>2.0-2.5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topsoil2017!$A$3:$A$25</c:f>
              <c:strCache>
                <c:ptCount val="23"/>
                <c:pt idx="0">
                  <c:v>Sed1</c:v>
                </c:pt>
                <c:pt idx="1">
                  <c:v>Sed2</c:v>
                </c:pt>
                <c:pt idx="2">
                  <c:v>Sed3</c:v>
                </c:pt>
                <c:pt idx="3">
                  <c:v>Sed4</c:v>
                </c:pt>
                <c:pt idx="4">
                  <c:v>Sed5</c:v>
                </c:pt>
                <c:pt idx="5">
                  <c:v>Sed6</c:v>
                </c:pt>
                <c:pt idx="6">
                  <c:v>Sed7</c:v>
                </c:pt>
                <c:pt idx="7">
                  <c:v>Sed8</c:v>
                </c:pt>
                <c:pt idx="8">
                  <c:v>Sed9</c:v>
                </c:pt>
                <c:pt idx="9">
                  <c:v>Sed10</c:v>
                </c:pt>
                <c:pt idx="10">
                  <c:v>Sed11</c:v>
                </c:pt>
                <c:pt idx="11">
                  <c:v>Sed12</c:v>
                </c:pt>
                <c:pt idx="12">
                  <c:v>Sed13</c:v>
                </c:pt>
                <c:pt idx="13">
                  <c:v>Sed14</c:v>
                </c:pt>
                <c:pt idx="14">
                  <c:v>Sed15</c:v>
                </c:pt>
                <c:pt idx="15">
                  <c:v>Sed16</c:v>
                </c:pt>
                <c:pt idx="16">
                  <c:v>Sed17</c:v>
                </c:pt>
                <c:pt idx="17">
                  <c:v>Sed18</c:v>
                </c:pt>
                <c:pt idx="18">
                  <c:v>Sed19</c:v>
                </c:pt>
                <c:pt idx="19">
                  <c:v>ЦД21</c:v>
                </c:pt>
                <c:pt idx="20">
                  <c:v>ЦД22</c:v>
                </c:pt>
                <c:pt idx="21">
                  <c:v>ЦД23</c:v>
                </c:pt>
                <c:pt idx="22">
                  <c:v>ЦД24</c:v>
                </c:pt>
              </c:strCache>
            </c:strRef>
          </c:cat>
          <c:val>
            <c:numRef>
              <c:f>topsoil2017!$R$3:$R$25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52-47C8-92D1-CBFBDDAF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57981936"/>
        <c:axId val="-757980032"/>
      </c:barChart>
      <c:catAx>
        <c:axId val="-75798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980032"/>
        <c:crosses val="autoZero"/>
        <c:auto val="1"/>
        <c:lblAlgn val="ctr"/>
        <c:lblOffset val="100"/>
        <c:noMultiLvlLbl val="0"/>
      </c:catAx>
      <c:valAx>
        <c:axId val="-7579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9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63500</xdr:rowOff>
    </xdr:from>
    <xdr:to>
      <xdr:col>17</xdr:col>
      <xdr:colOff>431800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177800</xdr:colOff>
      <xdr:row>2</xdr:row>
      <xdr:rowOff>81055</xdr:rowOff>
    </xdr:from>
    <xdr:to>
      <xdr:col>34</xdr:col>
      <xdr:colOff>117288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1</xdr:row>
      <xdr:rowOff>257175</xdr:rowOff>
    </xdr:from>
    <xdr:to>
      <xdr:col>35</xdr:col>
      <xdr:colOff>152400</xdr:colOff>
      <xdr:row>26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317499</xdr:colOff>
      <xdr:row>26</xdr:row>
      <xdr:rowOff>125185</xdr:rowOff>
    </xdr:from>
    <xdr:to>
      <xdr:col>4</xdr:col>
      <xdr:colOff>1555750</xdr:colOff>
      <xdr:row>40</xdr:row>
      <xdr:rowOff>137885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F13827-9915-4121-ABA9-C970A8BF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235184</xdr:colOff>
      <xdr:row>0</xdr:row>
      <xdr:rowOff>360931</xdr:rowOff>
    </xdr:from>
    <xdr:to>
      <xdr:col>33</xdr:col>
      <xdr:colOff>501728</xdr:colOff>
      <xdr:row>24</xdr:row>
      <xdr:rowOff>141111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64F8A8-FCC9-4656-8001-93ECD470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zoomScaleNormal="100" workbookViewId="0">
      <selection activeCell="T3" sqref="T3"/>
    </sheetView>
  </sheetViews>
  <sheetFormatPr defaultColWidth="8.85546875" defaultRowHeight="15" x14ac:dyDescent="0.25"/>
  <cols>
    <col min="1" max="1" width="8.85546875" style="3"/>
    <col min="2" max="2" width="11.42578125" style="4" customWidth="1"/>
    <col min="3" max="3" width="10.7109375" style="1" customWidth="1"/>
    <col min="4" max="4" width="15.7109375" style="1" customWidth="1"/>
    <col min="5" max="5" width="10.85546875" style="1" bestFit="1" customWidth="1"/>
    <col min="6" max="6" width="13.28515625" style="1" customWidth="1"/>
    <col min="7" max="7" width="10.140625" style="1" customWidth="1"/>
    <col min="8" max="8" width="10" style="1" bestFit="1" customWidth="1"/>
    <col min="9" max="9" width="13.28515625" style="1" bestFit="1" customWidth="1"/>
    <col min="10" max="10" width="12.140625" style="1" bestFit="1" customWidth="1"/>
    <col min="11" max="11" width="10.85546875" style="1" bestFit="1" customWidth="1"/>
    <col min="12" max="16" width="9.7109375" style="1" bestFit="1" customWidth="1"/>
    <col min="17" max="19" width="8.5703125" style="1" bestFit="1" customWidth="1"/>
    <col min="20" max="20" width="19.28515625" style="1" bestFit="1" customWidth="1"/>
    <col min="21" max="21" width="11.5703125" style="1" bestFit="1" customWidth="1"/>
    <col min="22" max="16384" width="8.85546875" style="1"/>
  </cols>
  <sheetData>
    <row r="1" spans="1:23" s="18" customFormat="1" ht="23.1" customHeight="1" x14ac:dyDescent="0.25">
      <c r="A1" s="118" t="s">
        <v>0</v>
      </c>
      <c r="B1" s="118"/>
      <c r="C1" s="118"/>
      <c r="D1" s="118"/>
      <c r="E1" s="118"/>
      <c r="F1" s="118"/>
      <c r="G1" s="119"/>
      <c r="H1" s="15" t="s">
        <v>14</v>
      </c>
      <c r="I1" s="15" t="s">
        <v>1</v>
      </c>
      <c r="J1" s="15" t="s">
        <v>2</v>
      </c>
      <c r="K1" s="15" t="s">
        <v>13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6" t="s">
        <v>11</v>
      </c>
      <c r="S1" s="16" t="s">
        <v>12</v>
      </c>
      <c r="T1" s="17" t="s">
        <v>9</v>
      </c>
      <c r="U1" s="18" t="s">
        <v>125</v>
      </c>
      <c r="V1" s="18" t="s">
        <v>126</v>
      </c>
      <c r="W1" s="18" t="s">
        <v>127</v>
      </c>
    </row>
    <row r="2" spans="1:23" s="13" customFormat="1" ht="35.1" customHeight="1" x14ac:dyDescent="0.25">
      <c r="A2" s="7" t="s">
        <v>21</v>
      </c>
      <c r="B2" s="5" t="s">
        <v>15</v>
      </c>
      <c r="C2" s="6" t="s">
        <v>16</v>
      </c>
      <c r="D2" s="7" t="s">
        <v>17</v>
      </c>
      <c r="E2" s="7" t="s">
        <v>18</v>
      </c>
      <c r="F2" s="7" t="s">
        <v>19</v>
      </c>
      <c r="G2" s="14" t="s">
        <v>20</v>
      </c>
      <c r="H2" s="8">
        <f>0.0005</f>
        <v>5.0000000000000001E-4</v>
      </c>
      <c r="I2" s="9">
        <v>3.0000000000000001E-3</v>
      </c>
      <c r="J2" s="10">
        <v>7.4999999999999997E-3</v>
      </c>
      <c r="K2" s="11">
        <v>0.03</v>
      </c>
      <c r="L2" s="9">
        <v>7.4999999999999997E-2</v>
      </c>
      <c r="M2" s="9">
        <v>0.17499999999999999</v>
      </c>
      <c r="N2" s="12">
        <v>0.375</v>
      </c>
      <c r="O2" s="9">
        <v>0.625</v>
      </c>
      <c r="P2" s="9">
        <v>0.875</v>
      </c>
      <c r="Q2" s="11">
        <v>1.25</v>
      </c>
      <c r="R2" s="11">
        <v>1.75</v>
      </c>
      <c r="S2" s="11">
        <v>2.25</v>
      </c>
      <c r="T2" s="2" t="s">
        <v>10</v>
      </c>
      <c r="W2" s="13" t="s">
        <v>128</v>
      </c>
    </row>
    <row r="3" spans="1:23" ht="15.75" x14ac:dyDescent="0.25">
      <c r="B3" s="19"/>
      <c r="C3" s="20"/>
      <c r="D3" s="21"/>
      <c r="E3" s="31">
        <v>45</v>
      </c>
      <c r="G3" s="22"/>
      <c r="H3" s="25">
        <v>0.1</v>
      </c>
      <c r="I3" s="25">
        <v>12.8</v>
      </c>
      <c r="J3" s="25">
        <v>41.300000000000004</v>
      </c>
      <c r="K3" s="25">
        <v>18.200000000000003</v>
      </c>
      <c r="L3" s="25">
        <v>27.599999999999994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  <c r="T3" s="85">
        <f>(H3*$H$2+I3*$I$2+J3*$J$2+K3*$K$2+L3*$L$2+M3*$M$2+N3*$N$2+O3*$O$2+P3*$P$2+Q3*$Q$2+R3*$R$2+S3*$S$2)/100</f>
        <v>2.9641999999999995E-2</v>
      </c>
      <c r="U3" s="87">
        <f>MEDIAN(H2:L2)</f>
        <v>7.4999999999999997E-3</v>
      </c>
    </row>
    <row r="4" spans="1:23" x14ac:dyDescent="0.25">
      <c r="B4" s="19">
        <v>42188</v>
      </c>
      <c r="C4" s="36">
        <v>0.58333333333333337</v>
      </c>
      <c r="D4" s="21">
        <f t="shared" ref="D4:D13" si="0">B4+C4</f>
        <v>42188.583333333336</v>
      </c>
      <c r="E4" s="32">
        <v>1501</v>
      </c>
      <c r="F4" s="36" t="s">
        <v>22</v>
      </c>
      <c r="G4" s="37">
        <v>3367.0967741935483</v>
      </c>
      <c r="H4" s="27">
        <v>0.1</v>
      </c>
      <c r="I4" s="27">
        <v>11.6</v>
      </c>
      <c r="J4" s="27">
        <v>52.7</v>
      </c>
      <c r="K4" s="27">
        <v>12.5</v>
      </c>
      <c r="L4" s="27">
        <v>23.099999999999994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85">
        <f t="shared" ref="T4:T13" si="1">(H4*$H$2+I4*$I$2+J4*$J$2+K4*$K$2+L4*$L$2+M4*$M$2+N4*$N$2+O4*$O$2+P4*$P$2+Q4*$Q$2+R4*$R$2+S4*$S$2)/100</f>
        <v>2.5375999999999996E-2</v>
      </c>
      <c r="U4" s="87">
        <f>MEDIAN(H2:L2)</f>
        <v>7.4999999999999997E-3</v>
      </c>
    </row>
    <row r="5" spans="1:23" ht="15.95" customHeight="1" x14ac:dyDescent="0.25">
      <c r="B5" s="19">
        <v>42213</v>
      </c>
      <c r="C5" s="36">
        <v>0.75694444444444453</v>
      </c>
      <c r="D5" s="21">
        <f t="shared" si="0"/>
        <v>42213.756944444445</v>
      </c>
      <c r="E5" s="31">
        <v>1502</v>
      </c>
      <c r="F5" s="36" t="s">
        <v>22</v>
      </c>
      <c r="G5" s="37">
        <v>362.50000000000006</v>
      </c>
      <c r="H5" s="24">
        <v>0</v>
      </c>
      <c r="I5" s="24">
        <v>10</v>
      </c>
      <c r="J5" s="24">
        <v>39.5</v>
      </c>
      <c r="K5" s="24">
        <v>18.200000000000003</v>
      </c>
      <c r="L5" s="24">
        <v>32.299999999999997</v>
      </c>
      <c r="M5" s="24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85">
        <f t="shared" si="1"/>
        <v>3.2947499999999998E-2</v>
      </c>
      <c r="U5" s="87">
        <f>MEDIAN(H2:L2)</f>
        <v>7.4999999999999997E-3</v>
      </c>
    </row>
    <row r="6" spans="1:23" x14ac:dyDescent="0.25">
      <c r="B6" s="19">
        <v>42197</v>
      </c>
      <c r="C6" s="36">
        <v>0.58333333333333337</v>
      </c>
      <c r="D6" s="21">
        <f t="shared" si="0"/>
        <v>42197.583333333336</v>
      </c>
      <c r="E6" s="32">
        <v>1503</v>
      </c>
      <c r="F6" s="36" t="s">
        <v>22</v>
      </c>
      <c r="G6" s="37">
        <v>218.66666666666666</v>
      </c>
      <c r="H6" s="24">
        <v>0</v>
      </c>
      <c r="I6" s="24">
        <v>9.1999999999999993</v>
      </c>
      <c r="J6" s="24">
        <v>38.599999999999994</v>
      </c>
      <c r="K6" s="24">
        <v>19.700000000000003</v>
      </c>
      <c r="L6" s="24">
        <v>32.5</v>
      </c>
      <c r="M6" s="24">
        <v>0</v>
      </c>
      <c r="N6" s="24">
        <v>0</v>
      </c>
      <c r="O6" s="28">
        <v>0</v>
      </c>
      <c r="P6" s="24">
        <v>0</v>
      </c>
      <c r="Q6" s="24">
        <v>0</v>
      </c>
      <c r="R6" s="24">
        <v>0</v>
      </c>
      <c r="S6" s="24">
        <v>0</v>
      </c>
      <c r="T6" s="85">
        <f t="shared" si="1"/>
        <v>3.3456E-2</v>
      </c>
      <c r="U6" s="87">
        <f>MEDIAN(H2:L2)</f>
        <v>7.4999999999999997E-3</v>
      </c>
    </row>
    <row r="7" spans="1:23" x14ac:dyDescent="0.25">
      <c r="B7" s="19">
        <v>42190</v>
      </c>
      <c r="C7" s="36">
        <v>0.375</v>
      </c>
      <c r="D7" s="21">
        <f t="shared" si="0"/>
        <v>42190.375</v>
      </c>
      <c r="E7" s="32">
        <v>1504</v>
      </c>
      <c r="F7" s="36" t="s">
        <v>22</v>
      </c>
      <c r="G7" s="37">
        <v>160.99999999999994</v>
      </c>
      <c r="H7" s="24">
        <v>0</v>
      </c>
      <c r="I7" s="24">
        <v>4.2</v>
      </c>
      <c r="J7" s="24">
        <v>23.3</v>
      </c>
      <c r="K7" s="24">
        <v>17.200000000000003</v>
      </c>
      <c r="L7" s="24">
        <v>49.2</v>
      </c>
      <c r="M7" s="24">
        <v>6.0999999999999943</v>
      </c>
      <c r="N7" s="24">
        <v>0</v>
      </c>
      <c r="O7" s="28">
        <v>0</v>
      </c>
      <c r="P7" s="24">
        <v>0</v>
      </c>
      <c r="Q7" s="24">
        <v>0</v>
      </c>
      <c r="R7" s="24">
        <v>0</v>
      </c>
      <c r="S7" s="24">
        <v>0</v>
      </c>
      <c r="T7" s="85">
        <f t="shared" si="1"/>
        <v>5.460849999999999E-2</v>
      </c>
      <c r="U7" s="87">
        <f>MEDIAN($H$2:$M$2)</f>
        <v>1.8749999999999999E-2</v>
      </c>
    </row>
    <row r="8" spans="1:23" x14ac:dyDescent="0.25">
      <c r="B8" s="19">
        <v>42185</v>
      </c>
      <c r="C8" s="36">
        <v>0.875</v>
      </c>
      <c r="D8" s="21">
        <f t="shared" si="0"/>
        <v>42185.875</v>
      </c>
      <c r="E8" s="32">
        <v>1505</v>
      </c>
      <c r="F8" s="36" t="s">
        <v>22</v>
      </c>
      <c r="G8" s="37">
        <v>523.80952380952385</v>
      </c>
      <c r="H8" s="24">
        <v>0</v>
      </c>
      <c r="I8" s="24">
        <v>10.3</v>
      </c>
      <c r="J8" s="24">
        <v>37.599999999999994</v>
      </c>
      <c r="K8" s="24">
        <v>18.300000000000004</v>
      </c>
      <c r="L8" s="24">
        <v>33.700000000000003</v>
      </c>
      <c r="M8" s="24">
        <v>9.9999999999994316E-2</v>
      </c>
      <c r="N8" s="24">
        <v>0</v>
      </c>
      <c r="O8" s="28">
        <v>0</v>
      </c>
      <c r="P8" s="24">
        <v>0</v>
      </c>
      <c r="Q8" s="24">
        <v>0</v>
      </c>
      <c r="R8" s="24">
        <v>0</v>
      </c>
      <c r="S8" s="24">
        <v>0</v>
      </c>
      <c r="T8" s="85">
        <f t="shared" si="1"/>
        <v>3.4068999999999995E-2</v>
      </c>
      <c r="U8" s="87">
        <f>MEDIAN($H$2:$M$2)</f>
        <v>1.8749999999999999E-2</v>
      </c>
    </row>
    <row r="9" spans="1:23" ht="15.75" x14ac:dyDescent="0.25">
      <c r="B9" s="19">
        <v>42195</v>
      </c>
      <c r="C9" s="36">
        <v>0.375</v>
      </c>
      <c r="D9" s="21">
        <f t="shared" si="0"/>
        <v>42195.375</v>
      </c>
      <c r="E9" s="31">
        <v>1506</v>
      </c>
      <c r="F9" s="36" t="s">
        <v>22</v>
      </c>
      <c r="G9" s="37">
        <v>197.2</v>
      </c>
      <c r="H9" s="27">
        <v>0</v>
      </c>
      <c r="I9" s="27">
        <v>7.4</v>
      </c>
      <c r="J9" s="27">
        <v>33.700000000000003</v>
      </c>
      <c r="K9" s="27">
        <v>19.299999999999997</v>
      </c>
      <c r="L9" s="27">
        <v>39.4</v>
      </c>
      <c r="M9" s="27">
        <v>0.20000000000000284</v>
      </c>
      <c r="N9" s="27">
        <v>0</v>
      </c>
      <c r="O9" s="29">
        <v>0</v>
      </c>
      <c r="P9" s="27">
        <v>0</v>
      </c>
      <c r="Q9" s="27">
        <v>0</v>
      </c>
      <c r="R9" s="27">
        <v>0</v>
      </c>
      <c r="S9" s="27">
        <v>0</v>
      </c>
      <c r="T9" s="85">
        <f>(H9*$H$2+I9*$I$2+J9*$J$2+K9*$K$2+L9*$L$2+M9*$M$2+N9*$N$2+O9*$O$2+P9*$P$2+Q9*$Q$2+R9*$R$2+S9*$S$2)/100</f>
        <v>3.8439500000000001E-2</v>
      </c>
      <c r="U9" s="87">
        <f>MEDIAN($H$2:$M$2)</f>
        <v>1.8749999999999999E-2</v>
      </c>
    </row>
    <row r="10" spans="1:23" x14ac:dyDescent="0.25">
      <c r="B10" s="19">
        <v>42187</v>
      </c>
      <c r="C10" s="36">
        <v>0.75</v>
      </c>
      <c r="D10" s="21">
        <f t="shared" si="0"/>
        <v>42187.75</v>
      </c>
      <c r="E10" s="32">
        <v>1507</v>
      </c>
      <c r="F10" s="36" t="s">
        <v>22</v>
      </c>
      <c r="G10" s="37">
        <v>7848.4375</v>
      </c>
      <c r="H10" s="24">
        <v>3.9</v>
      </c>
      <c r="I10" s="24">
        <v>66.3</v>
      </c>
      <c r="J10" s="24">
        <v>24.899999999999991</v>
      </c>
      <c r="K10" s="24">
        <v>2.4000000000000057</v>
      </c>
      <c r="L10" s="24">
        <v>2.5</v>
      </c>
      <c r="M10" s="24">
        <v>0</v>
      </c>
      <c r="N10" s="24">
        <v>0</v>
      </c>
      <c r="O10" s="28">
        <v>0</v>
      </c>
      <c r="P10" s="24">
        <v>0</v>
      </c>
      <c r="Q10" s="24">
        <v>0</v>
      </c>
      <c r="R10" s="24">
        <v>0</v>
      </c>
      <c r="S10" s="24">
        <v>0</v>
      </c>
      <c r="T10" s="85">
        <f t="shared" si="1"/>
        <v>6.4710000000000011E-3</v>
      </c>
    </row>
    <row r="11" spans="1:23" ht="15.75" x14ac:dyDescent="0.25">
      <c r="B11" s="19">
        <v>42187</v>
      </c>
      <c r="C11" s="36">
        <v>0.58333333333333337</v>
      </c>
      <c r="D11" s="21">
        <f t="shared" si="0"/>
        <v>42187.583333333336</v>
      </c>
      <c r="E11" s="31">
        <v>1508</v>
      </c>
      <c r="F11" s="36" t="s">
        <v>22</v>
      </c>
      <c r="G11" s="37">
        <v>3104.1935483870966</v>
      </c>
      <c r="H11" s="24">
        <v>0.1</v>
      </c>
      <c r="I11" s="24">
        <v>9.4</v>
      </c>
      <c r="J11" s="24">
        <v>40.200000000000003</v>
      </c>
      <c r="K11" s="24">
        <v>12.699999999999996</v>
      </c>
      <c r="L11" s="24">
        <v>35.300000000000004</v>
      </c>
      <c r="M11" s="24">
        <v>2.2999999999999972</v>
      </c>
      <c r="N11" s="24">
        <v>0</v>
      </c>
      <c r="O11" s="28">
        <v>0</v>
      </c>
      <c r="P11" s="24">
        <v>0</v>
      </c>
      <c r="Q11" s="24">
        <v>0</v>
      </c>
      <c r="R11" s="24">
        <v>0</v>
      </c>
      <c r="S11" s="24">
        <v>0</v>
      </c>
      <c r="T11" s="85">
        <f>(H11*$H$2+I11*$I$2+J11*$J$2+K11*$K$2+L11*$L$2+M11*$M$2+N11*$N$2+O11*$O$2+P11*$P$2+Q11*$Q$2+R11*$R$2+S11*$S$2)/100</f>
        <v>3.7607499999999995E-2</v>
      </c>
    </row>
    <row r="12" spans="1:23" x14ac:dyDescent="0.25">
      <c r="B12" s="19">
        <v>42186</v>
      </c>
      <c r="C12" s="36">
        <v>0.375</v>
      </c>
      <c r="D12" s="21">
        <f t="shared" si="0"/>
        <v>42186.375</v>
      </c>
      <c r="E12" s="32">
        <v>1509</v>
      </c>
      <c r="F12" s="36" t="s">
        <v>22</v>
      </c>
      <c r="G12" s="37">
        <v>44157.999999999993</v>
      </c>
      <c r="H12" s="24">
        <v>23.5</v>
      </c>
      <c r="I12" s="24">
        <v>43.2</v>
      </c>
      <c r="J12" s="24">
        <v>9.9999999999994316E-2</v>
      </c>
      <c r="K12" s="24">
        <v>0.40000000000000568</v>
      </c>
      <c r="L12" s="24">
        <v>3.0999999999999943</v>
      </c>
      <c r="M12" s="24">
        <v>3.7000000000000028</v>
      </c>
      <c r="N12" s="24">
        <v>24</v>
      </c>
      <c r="O12" s="28">
        <v>1</v>
      </c>
      <c r="P12" s="24">
        <v>0.70000000000000284</v>
      </c>
      <c r="Q12" s="24">
        <v>0.20000000000000284</v>
      </c>
      <c r="R12" s="24">
        <v>9.9999999999994316E-2</v>
      </c>
      <c r="S12" s="24">
        <v>0</v>
      </c>
      <c r="T12" s="85">
        <f t="shared" si="1"/>
        <v>0.11696599999999996</v>
      </c>
    </row>
    <row r="13" spans="1:23" x14ac:dyDescent="0.25">
      <c r="B13" s="19">
        <v>42190</v>
      </c>
      <c r="C13" s="36">
        <v>0.58333333333333337</v>
      </c>
      <c r="D13" s="21">
        <f t="shared" si="0"/>
        <v>42190.583333333336</v>
      </c>
      <c r="E13" s="32">
        <v>1510</v>
      </c>
      <c r="F13" s="36" t="s">
        <v>22</v>
      </c>
      <c r="G13" s="37">
        <v>774.14285714285722</v>
      </c>
      <c r="H13" s="24">
        <v>0.3</v>
      </c>
      <c r="I13" s="24">
        <v>14.5</v>
      </c>
      <c r="J13" s="24">
        <v>40.599999999999994</v>
      </c>
      <c r="K13" s="24">
        <v>15.500000000000007</v>
      </c>
      <c r="L13" s="24">
        <v>29.099999999999994</v>
      </c>
      <c r="M13" s="24">
        <v>0</v>
      </c>
      <c r="N13" s="24">
        <v>0</v>
      </c>
      <c r="O13" s="28">
        <v>0</v>
      </c>
      <c r="P13" s="24">
        <v>0</v>
      </c>
      <c r="Q13" s="24">
        <v>0</v>
      </c>
      <c r="R13" s="24">
        <v>0</v>
      </c>
      <c r="S13" s="24">
        <v>0</v>
      </c>
      <c r="T13" s="85">
        <f t="shared" si="1"/>
        <v>2.99565E-2</v>
      </c>
    </row>
    <row r="14" spans="1:23" ht="15.75" x14ac:dyDescent="0.25">
      <c r="B14" s="19"/>
      <c r="C14" s="20"/>
      <c r="D14" s="21"/>
      <c r="E14" s="31"/>
      <c r="F14" s="3"/>
      <c r="G14" s="3"/>
      <c r="H14" s="1">
        <f>AVERAGE(H3:H13)</f>
        <v>2.5454545454545454</v>
      </c>
      <c r="I14" s="1">
        <f t="shared" ref="I14:T14" si="2">AVERAGE(I3:I13)</f>
        <v>18.081818181818186</v>
      </c>
      <c r="J14" s="1">
        <f t="shared" si="2"/>
        <v>33.863636363636367</v>
      </c>
      <c r="K14" s="1">
        <f t="shared" si="2"/>
        <v>14.036363636363639</v>
      </c>
      <c r="L14" s="1">
        <f t="shared" si="2"/>
        <v>27.981818181818177</v>
      </c>
      <c r="M14" s="1">
        <f t="shared" si="2"/>
        <v>1.1272727272727265</v>
      </c>
      <c r="N14" s="1">
        <f t="shared" si="2"/>
        <v>2.1818181818181817</v>
      </c>
      <c r="O14" s="1">
        <f t="shared" si="2"/>
        <v>9.0909090909090912E-2</v>
      </c>
      <c r="P14" s="1">
        <f t="shared" si="2"/>
        <v>6.3636363636363893E-2</v>
      </c>
      <c r="Q14" s="1">
        <f t="shared" si="2"/>
        <v>1.8181818181818441E-2</v>
      </c>
      <c r="R14" s="1">
        <f t="shared" si="2"/>
        <v>9.0909090909085735E-3</v>
      </c>
      <c r="S14" s="1">
        <f t="shared" si="2"/>
        <v>0</v>
      </c>
      <c r="T14" s="65">
        <f t="shared" si="2"/>
        <v>3.9958136363636355E-2</v>
      </c>
      <c r="U14" s="88">
        <f>MEDIAN(H14:S14)*1000</f>
        <v>1654.545454545454</v>
      </c>
    </row>
    <row r="15" spans="1:23" ht="15.75" x14ac:dyDescent="0.25">
      <c r="B15" s="19"/>
      <c r="C15" s="20"/>
      <c r="D15" s="21"/>
      <c r="E15" s="31"/>
      <c r="F15" s="3"/>
      <c r="H15" s="3">
        <f>H2*H12/100</f>
        <v>1.175E-4</v>
      </c>
      <c r="I15" s="3">
        <f t="shared" ref="I15:R15" si="3">I2*I12/100</f>
        <v>1.2960000000000003E-3</v>
      </c>
      <c r="J15" s="3">
        <f t="shared" si="3"/>
        <v>7.4999999999995733E-6</v>
      </c>
      <c r="K15" s="3">
        <f t="shared" si="3"/>
        <v>1.200000000000017E-4</v>
      </c>
      <c r="L15" s="3">
        <f t="shared" si="3"/>
        <v>2.3249999999999955E-3</v>
      </c>
      <c r="M15" s="3">
        <f t="shared" si="3"/>
        <v>6.4750000000000042E-3</v>
      </c>
      <c r="N15" s="3">
        <f t="shared" si="3"/>
        <v>0.09</v>
      </c>
      <c r="O15" s="3">
        <f t="shared" si="3"/>
        <v>6.2500000000000003E-3</v>
      </c>
      <c r="P15" s="3">
        <f t="shared" si="3"/>
        <v>6.1250000000000245E-3</v>
      </c>
      <c r="Q15" s="3">
        <f t="shared" si="3"/>
        <v>2.5000000000000356E-3</v>
      </c>
      <c r="R15" s="3">
        <f t="shared" si="3"/>
        <v>1.7499999999999005E-3</v>
      </c>
      <c r="U15" s="88">
        <f>MEDIAN(H15:S15)*1000</f>
        <v>2.3249999999999953</v>
      </c>
    </row>
    <row r="16" spans="1:23" ht="15.75" x14ac:dyDescent="0.25">
      <c r="B16" s="19"/>
      <c r="C16" s="20"/>
      <c r="D16" s="21"/>
      <c r="E16" s="31"/>
      <c r="F16" s="3"/>
    </row>
    <row r="17" spans="1:20" ht="15.75" x14ac:dyDescent="0.25">
      <c r="A17" s="1"/>
      <c r="B17" s="19"/>
      <c r="C17" s="20"/>
      <c r="D17" s="21"/>
      <c r="E17" s="31"/>
      <c r="F17" s="3"/>
      <c r="T17" s="86"/>
    </row>
    <row r="18" spans="1:20" ht="15.75" x14ac:dyDescent="0.25">
      <c r="A18" s="1"/>
      <c r="B18" s="19"/>
      <c r="C18" s="20"/>
      <c r="D18" s="21"/>
      <c r="E18" s="31"/>
      <c r="F18" s="3"/>
      <c r="T18" s="86"/>
    </row>
    <row r="19" spans="1:20" x14ac:dyDescent="0.25">
      <c r="A19" s="1"/>
      <c r="B19" s="19"/>
      <c r="C19" s="36"/>
      <c r="D19" s="21"/>
      <c r="E19" s="32">
        <f>0.01*1000</f>
        <v>10</v>
      </c>
      <c r="F19" s="3"/>
    </row>
    <row r="20" spans="1:20" x14ac:dyDescent="0.25">
      <c r="A20" s="1"/>
      <c r="B20" s="19"/>
      <c r="C20" s="36"/>
      <c r="D20" s="21"/>
      <c r="F20" s="3"/>
    </row>
    <row r="21" spans="1:20" x14ac:dyDescent="0.25">
      <c r="A21" s="1"/>
      <c r="B21" s="19"/>
      <c r="C21" s="36"/>
      <c r="D21" s="21"/>
      <c r="L21" s="3"/>
    </row>
    <row r="22" spans="1:20" x14ac:dyDescent="0.25">
      <c r="B22" s="19"/>
      <c r="C22" s="36"/>
      <c r="D22" s="21"/>
      <c r="F22" s="3"/>
      <c r="G22" s="3"/>
      <c r="H22" s="3"/>
      <c r="I22" s="3"/>
      <c r="K22" s="37"/>
    </row>
    <row r="23" spans="1:20" x14ac:dyDescent="0.25">
      <c r="B23" s="19"/>
      <c r="C23" s="36"/>
      <c r="D23" s="21"/>
      <c r="F23" s="3"/>
      <c r="G23" s="3"/>
      <c r="H23" s="3"/>
      <c r="I23" s="3"/>
      <c r="K23" s="37"/>
    </row>
    <row r="24" spans="1:20" x14ac:dyDescent="0.25">
      <c r="B24" s="19"/>
      <c r="C24" s="36"/>
      <c r="D24" s="21"/>
      <c r="F24" s="3"/>
      <c r="G24" s="3"/>
      <c r="H24" s="3"/>
      <c r="I24" s="3"/>
      <c r="K24" s="37"/>
    </row>
    <row r="25" spans="1:20" x14ac:dyDescent="0.25">
      <c r="B25" s="19"/>
      <c r="C25" s="36"/>
      <c r="D25" s="21"/>
      <c r="F25" s="3"/>
      <c r="G25" s="3"/>
      <c r="H25" s="3"/>
      <c r="I25" s="3"/>
      <c r="K25" s="37"/>
    </row>
    <row r="26" spans="1:20" x14ac:dyDescent="0.25">
      <c r="B26" s="19"/>
      <c r="C26" s="36"/>
      <c r="D26" s="21"/>
      <c r="F26" s="3"/>
      <c r="G26" s="3"/>
      <c r="H26" s="3"/>
      <c r="I26" s="3"/>
      <c r="K26" s="37"/>
    </row>
    <row r="27" spans="1:20" x14ac:dyDescent="0.25">
      <c r="B27" s="19"/>
      <c r="C27" s="36"/>
      <c r="D27" s="21"/>
      <c r="F27" s="3"/>
      <c r="G27" s="3"/>
      <c r="H27" s="3"/>
      <c r="I27" s="3"/>
      <c r="K27" s="37"/>
    </row>
    <row r="28" spans="1:20" x14ac:dyDescent="0.25">
      <c r="B28" s="19"/>
      <c r="C28" s="36"/>
      <c r="D28" s="21"/>
      <c r="F28" s="38"/>
      <c r="G28" s="3"/>
      <c r="H28" s="3"/>
      <c r="I28" s="3"/>
      <c r="K28" s="37"/>
    </row>
    <row r="29" spans="1:20" x14ac:dyDescent="0.25">
      <c r="B29" s="3"/>
      <c r="F29" s="3"/>
      <c r="G29" s="3"/>
      <c r="H29" s="3"/>
      <c r="I29" s="3"/>
      <c r="K29" s="37"/>
    </row>
    <row r="30" spans="1:20" x14ac:dyDescent="0.25">
      <c r="B30" s="1"/>
      <c r="F30" s="3"/>
      <c r="G30" s="3"/>
      <c r="H30" s="3"/>
      <c r="I30" s="3"/>
      <c r="K30" s="37"/>
    </row>
    <row r="31" spans="1:20" x14ac:dyDescent="0.25">
      <c r="B31" s="1"/>
      <c r="F31" s="3"/>
      <c r="G31" s="3"/>
      <c r="H31" s="3"/>
      <c r="I31" s="3"/>
      <c r="K31" s="37"/>
    </row>
    <row r="32" spans="1:20" x14ac:dyDescent="0.25">
      <c r="A32" s="1"/>
      <c r="B32" s="1"/>
    </row>
    <row r="33" spans="2:6" s="1" customFormat="1" ht="15.75" x14ac:dyDescent="0.25">
      <c r="B33" s="19"/>
      <c r="C33" s="20"/>
      <c r="D33" s="21"/>
      <c r="E33" s="31"/>
      <c r="F33" s="3"/>
    </row>
    <row r="34" spans="2:6" s="1" customFormat="1" x14ac:dyDescent="0.25">
      <c r="B34" s="19"/>
      <c r="C34" s="20"/>
      <c r="D34" s="21"/>
      <c r="E34" s="32"/>
      <c r="F34" s="3"/>
    </row>
    <row r="35" spans="2:6" s="1" customFormat="1" x14ac:dyDescent="0.25">
      <c r="B35" s="19"/>
      <c r="C35" s="20"/>
      <c r="D35" s="21"/>
      <c r="E35" s="32"/>
      <c r="F35" s="3"/>
    </row>
    <row r="36" spans="2:6" s="1" customFormat="1" x14ac:dyDescent="0.25">
      <c r="B36" s="19"/>
      <c r="C36" s="20"/>
      <c r="D36" s="21"/>
      <c r="E36" s="32"/>
      <c r="F36" s="3"/>
    </row>
    <row r="37" spans="2:6" s="1" customFormat="1" x14ac:dyDescent="0.25">
      <c r="B37" s="19"/>
      <c r="C37" s="20"/>
      <c r="D37" s="21"/>
      <c r="E37" s="32"/>
      <c r="F37" s="3"/>
    </row>
    <row r="38" spans="2:6" s="1" customFormat="1" ht="15.75" x14ac:dyDescent="0.25">
      <c r="B38" s="19"/>
      <c r="C38" s="20"/>
      <c r="D38" s="21"/>
      <c r="E38" s="31"/>
      <c r="F38" s="3"/>
    </row>
    <row r="39" spans="2:6" s="1" customFormat="1" x14ac:dyDescent="0.25">
      <c r="B39" s="23"/>
      <c r="C39" s="3"/>
      <c r="D39" s="3"/>
      <c r="E39" s="3"/>
      <c r="F39" s="3"/>
    </row>
    <row r="40" spans="2:6" s="1" customFormat="1" x14ac:dyDescent="0.25">
      <c r="B40" s="23"/>
      <c r="C40" s="3"/>
      <c r="D40" s="3"/>
      <c r="E40" s="3"/>
      <c r="F40" s="3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3" sqref="A3:A11"/>
    </sheetView>
  </sheetViews>
  <sheetFormatPr defaultColWidth="8.85546875" defaultRowHeight="15" x14ac:dyDescent="0.25"/>
  <cols>
    <col min="1" max="1" width="9.42578125" style="3" bestFit="1" customWidth="1"/>
    <col min="2" max="2" width="11.42578125" style="4" customWidth="1"/>
    <col min="3" max="3" width="10.7109375" style="1" customWidth="1"/>
    <col min="4" max="4" width="16.85546875" style="1" customWidth="1"/>
    <col min="5" max="5" width="11" style="1" bestFit="1" customWidth="1"/>
    <col min="6" max="6" width="11.85546875" style="1" customWidth="1"/>
    <col min="7" max="7" width="14.7109375" style="1" customWidth="1"/>
    <col min="8" max="8" width="9" style="1" bestFit="1" customWidth="1"/>
    <col min="9" max="9" width="10.28515625" style="1" customWidth="1"/>
    <col min="10" max="19" width="8.85546875" style="1"/>
    <col min="20" max="20" width="17.140625" style="1" customWidth="1"/>
    <col min="21" max="16384" width="8.85546875" style="1"/>
  </cols>
  <sheetData>
    <row r="1" spans="1:21" s="18" customFormat="1" ht="23.1" customHeight="1" x14ac:dyDescent="0.25">
      <c r="A1" s="118" t="s">
        <v>0</v>
      </c>
      <c r="B1" s="118"/>
      <c r="C1" s="118"/>
      <c r="D1" s="118"/>
      <c r="E1" s="118"/>
      <c r="F1" s="118"/>
      <c r="G1" s="119"/>
      <c r="H1" s="15" t="s">
        <v>14</v>
      </c>
      <c r="I1" s="15" t="s">
        <v>1</v>
      </c>
      <c r="J1" s="15" t="s">
        <v>2</v>
      </c>
      <c r="K1" s="15" t="s">
        <v>13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6" t="s">
        <v>11</v>
      </c>
      <c r="S1" s="16" t="s">
        <v>12</v>
      </c>
      <c r="T1" s="17" t="s">
        <v>9</v>
      </c>
    </row>
    <row r="2" spans="1:21" s="13" customFormat="1" ht="35.1" customHeight="1" x14ac:dyDescent="0.25">
      <c r="A2" s="7" t="s">
        <v>21</v>
      </c>
      <c r="B2" s="5" t="s">
        <v>15</v>
      </c>
      <c r="C2" s="6" t="s">
        <v>16</v>
      </c>
      <c r="D2" s="7" t="s">
        <v>17</v>
      </c>
      <c r="E2" s="7" t="s">
        <v>18</v>
      </c>
      <c r="F2" s="7" t="s">
        <v>19</v>
      </c>
      <c r="G2" s="14" t="s">
        <v>20</v>
      </c>
      <c r="H2" s="8">
        <f>0.0005</f>
        <v>5.0000000000000001E-4</v>
      </c>
      <c r="I2" s="9">
        <v>3.0000000000000001E-3</v>
      </c>
      <c r="J2" s="10">
        <v>7.4999999999999997E-3</v>
      </c>
      <c r="K2" s="11">
        <v>0.03</v>
      </c>
      <c r="L2" s="9">
        <v>7.4999999999999997E-2</v>
      </c>
      <c r="M2" s="9">
        <v>0.17499999999999999</v>
      </c>
      <c r="N2" s="12">
        <v>0.375</v>
      </c>
      <c r="O2" s="9">
        <v>0.625</v>
      </c>
      <c r="P2" s="9">
        <v>0.875</v>
      </c>
      <c r="Q2" s="11">
        <v>1.25</v>
      </c>
      <c r="R2" s="11">
        <v>1.75</v>
      </c>
      <c r="S2" s="11">
        <v>2.25</v>
      </c>
      <c r="T2" s="2" t="s">
        <v>10</v>
      </c>
    </row>
    <row r="3" spans="1:21" ht="15.75" x14ac:dyDescent="0.25">
      <c r="A3" s="3" t="s">
        <v>129</v>
      </c>
      <c r="B3" s="33">
        <v>42545</v>
      </c>
      <c r="C3" s="34">
        <v>0.63888888888888895</v>
      </c>
      <c r="D3" s="21">
        <f>B3+C3</f>
        <v>42545.638888888891</v>
      </c>
      <c r="E3" s="31">
        <v>39</v>
      </c>
      <c r="F3" s="3" t="s">
        <v>22</v>
      </c>
      <c r="G3" s="1">
        <v>672.42857142857156</v>
      </c>
      <c r="H3" s="25">
        <v>0.1</v>
      </c>
      <c r="I3" s="25">
        <v>14</v>
      </c>
      <c r="J3" s="25">
        <v>36.6</v>
      </c>
      <c r="K3" s="25">
        <v>18</v>
      </c>
      <c r="L3" s="25">
        <v>31.299999999999997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  <c r="T3" s="30">
        <f>(H3*$H$2+I3*$I$2+J3*$J$2+K3*$K$2+L3*$L$2+M3*$M$2+N3*$N$2+O3*$O$2+P3*$P$2+Q3*$Q$2+R3*$R$2+S3*$S$2)/100</f>
        <v>3.20405E-2</v>
      </c>
      <c r="U3" s="40"/>
    </row>
    <row r="4" spans="1:21" x14ac:dyDescent="0.25">
      <c r="A4" s="3" t="s">
        <v>130</v>
      </c>
      <c r="B4" s="33">
        <v>42551</v>
      </c>
      <c r="C4" s="34">
        <v>0.95833333333333337</v>
      </c>
      <c r="D4" s="21">
        <f t="shared" ref="D4:D11" si="0">B4+C4</f>
        <v>42551.958333333336</v>
      </c>
      <c r="E4" s="32">
        <v>42</v>
      </c>
      <c r="F4" s="3" t="s">
        <v>22</v>
      </c>
      <c r="G4" s="22">
        <v>7855.0588235294126</v>
      </c>
      <c r="H4" s="27">
        <v>7.9</v>
      </c>
      <c r="I4" s="27">
        <v>84.6</v>
      </c>
      <c r="J4" s="27">
        <v>7.5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30">
        <f t="shared" ref="T4:T11" si="1">(H4*$H$2+I4*$I$2+J4*$J$2+K4*$K$2+L4*$L$2+M4*$M$2+N4*$N$2+O4*$O$2+P4*$P$2+Q4*$Q$2+R4*$R$2+S4*$S$2)/100</f>
        <v>3.1399999999999996E-3</v>
      </c>
      <c r="U4" s="41"/>
    </row>
    <row r="5" spans="1:21" ht="15.95" customHeight="1" x14ac:dyDescent="0.25">
      <c r="A5" s="3" t="s">
        <v>131</v>
      </c>
      <c r="B5" s="33">
        <v>42616</v>
      </c>
      <c r="C5" s="34">
        <v>0.66666666666666663</v>
      </c>
      <c r="D5" s="21">
        <f t="shared" si="0"/>
        <v>42616.666666666664</v>
      </c>
      <c r="E5" s="31">
        <v>240</v>
      </c>
      <c r="F5" s="3" t="s">
        <v>22</v>
      </c>
      <c r="G5" s="22">
        <v>3525.3333333333335</v>
      </c>
      <c r="H5" s="24">
        <v>0.1</v>
      </c>
      <c r="I5" s="24">
        <v>19.7</v>
      </c>
      <c r="J5" s="24">
        <v>49</v>
      </c>
      <c r="K5" s="24">
        <v>12.799999999999997</v>
      </c>
      <c r="L5" s="24">
        <v>18.400000000000006</v>
      </c>
      <c r="M5" s="24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30">
        <f t="shared" si="1"/>
        <v>2.1906500000000002E-2</v>
      </c>
      <c r="U5" s="40"/>
    </row>
    <row r="6" spans="1:21" x14ac:dyDescent="0.25">
      <c r="A6" s="3" t="s">
        <v>132</v>
      </c>
      <c r="B6" s="33">
        <v>42634</v>
      </c>
      <c r="C6" s="34">
        <v>0.5</v>
      </c>
      <c r="D6" s="21">
        <f t="shared" si="0"/>
        <v>42634.5</v>
      </c>
      <c r="E6" s="32">
        <v>241</v>
      </c>
      <c r="F6" s="3" t="s">
        <v>22</v>
      </c>
      <c r="G6" s="22">
        <v>1558.666666666667</v>
      </c>
      <c r="H6" s="24">
        <v>2.5</v>
      </c>
      <c r="I6" s="24">
        <v>19.5</v>
      </c>
      <c r="J6" s="24">
        <v>44</v>
      </c>
      <c r="K6" s="24">
        <v>14.299999999999997</v>
      </c>
      <c r="L6" s="24">
        <v>19.700000000000003</v>
      </c>
      <c r="M6" s="24">
        <v>0</v>
      </c>
      <c r="N6" s="24">
        <v>0</v>
      </c>
      <c r="O6" s="28">
        <v>0</v>
      </c>
      <c r="P6" s="24">
        <v>0</v>
      </c>
      <c r="Q6" s="24">
        <v>0</v>
      </c>
      <c r="R6" s="24">
        <v>0</v>
      </c>
      <c r="S6" s="24">
        <v>0</v>
      </c>
      <c r="T6" s="30">
        <f t="shared" si="1"/>
        <v>2.29625E-2</v>
      </c>
      <c r="U6" s="41"/>
    </row>
    <row r="7" spans="1:21" x14ac:dyDescent="0.25">
      <c r="A7" s="3" t="s">
        <v>133</v>
      </c>
      <c r="B7" s="33">
        <v>42562</v>
      </c>
      <c r="C7" s="34">
        <v>0.41666666666666669</v>
      </c>
      <c r="D7" s="21">
        <f t="shared" si="0"/>
        <v>42562.416666666664</v>
      </c>
      <c r="E7" s="32">
        <v>242</v>
      </c>
      <c r="F7" s="3" t="s">
        <v>22</v>
      </c>
      <c r="G7" s="22">
        <v>970.25</v>
      </c>
      <c r="H7" s="24">
        <v>0.4</v>
      </c>
      <c r="I7" s="24">
        <v>16.5</v>
      </c>
      <c r="J7" s="24">
        <v>41.1</v>
      </c>
      <c r="K7" s="24">
        <v>17.099999999999994</v>
      </c>
      <c r="L7" s="24">
        <v>24.900000000000006</v>
      </c>
      <c r="M7" s="24">
        <v>0</v>
      </c>
      <c r="N7" s="24">
        <v>0</v>
      </c>
      <c r="O7" s="28">
        <v>0</v>
      </c>
      <c r="P7" s="24">
        <v>0</v>
      </c>
      <c r="Q7" s="24">
        <v>0</v>
      </c>
      <c r="R7" s="24">
        <v>0</v>
      </c>
      <c r="S7" s="24">
        <v>0</v>
      </c>
      <c r="T7" s="30">
        <f t="shared" si="1"/>
        <v>2.7384500000000003E-2</v>
      </c>
      <c r="U7" s="40"/>
    </row>
    <row r="8" spans="1:21" x14ac:dyDescent="0.25">
      <c r="A8" s="3" t="s">
        <v>134</v>
      </c>
      <c r="B8" s="33">
        <v>42562</v>
      </c>
      <c r="C8" s="34">
        <v>0.53125</v>
      </c>
      <c r="D8" s="21">
        <f t="shared" si="0"/>
        <v>42562.53125</v>
      </c>
      <c r="E8" s="32">
        <v>243</v>
      </c>
      <c r="F8" s="3" t="s">
        <v>22</v>
      </c>
      <c r="G8" s="22">
        <v>607.42857142857156</v>
      </c>
      <c r="H8" s="24">
        <v>0.1</v>
      </c>
      <c r="I8" s="24">
        <v>13.700000000000001</v>
      </c>
      <c r="J8" s="24">
        <v>44.099999999999994</v>
      </c>
      <c r="K8" s="24">
        <v>16.600000000000001</v>
      </c>
      <c r="L8" s="24">
        <v>25.5</v>
      </c>
      <c r="M8" s="24">
        <v>0</v>
      </c>
      <c r="N8" s="24">
        <v>0</v>
      </c>
      <c r="O8" s="28">
        <v>0</v>
      </c>
      <c r="P8" s="24">
        <v>0</v>
      </c>
      <c r="Q8" s="24">
        <v>0</v>
      </c>
      <c r="R8" s="24">
        <v>0</v>
      </c>
      <c r="S8" s="24">
        <v>0</v>
      </c>
      <c r="T8" s="30">
        <f t="shared" si="1"/>
        <v>2.7824000000000002E-2</v>
      </c>
      <c r="U8" s="41"/>
    </row>
    <row r="9" spans="1:21" ht="15.75" x14ac:dyDescent="0.25">
      <c r="A9" s="3" t="s">
        <v>135</v>
      </c>
      <c r="B9" s="33">
        <v>42545</v>
      </c>
      <c r="C9" s="34">
        <v>0.63888888888888895</v>
      </c>
      <c r="D9" s="21">
        <f t="shared" si="0"/>
        <v>42545.638888888891</v>
      </c>
      <c r="E9" s="31">
        <v>46</v>
      </c>
      <c r="F9" s="3" t="s">
        <v>22</v>
      </c>
      <c r="G9" s="22">
        <v>66.40000000000002</v>
      </c>
      <c r="H9" s="24">
        <v>0</v>
      </c>
      <c r="I9" s="24">
        <v>10.8</v>
      </c>
      <c r="J9" s="24">
        <v>50.599999999999994</v>
      </c>
      <c r="K9" s="24">
        <v>18.300000000000004</v>
      </c>
      <c r="L9" s="24">
        <v>20.299999999999997</v>
      </c>
      <c r="M9" s="24">
        <v>0</v>
      </c>
      <c r="N9" s="24">
        <v>0</v>
      </c>
      <c r="O9" s="28">
        <v>0</v>
      </c>
      <c r="P9" s="24">
        <v>0</v>
      </c>
      <c r="Q9" s="24">
        <v>0</v>
      </c>
      <c r="R9" s="24">
        <v>0</v>
      </c>
      <c r="S9" s="24">
        <v>0</v>
      </c>
      <c r="T9" s="30">
        <f t="shared" si="1"/>
        <v>2.4833999999999995E-2</v>
      </c>
      <c r="U9" s="40"/>
    </row>
    <row r="10" spans="1:21" x14ac:dyDescent="0.25">
      <c r="A10" s="3" t="s">
        <v>136</v>
      </c>
      <c r="B10" s="33">
        <v>42544</v>
      </c>
      <c r="C10" s="34">
        <v>0.875</v>
      </c>
      <c r="D10" s="21">
        <f t="shared" si="0"/>
        <v>42544.875</v>
      </c>
      <c r="E10" s="32">
        <v>40</v>
      </c>
      <c r="F10" s="3" t="s">
        <v>22</v>
      </c>
      <c r="G10" s="22">
        <v>3525.3333333333335</v>
      </c>
      <c r="H10" s="24">
        <v>0.1</v>
      </c>
      <c r="I10" s="24">
        <v>23.4</v>
      </c>
      <c r="J10" s="24">
        <v>51</v>
      </c>
      <c r="K10" s="24">
        <v>10.200000000000003</v>
      </c>
      <c r="L10" s="24">
        <v>15.299999999999997</v>
      </c>
      <c r="M10" s="24">
        <v>0</v>
      </c>
      <c r="N10" s="24">
        <v>0</v>
      </c>
      <c r="O10" s="28">
        <v>0</v>
      </c>
      <c r="P10" s="24">
        <v>0</v>
      </c>
      <c r="Q10" s="24">
        <v>0</v>
      </c>
      <c r="R10" s="24">
        <v>0</v>
      </c>
      <c r="S10" s="24">
        <v>0</v>
      </c>
      <c r="T10" s="30">
        <f t="shared" si="1"/>
        <v>1.9062499999999996E-2</v>
      </c>
      <c r="U10" s="41"/>
    </row>
    <row r="11" spans="1:21" x14ac:dyDescent="0.25">
      <c r="A11" s="3" t="s">
        <v>137</v>
      </c>
      <c r="B11" s="33">
        <v>42546</v>
      </c>
      <c r="C11" s="34">
        <v>0.60416666666666663</v>
      </c>
      <c r="D11" s="21">
        <f t="shared" si="0"/>
        <v>42546.604166666664</v>
      </c>
      <c r="E11" s="32">
        <v>38</v>
      </c>
      <c r="F11" s="3" t="s">
        <v>22</v>
      </c>
      <c r="G11" s="22">
        <v>265.66666666666669</v>
      </c>
      <c r="H11" s="24">
        <v>0</v>
      </c>
      <c r="I11" s="24">
        <v>5</v>
      </c>
      <c r="J11" s="24">
        <v>21.8</v>
      </c>
      <c r="K11" s="24">
        <v>11.7</v>
      </c>
      <c r="L11" s="24">
        <v>9.1000000000000014</v>
      </c>
      <c r="M11" s="24">
        <v>0</v>
      </c>
      <c r="N11" s="24">
        <v>0.5</v>
      </c>
      <c r="O11" s="28">
        <v>3</v>
      </c>
      <c r="P11" s="24">
        <v>15.499999999999993</v>
      </c>
      <c r="Q11" s="24">
        <v>22.200000000000003</v>
      </c>
      <c r="R11" s="24">
        <v>10.700000000000003</v>
      </c>
      <c r="S11" s="24">
        <v>0.5</v>
      </c>
      <c r="T11" s="30">
        <f t="shared" si="1"/>
        <v>0.64437</v>
      </c>
      <c r="U11" s="40"/>
    </row>
    <row r="12" spans="1:21" x14ac:dyDescent="0.25">
      <c r="H12" s="1">
        <f>AVERAGE(H3:H11)</f>
        <v>1.2444444444444445</v>
      </c>
      <c r="I12" s="1">
        <f t="shared" ref="I12:T12" si="2">AVERAGE(I3:I11)</f>
        <v>23.022222222222226</v>
      </c>
      <c r="J12" s="1">
        <f t="shared" si="2"/>
        <v>38.411111111111111</v>
      </c>
      <c r="K12" s="1">
        <f t="shared" si="2"/>
        <v>13.222222222222221</v>
      </c>
      <c r="L12" s="1">
        <f t="shared" si="2"/>
        <v>18.277777777777782</v>
      </c>
      <c r="M12" s="1">
        <f t="shared" si="2"/>
        <v>0</v>
      </c>
      <c r="N12" s="1">
        <f t="shared" si="2"/>
        <v>5.5555555555555552E-2</v>
      </c>
      <c r="O12" s="1">
        <f t="shared" si="2"/>
        <v>0.33333333333333331</v>
      </c>
      <c r="P12" s="1">
        <f t="shared" si="2"/>
        <v>1.7222222222222214</v>
      </c>
      <c r="Q12" s="1">
        <f t="shared" si="2"/>
        <v>2.4666666666666668</v>
      </c>
      <c r="R12" s="1">
        <f t="shared" si="2"/>
        <v>1.1888888888888891</v>
      </c>
      <c r="S12" s="1">
        <f t="shared" si="2"/>
        <v>5.5555555555555552E-2</v>
      </c>
      <c r="T12" s="1">
        <f t="shared" si="2"/>
        <v>9.1502722222222221E-2</v>
      </c>
    </row>
    <row r="13" spans="1:21" x14ac:dyDescent="0.25">
      <c r="B13" s="1"/>
    </row>
    <row r="14" spans="1:21" x14ac:dyDescent="0.25">
      <c r="B14" s="1"/>
    </row>
    <row r="15" spans="1:21" x14ac:dyDescent="0.25">
      <c r="B15" s="1"/>
    </row>
    <row r="16" spans="1:2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="85" zoomScaleNormal="85" workbookViewId="0">
      <selection activeCell="A3" sqref="A3:A24"/>
    </sheetView>
  </sheetViews>
  <sheetFormatPr defaultColWidth="8.85546875" defaultRowHeight="15" x14ac:dyDescent="0.25"/>
  <cols>
    <col min="1" max="1" width="8.85546875" style="3"/>
    <col min="2" max="2" width="9.85546875" style="4" customWidth="1"/>
    <col min="3" max="3" width="9" style="1" customWidth="1"/>
    <col min="4" max="4" width="16.85546875" style="1" customWidth="1"/>
    <col min="5" max="5" width="10.85546875" style="1" bestFit="1" customWidth="1"/>
    <col min="6" max="6" width="13" style="1" customWidth="1"/>
    <col min="7" max="7" width="10" style="1" customWidth="1"/>
    <col min="8" max="8" width="14" style="1" customWidth="1"/>
    <col min="9" max="9" width="10.28515625" style="1" customWidth="1"/>
    <col min="10" max="19" width="8.85546875" style="1"/>
    <col min="20" max="20" width="17.140625" style="1" customWidth="1"/>
    <col min="21" max="16384" width="8.85546875" style="1"/>
  </cols>
  <sheetData>
    <row r="1" spans="1:20" s="18" customFormat="1" ht="23.1" customHeight="1" x14ac:dyDescent="0.25">
      <c r="A1" s="118" t="s">
        <v>0</v>
      </c>
      <c r="B1" s="118"/>
      <c r="C1" s="118"/>
      <c r="D1" s="118"/>
      <c r="E1" s="118"/>
      <c r="F1" s="118"/>
      <c r="G1" s="119"/>
      <c r="H1" s="15" t="s">
        <v>14</v>
      </c>
      <c r="I1" s="15" t="s">
        <v>1</v>
      </c>
      <c r="J1" s="15" t="s">
        <v>2</v>
      </c>
      <c r="K1" s="15" t="s">
        <v>13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6" t="s">
        <v>11</v>
      </c>
      <c r="S1" s="16" t="s">
        <v>12</v>
      </c>
      <c r="T1" s="17" t="s">
        <v>9</v>
      </c>
    </row>
    <row r="2" spans="1:20" s="13" customFormat="1" ht="35.1" customHeight="1" x14ac:dyDescent="0.25">
      <c r="A2" s="7" t="s">
        <v>21</v>
      </c>
      <c r="B2" s="5" t="s">
        <v>15</v>
      </c>
      <c r="C2" s="6" t="s">
        <v>16</v>
      </c>
      <c r="D2" s="7" t="s">
        <v>17</v>
      </c>
      <c r="E2" s="7" t="s">
        <v>18</v>
      </c>
      <c r="F2" s="7" t="s">
        <v>19</v>
      </c>
      <c r="G2" s="14" t="s">
        <v>20</v>
      </c>
      <c r="H2" s="8">
        <f>0.0005</f>
        <v>5.0000000000000001E-4</v>
      </c>
      <c r="I2" s="9">
        <v>3.0000000000000001E-3</v>
      </c>
      <c r="J2" s="10">
        <v>7.4999999999999997E-3</v>
      </c>
      <c r="K2" s="11">
        <v>0.03</v>
      </c>
      <c r="L2" s="9">
        <v>7.4999999999999997E-2</v>
      </c>
      <c r="M2" s="9">
        <v>0.17499999999999999</v>
      </c>
      <c r="N2" s="12">
        <v>0.375</v>
      </c>
      <c r="O2" s="9">
        <v>0.625</v>
      </c>
      <c r="P2" s="9">
        <v>0.875</v>
      </c>
      <c r="Q2" s="11">
        <v>1.25</v>
      </c>
      <c r="R2" s="11">
        <v>1.75</v>
      </c>
      <c r="S2" s="11">
        <v>2.25</v>
      </c>
      <c r="T2" s="2" t="s">
        <v>10</v>
      </c>
    </row>
    <row r="3" spans="1:20" x14ac:dyDescent="0.25">
      <c r="A3" s="1" t="s">
        <v>23</v>
      </c>
      <c r="B3" s="19"/>
      <c r="C3" s="20"/>
      <c r="D3" s="39">
        <v>42892.875</v>
      </c>
      <c r="E3" s="32">
        <v>1708</v>
      </c>
      <c r="F3" s="1" t="s">
        <v>22</v>
      </c>
      <c r="G3" s="1">
        <v>9952.0000000000018</v>
      </c>
      <c r="H3" s="24">
        <v>7.4</v>
      </c>
      <c r="I3" s="24">
        <v>81.199999999999989</v>
      </c>
      <c r="J3" s="24">
        <v>11.400000000000006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91">
        <f t="shared" ref="T3:T24" si="0">(H3*$H$2+I3*$I$2+J3*$J$2+K3*$K$2+L3*$L$2+M3*$M$2+N3*$N$2+O3*$O$2+P3*$P$2+Q3*$Q$2+R3*$R$2+S3*$S$2)/100</f>
        <v>3.3280000000000002E-3</v>
      </c>
    </row>
    <row r="4" spans="1:20" ht="15.75" x14ac:dyDescent="0.25">
      <c r="A4" s="1" t="s">
        <v>39</v>
      </c>
      <c r="B4" s="19"/>
      <c r="C4" s="20"/>
      <c r="D4" s="39">
        <v>42919.840277777781</v>
      </c>
      <c r="E4" s="31">
        <v>1722</v>
      </c>
      <c r="F4" s="1" t="s">
        <v>24</v>
      </c>
      <c r="G4" s="1">
        <v>964.19999999999993</v>
      </c>
      <c r="H4" s="43">
        <v>0.1</v>
      </c>
      <c r="I4" s="43">
        <v>7.9</v>
      </c>
      <c r="J4" s="43">
        <v>25</v>
      </c>
      <c r="K4" s="43">
        <v>14.299999999999997</v>
      </c>
      <c r="L4" s="43">
        <v>40.5</v>
      </c>
      <c r="M4" s="43">
        <v>11</v>
      </c>
      <c r="N4" s="43">
        <v>1.2000000000000028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91">
        <f t="shared" si="0"/>
        <v>6.0527500000000012E-2</v>
      </c>
    </row>
    <row r="5" spans="1:20" ht="15.95" customHeight="1" x14ac:dyDescent="0.25">
      <c r="A5" s="1" t="s">
        <v>40</v>
      </c>
      <c r="B5" s="19"/>
      <c r="C5" s="20"/>
      <c r="D5" s="39">
        <v>42919.840277777781</v>
      </c>
      <c r="E5" s="35">
        <v>1721</v>
      </c>
      <c r="F5" s="1" t="s">
        <v>22</v>
      </c>
      <c r="G5" s="1">
        <v>802.6</v>
      </c>
      <c r="H5" s="43">
        <v>0.2</v>
      </c>
      <c r="I5" s="43">
        <v>12</v>
      </c>
      <c r="J5" s="43">
        <v>34.700000000000003</v>
      </c>
      <c r="K5" s="43">
        <v>14.5</v>
      </c>
      <c r="L5" s="43">
        <v>36.300000000000004</v>
      </c>
      <c r="M5" s="43">
        <v>2.2999999999999972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91">
        <f t="shared" si="0"/>
        <v>3.8563499999999994E-2</v>
      </c>
    </row>
    <row r="6" spans="1:20" ht="15.75" x14ac:dyDescent="0.25">
      <c r="A6" s="1" t="s">
        <v>41</v>
      </c>
      <c r="B6" s="19"/>
      <c r="C6" s="20"/>
      <c r="D6" s="39">
        <v>42920.902777777781</v>
      </c>
      <c r="E6" s="35">
        <v>1732</v>
      </c>
      <c r="F6" s="1" t="s">
        <v>22</v>
      </c>
      <c r="G6" s="1">
        <v>373.8</v>
      </c>
      <c r="H6" s="43">
        <v>0</v>
      </c>
      <c r="I6" s="43">
        <v>9.4</v>
      </c>
      <c r="J6" s="43">
        <v>35.200000000000003</v>
      </c>
      <c r="K6" s="43">
        <v>18.5</v>
      </c>
      <c r="L6" s="43">
        <v>36.699999999999996</v>
      </c>
      <c r="M6" s="43">
        <v>0.20000000000000284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91">
        <f t="shared" si="0"/>
        <v>3.6346999999999997E-2</v>
      </c>
    </row>
    <row r="7" spans="1:20" ht="15.75" x14ac:dyDescent="0.25">
      <c r="A7" s="1" t="s">
        <v>42</v>
      </c>
      <c r="B7" s="19"/>
      <c r="C7" s="20"/>
      <c r="D7" s="39">
        <v>42921</v>
      </c>
      <c r="E7" s="31">
        <v>1705</v>
      </c>
      <c r="F7" s="1" t="s">
        <v>22</v>
      </c>
      <c r="G7" s="1">
        <v>1586.8888888888887</v>
      </c>
      <c r="H7" s="24">
        <v>0</v>
      </c>
      <c r="I7" s="24">
        <v>9.5</v>
      </c>
      <c r="J7" s="24">
        <v>33.4</v>
      </c>
      <c r="K7" s="24">
        <v>17.600000000000001</v>
      </c>
      <c r="L7" s="24">
        <v>38.900000000000006</v>
      </c>
      <c r="M7" s="24">
        <v>0.59999999999999432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91">
        <f t="shared" si="0"/>
        <v>3.8294999999999996E-2</v>
      </c>
    </row>
    <row r="8" spans="1:20" x14ac:dyDescent="0.25">
      <c r="A8" s="1" t="s">
        <v>43</v>
      </c>
      <c r="B8" s="19"/>
      <c r="C8" s="20"/>
      <c r="D8" s="39">
        <v>42921.329861111109</v>
      </c>
      <c r="E8" s="32">
        <v>1704</v>
      </c>
      <c r="F8" s="1" t="s">
        <v>124</v>
      </c>
      <c r="G8" s="1">
        <v>712.12765957446811</v>
      </c>
      <c r="H8" s="24">
        <v>0</v>
      </c>
      <c r="I8" s="24">
        <v>9.1</v>
      </c>
      <c r="J8" s="24">
        <v>34.6</v>
      </c>
      <c r="K8" s="24">
        <v>18.799999999999997</v>
      </c>
      <c r="L8" s="24">
        <v>37.400000000000006</v>
      </c>
      <c r="M8" s="24">
        <v>9.9999999999994316E-2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91">
        <f t="shared" si="0"/>
        <v>3.6732999999999995E-2</v>
      </c>
    </row>
    <row r="9" spans="1:20" ht="15.75" x14ac:dyDescent="0.25">
      <c r="A9" s="1" t="s">
        <v>44</v>
      </c>
      <c r="B9" s="19"/>
      <c r="C9" s="20"/>
      <c r="D9" s="39">
        <v>42921.333333333336</v>
      </c>
      <c r="E9" s="31">
        <v>1720</v>
      </c>
      <c r="F9" s="1" t="s">
        <v>24</v>
      </c>
      <c r="G9" s="1">
        <v>1088.2105263157891</v>
      </c>
      <c r="H9" s="43">
        <v>0</v>
      </c>
      <c r="I9" s="43">
        <v>9.1</v>
      </c>
      <c r="J9" s="43">
        <v>33.6</v>
      </c>
      <c r="K9" s="43">
        <v>17.599999999999994</v>
      </c>
      <c r="L9" s="43">
        <v>39.200000000000003</v>
      </c>
      <c r="M9" s="43">
        <v>0.5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91">
        <f t="shared" si="0"/>
        <v>3.8347999999999993E-2</v>
      </c>
    </row>
    <row r="10" spans="1:20" x14ac:dyDescent="0.25">
      <c r="A10" s="1" t="s">
        <v>45</v>
      </c>
      <c r="B10" s="19"/>
      <c r="D10" s="39">
        <v>42935.295138888891</v>
      </c>
      <c r="E10" s="32">
        <v>1702</v>
      </c>
      <c r="F10" s="1" t="s">
        <v>22</v>
      </c>
      <c r="G10" s="1">
        <v>252.2</v>
      </c>
      <c r="H10" s="27">
        <v>0</v>
      </c>
      <c r="I10" s="27">
        <v>9.8000000000000007</v>
      </c>
      <c r="J10" s="27">
        <v>42.5</v>
      </c>
      <c r="K10" s="27">
        <v>20.100000000000009</v>
      </c>
      <c r="L10" s="27">
        <v>27.599999999999994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91">
        <f t="shared" si="0"/>
        <v>3.0211499999999995E-2</v>
      </c>
    </row>
    <row r="11" spans="1:20" ht="15.75" x14ac:dyDescent="0.25">
      <c r="A11" s="1" t="s">
        <v>46</v>
      </c>
      <c r="B11" s="19"/>
      <c r="C11" s="20"/>
      <c r="D11" s="39">
        <v>42938.6875</v>
      </c>
      <c r="E11" s="31">
        <v>1715</v>
      </c>
      <c r="F11" s="1" t="s">
        <v>22</v>
      </c>
      <c r="G11" s="1">
        <v>1896.8421052631579</v>
      </c>
      <c r="H11" s="43">
        <v>0.2</v>
      </c>
      <c r="I11" s="43">
        <v>12.5</v>
      </c>
      <c r="J11" s="43">
        <v>36.400000000000006</v>
      </c>
      <c r="K11" s="43">
        <v>16.999999999999993</v>
      </c>
      <c r="L11" s="43">
        <v>33.800000000000011</v>
      </c>
      <c r="M11" s="43">
        <v>9.9999999999994316E-2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91">
        <f t="shared" si="0"/>
        <v>3.3730999999999997E-2</v>
      </c>
    </row>
    <row r="12" spans="1:20" x14ac:dyDescent="0.25">
      <c r="A12" s="1" t="s">
        <v>47</v>
      </c>
      <c r="B12" s="19"/>
      <c r="C12" s="20"/>
      <c r="D12" s="39">
        <v>42939.416666666664</v>
      </c>
      <c r="E12" s="32">
        <v>1710</v>
      </c>
      <c r="F12" s="1" t="s">
        <v>124</v>
      </c>
      <c r="G12" s="1">
        <v>1050</v>
      </c>
      <c r="H12" s="24">
        <v>4.7</v>
      </c>
      <c r="I12" s="24">
        <v>18.400000000000002</v>
      </c>
      <c r="J12" s="24">
        <v>40.699999999999996</v>
      </c>
      <c r="K12" s="24">
        <v>12.600000000000009</v>
      </c>
      <c r="L12" s="24">
        <v>23.599999999999994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91">
        <f t="shared" si="0"/>
        <v>2.5107999999999998E-2</v>
      </c>
    </row>
    <row r="13" spans="1:20" ht="15.75" x14ac:dyDescent="0.25">
      <c r="A13" s="1" t="s">
        <v>48</v>
      </c>
      <c r="B13" s="19"/>
      <c r="C13" s="20"/>
      <c r="D13" s="39">
        <v>42939.434027777781</v>
      </c>
      <c r="E13" s="31">
        <v>1703</v>
      </c>
      <c r="F13" s="1" t="s">
        <v>24</v>
      </c>
      <c r="G13" s="1">
        <v>693.30000000000007</v>
      </c>
      <c r="H13" s="24">
        <v>0.3</v>
      </c>
      <c r="I13" s="24">
        <v>14.7</v>
      </c>
      <c r="J13" s="24">
        <v>39.5</v>
      </c>
      <c r="K13" s="24">
        <v>15.900000000000006</v>
      </c>
      <c r="L13" s="24">
        <v>29.5</v>
      </c>
      <c r="M13" s="24">
        <v>9.9999999999994316E-2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91">
        <f t="shared" si="0"/>
        <v>3.0474999999999995E-2</v>
      </c>
    </row>
    <row r="14" spans="1:20" ht="15.75" x14ac:dyDescent="0.25">
      <c r="A14" s="1" t="s">
        <v>49</v>
      </c>
      <c r="B14" s="19"/>
      <c r="C14" s="20"/>
      <c r="D14" s="39">
        <v>42939.440972222219</v>
      </c>
      <c r="E14" s="31">
        <v>1701</v>
      </c>
      <c r="F14" s="1" t="s">
        <v>22</v>
      </c>
      <c r="G14" s="1">
        <v>847.30000000000007</v>
      </c>
      <c r="H14" s="27">
        <v>5.2</v>
      </c>
      <c r="I14" s="27">
        <v>19.8</v>
      </c>
      <c r="J14" s="27">
        <v>41.599999999999994</v>
      </c>
      <c r="K14" s="27">
        <v>12.100000000000009</v>
      </c>
      <c r="L14" s="27">
        <v>21.299999999999997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91">
        <f t="shared" si="0"/>
        <v>2.3344999999999998E-2</v>
      </c>
    </row>
    <row r="15" spans="1:20" ht="15.75" x14ac:dyDescent="0.25">
      <c r="A15" s="1" t="s">
        <v>50</v>
      </c>
      <c r="B15" s="19"/>
      <c r="C15" s="20"/>
      <c r="D15" s="39">
        <v>42964.84375</v>
      </c>
      <c r="E15" s="31">
        <v>1709</v>
      </c>
      <c r="F15" s="1" t="s">
        <v>22</v>
      </c>
      <c r="G15" s="1">
        <v>3665.7999999999997</v>
      </c>
      <c r="H15" s="24">
        <v>1</v>
      </c>
      <c r="I15" s="24">
        <v>50.7</v>
      </c>
      <c r="J15" s="24">
        <v>39.299999999999997</v>
      </c>
      <c r="K15" s="24">
        <v>4.9000000000000057</v>
      </c>
      <c r="L15" s="24">
        <v>4.0999999999999943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91">
        <f t="shared" si="0"/>
        <v>9.018499999999997E-3</v>
      </c>
    </row>
    <row r="16" spans="1:20" ht="15.75" x14ac:dyDescent="0.25">
      <c r="A16" s="1" t="s">
        <v>51</v>
      </c>
      <c r="B16" s="19"/>
      <c r="C16" s="20"/>
      <c r="D16" s="39">
        <v>42970.114583333336</v>
      </c>
      <c r="E16" s="31">
        <v>1707</v>
      </c>
      <c r="F16" s="1" t="s">
        <v>22</v>
      </c>
      <c r="G16" s="1">
        <v>9475.5555555555529</v>
      </c>
      <c r="H16" s="27">
        <v>4.5999999999999996</v>
      </c>
      <c r="I16" s="27">
        <v>72.400000000000006</v>
      </c>
      <c r="J16" s="27">
        <v>20.599999999999994</v>
      </c>
      <c r="K16" s="27">
        <v>1.4000000000000057</v>
      </c>
      <c r="L16" s="27">
        <v>1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91">
        <f t="shared" si="0"/>
        <v>4.9100000000000012E-3</v>
      </c>
    </row>
    <row r="17" spans="1:20" x14ac:dyDescent="0.25">
      <c r="A17" s="1" t="s">
        <v>52</v>
      </c>
      <c r="B17" s="19"/>
      <c r="C17" s="20"/>
      <c r="D17" s="39">
        <v>42976.5</v>
      </c>
      <c r="E17" s="32">
        <v>1733</v>
      </c>
      <c r="F17" s="1" t="s">
        <v>22</v>
      </c>
      <c r="G17" s="1">
        <v>20702.666666666668</v>
      </c>
      <c r="H17" s="43">
        <v>0.5</v>
      </c>
      <c r="I17" s="43">
        <v>43.1</v>
      </c>
      <c r="J17" s="43">
        <v>42.800000000000004</v>
      </c>
      <c r="K17" s="43">
        <v>6.2999999999999972</v>
      </c>
      <c r="L17" s="43">
        <v>7.2999999999999972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91">
        <f t="shared" si="0"/>
        <v>1.1870499999999997E-2</v>
      </c>
    </row>
    <row r="18" spans="1:20" ht="15.75" x14ac:dyDescent="0.25">
      <c r="A18" s="1" t="s">
        <v>53</v>
      </c>
      <c r="B18" s="19"/>
      <c r="C18" s="20"/>
      <c r="D18" s="39">
        <v>42978.552083333336</v>
      </c>
      <c r="E18" s="31">
        <v>1730</v>
      </c>
      <c r="F18" s="1" t="s">
        <v>22</v>
      </c>
      <c r="G18" s="1">
        <v>5811.2000000000007</v>
      </c>
      <c r="H18" s="43">
        <v>0.1</v>
      </c>
      <c r="I18" s="43">
        <v>16.599999999999998</v>
      </c>
      <c r="J18" s="43">
        <v>52.3</v>
      </c>
      <c r="K18" s="43">
        <v>12.599999999999994</v>
      </c>
      <c r="L18" s="43">
        <v>18.400000000000006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91">
        <f t="shared" si="0"/>
        <v>2.2001E-2</v>
      </c>
    </row>
    <row r="19" spans="1:20" x14ac:dyDescent="0.25">
      <c r="A19" s="1" t="s">
        <v>33</v>
      </c>
      <c r="B19" s="19"/>
      <c r="C19" s="20"/>
      <c r="D19" s="39">
        <v>42915.625</v>
      </c>
      <c r="E19" s="32">
        <v>1712</v>
      </c>
      <c r="F19" s="1" t="s">
        <v>124</v>
      </c>
      <c r="G19" s="1">
        <v>322.20000000000005</v>
      </c>
      <c r="H19" s="42">
        <v>0</v>
      </c>
      <c r="I19" s="42">
        <v>12.3</v>
      </c>
      <c r="J19" s="42">
        <v>41.2</v>
      </c>
      <c r="K19" s="42">
        <v>18.400000000000006</v>
      </c>
      <c r="L19" s="42">
        <v>28.099999999999994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91">
        <f t="shared" si="0"/>
        <v>3.0053999999999997E-2</v>
      </c>
    </row>
    <row r="20" spans="1:20" ht="15.75" x14ac:dyDescent="0.25">
      <c r="A20" s="1" t="s">
        <v>34</v>
      </c>
      <c r="B20" s="19"/>
      <c r="C20" s="20"/>
      <c r="D20" s="39">
        <v>42915.625</v>
      </c>
      <c r="E20" s="31">
        <v>1711</v>
      </c>
      <c r="F20" s="1" t="s">
        <v>22</v>
      </c>
      <c r="G20" s="1">
        <v>256.09756097560978</v>
      </c>
      <c r="H20" s="24">
        <v>0</v>
      </c>
      <c r="I20" s="24">
        <v>9.8000000000000007</v>
      </c>
      <c r="J20" s="24">
        <v>38.5</v>
      </c>
      <c r="K20" s="24">
        <v>19.400000000000006</v>
      </c>
      <c r="L20" s="24">
        <v>32.299999999999997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91">
        <f t="shared" si="0"/>
        <v>3.3226500000000006E-2</v>
      </c>
    </row>
    <row r="21" spans="1:20" x14ac:dyDescent="0.25">
      <c r="A21" s="1" t="s">
        <v>35</v>
      </c>
      <c r="B21" s="19"/>
      <c r="C21" s="20"/>
      <c r="D21" s="39">
        <v>42915.625</v>
      </c>
      <c r="E21" s="32">
        <v>1734</v>
      </c>
      <c r="F21" s="1" t="s">
        <v>23</v>
      </c>
      <c r="G21" s="1">
        <v>8080</v>
      </c>
      <c r="H21" s="43">
        <v>0.8</v>
      </c>
      <c r="I21" s="43">
        <v>44.6</v>
      </c>
      <c r="J21" s="43">
        <v>41.4</v>
      </c>
      <c r="K21" s="43">
        <v>5.9000000000000057</v>
      </c>
      <c r="L21" s="43">
        <v>7.2999999999999972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91">
        <f t="shared" si="0"/>
        <v>1.1692000000000001E-2</v>
      </c>
    </row>
    <row r="22" spans="1:20" ht="15.75" x14ac:dyDescent="0.25">
      <c r="A22" s="1" t="s">
        <v>36</v>
      </c>
      <c r="B22" s="19"/>
      <c r="C22" s="20"/>
      <c r="D22" s="39">
        <v>42916.541666666664</v>
      </c>
      <c r="E22" s="31">
        <v>1713</v>
      </c>
      <c r="F22" s="1" t="s">
        <v>22</v>
      </c>
      <c r="G22" s="1">
        <v>92.86666666666666</v>
      </c>
      <c r="H22" s="43">
        <v>0</v>
      </c>
      <c r="I22" s="43">
        <v>8.6</v>
      </c>
      <c r="J22" s="43">
        <v>42.8</v>
      </c>
      <c r="K22" s="43">
        <v>24.4</v>
      </c>
      <c r="L22" s="43">
        <v>13.600000000000009</v>
      </c>
      <c r="M22" s="43">
        <v>0</v>
      </c>
      <c r="N22" s="43">
        <v>0</v>
      </c>
      <c r="O22" s="43">
        <v>0</v>
      </c>
      <c r="P22" s="43">
        <v>0.5</v>
      </c>
      <c r="Q22" s="43">
        <v>4.2999999999999972</v>
      </c>
      <c r="R22" s="43">
        <v>5.3999999999999915</v>
      </c>
      <c r="S22" s="43">
        <v>0.40000000000000568</v>
      </c>
      <c r="T22" s="91">
        <f t="shared" si="0"/>
        <v>0.18261299999999994</v>
      </c>
    </row>
    <row r="23" spans="1:20" x14ac:dyDescent="0.25">
      <c r="A23" s="1" t="s">
        <v>37</v>
      </c>
      <c r="B23" s="19"/>
      <c r="C23" s="20"/>
      <c r="D23" s="39">
        <v>42916.541666666664</v>
      </c>
      <c r="E23" s="32">
        <v>1714</v>
      </c>
      <c r="F23" s="1" t="s">
        <v>124</v>
      </c>
      <c r="G23" s="1">
        <v>207.33333333333334</v>
      </c>
      <c r="H23" s="43">
        <v>0</v>
      </c>
      <c r="I23" s="43">
        <v>10.1</v>
      </c>
      <c r="J23" s="43">
        <v>40.6</v>
      </c>
      <c r="K23" s="43">
        <v>20.099999999999994</v>
      </c>
      <c r="L23" s="43">
        <v>29.200000000000003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91">
        <f t="shared" si="0"/>
        <v>3.1278E-2</v>
      </c>
    </row>
    <row r="24" spans="1:20" x14ac:dyDescent="0.25">
      <c r="A24" s="1" t="s">
        <v>38</v>
      </c>
      <c r="B24" s="19"/>
      <c r="C24" s="20"/>
      <c r="D24" s="39">
        <v>42919.833333333336</v>
      </c>
      <c r="E24" s="32">
        <v>1706</v>
      </c>
      <c r="F24" s="1" t="s">
        <v>124</v>
      </c>
      <c r="G24" s="1">
        <v>915.8</v>
      </c>
      <c r="H24" s="24">
        <v>0</v>
      </c>
      <c r="I24" s="24">
        <v>11.1</v>
      </c>
      <c r="J24" s="24">
        <v>35</v>
      </c>
      <c r="K24" s="24">
        <v>18.100000000000001</v>
      </c>
      <c r="L24" s="24">
        <v>35.799999999999997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91">
        <f t="shared" si="0"/>
        <v>3.5237999999999998E-2</v>
      </c>
    </row>
    <row r="25" spans="1:20" ht="15.75" x14ac:dyDescent="0.25">
      <c r="A25" s="1"/>
      <c r="B25" s="19"/>
      <c r="C25" s="20"/>
      <c r="D25" s="21"/>
      <c r="E25" s="31"/>
      <c r="F25" s="3"/>
      <c r="H25" s="1">
        <f>AVERAGE(H3:H24)</f>
        <v>1.1409090909090911</v>
      </c>
      <c r="I25" s="1">
        <f t="shared" ref="I25:T25" si="1">AVERAGE(I3:I24)</f>
        <v>22.395454545454552</v>
      </c>
      <c r="J25" s="1">
        <f t="shared" si="1"/>
        <v>36.504545454545458</v>
      </c>
      <c r="K25" s="1">
        <f t="shared" si="1"/>
        <v>14.113636363636363</v>
      </c>
      <c r="L25" s="1">
        <f t="shared" si="1"/>
        <v>24.631818181818186</v>
      </c>
      <c r="M25" s="1">
        <f t="shared" si="1"/>
        <v>0.67727272727272625</v>
      </c>
      <c r="N25" s="1">
        <f t="shared" si="1"/>
        <v>5.4545454545454675E-2</v>
      </c>
      <c r="O25" s="1">
        <f t="shared" si="1"/>
        <v>0</v>
      </c>
      <c r="P25" s="1">
        <f t="shared" si="1"/>
        <v>2.2727272727272728E-2</v>
      </c>
      <c r="Q25" s="1">
        <f t="shared" si="1"/>
        <v>0.19545454545454533</v>
      </c>
      <c r="R25" s="1">
        <f t="shared" si="1"/>
        <v>0.24545454545454506</v>
      </c>
      <c r="S25" s="1">
        <f t="shared" si="1"/>
        <v>1.8181818181818441E-2</v>
      </c>
      <c r="T25" s="1">
        <f t="shared" si="1"/>
        <v>3.4859727272727271E-2</v>
      </c>
    </row>
    <row r="26" spans="1:20" x14ac:dyDescent="0.25">
      <c r="A26" s="1"/>
      <c r="B26" s="1"/>
      <c r="H26" s="1">
        <f>MEDIAN(H3:H24)</f>
        <v>0.1</v>
      </c>
      <c r="I26" s="1">
        <f t="shared" ref="I26:S26" si="2">MEDIAN(I3:I24)</f>
        <v>12.15</v>
      </c>
      <c r="J26" s="1">
        <f t="shared" si="2"/>
        <v>38.9</v>
      </c>
      <c r="K26" s="1">
        <f t="shared" si="2"/>
        <v>16.45</v>
      </c>
      <c r="L26" s="1">
        <f t="shared" si="2"/>
        <v>28.65</v>
      </c>
      <c r="M26" s="1">
        <f t="shared" si="2"/>
        <v>0</v>
      </c>
      <c r="N26" s="1">
        <f t="shared" si="2"/>
        <v>0</v>
      </c>
      <c r="O26" s="1">
        <f t="shared" si="2"/>
        <v>0</v>
      </c>
      <c r="P26" s="1">
        <f t="shared" si="2"/>
        <v>0</v>
      </c>
      <c r="Q26" s="1">
        <f t="shared" si="2"/>
        <v>0</v>
      </c>
      <c r="R26" s="1">
        <f t="shared" si="2"/>
        <v>0</v>
      </c>
      <c r="S26" s="1">
        <f t="shared" si="2"/>
        <v>0</v>
      </c>
      <c r="T26" s="65">
        <f>MEDIAN(T3:T24)</f>
        <v>3.0876499999999998E-2</v>
      </c>
    </row>
    <row r="27" spans="1:20" x14ac:dyDescent="0.25">
      <c r="T27" s="65">
        <f>STDEV(T3:T24)</f>
        <v>3.5611259400486581E-2</v>
      </c>
    </row>
    <row r="28" spans="1:20" x14ac:dyDescent="0.25">
      <c r="T28" s="65">
        <f>AVERAGE(T3:T24)</f>
        <v>3.4859727272727271E-2</v>
      </c>
    </row>
    <row r="29" spans="1:20" ht="15.75" x14ac:dyDescent="0.25">
      <c r="E29" s="31"/>
    </row>
    <row r="30" spans="1:20" x14ac:dyDescent="0.25">
      <c r="E30" s="32"/>
    </row>
    <row r="31" spans="1:20" ht="15.75" x14ac:dyDescent="0.25">
      <c r="E31" s="31"/>
    </row>
    <row r="32" spans="1:20" x14ac:dyDescent="0.25">
      <c r="E32" s="32"/>
    </row>
    <row r="33" spans="5:5" ht="15.75" x14ac:dyDescent="0.25">
      <c r="E33" s="31"/>
    </row>
    <row r="34" spans="5:5" x14ac:dyDescent="0.25">
      <c r="E34" s="32"/>
    </row>
    <row r="35" spans="5:5" ht="15.75" x14ac:dyDescent="0.25">
      <c r="E35" s="31"/>
    </row>
    <row r="36" spans="5:5" x14ac:dyDescent="0.25">
      <c r="E36" s="32"/>
    </row>
    <row r="37" spans="5:5" ht="15.75" x14ac:dyDescent="0.25">
      <c r="E37" s="31"/>
    </row>
    <row r="38" spans="5:5" x14ac:dyDescent="0.25">
      <c r="E38" s="32"/>
    </row>
    <row r="39" spans="5:5" ht="15.75" x14ac:dyDescent="0.25">
      <c r="E39" s="31"/>
    </row>
    <row r="40" spans="5:5" x14ac:dyDescent="0.25">
      <c r="E40" s="32"/>
    </row>
    <row r="41" spans="5:5" ht="15.75" x14ac:dyDescent="0.25">
      <c r="E41" s="31"/>
    </row>
    <row r="42" spans="5:5" x14ac:dyDescent="0.25">
      <c r="E42" s="32"/>
    </row>
    <row r="43" spans="5:5" ht="15.75" x14ac:dyDescent="0.25">
      <c r="E43" s="31"/>
    </row>
    <row r="44" spans="5:5" ht="15.75" x14ac:dyDescent="0.25">
      <c r="E44" s="31"/>
    </row>
    <row r="45" spans="5:5" ht="15.75" x14ac:dyDescent="0.25">
      <c r="E45" s="35"/>
    </row>
    <row r="46" spans="5:5" ht="15.75" x14ac:dyDescent="0.25">
      <c r="E46" s="31"/>
    </row>
    <row r="47" spans="5:5" ht="15.75" x14ac:dyDescent="0.25">
      <c r="E47" s="31"/>
    </row>
    <row r="48" spans="5:5" ht="15.75" x14ac:dyDescent="0.25">
      <c r="E48" s="35"/>
    </row>
    <row r="49" spans="5:5" x14ac:dyDescent="0.25">
      <c r="E49" s="32"/>
    </row>
    <row r="50" spans="5:5" x14ac:dyDescent="0.25">
      <c r="E50" s="32"/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>
      <selection activeCell="AQ1" sqref="B1:AQ1"/>
    </sheetView>
  </sheetViews>
  <sheetFormatPr defaultRowHeight="15" x14ac:dyDescent="0.25"/>
  <sheetData>
    <row r="1" spans="1:43" s="107" customFormat="1" ht="15.75" x14ac:dyDescent="0.25">
      <c r="B1" s="108" t="s">
        <v>197</v>
      </c>
      <c r="C1" s="109" t="s">
        <v>198</v>
      </c>
      <c r="D1" s="108" t="s">
        <v>199</v>
      </c>
      <c r="E1" s="109" t="s">
        <v>200</v>
      </c>
      <c r="F1" s="109" t="s">
        <v>201</v>
      </c>
      <c r="G1" s="109" t="s">
        <v>202</v>
      </c>
      <c r="H1" s="108" t="s">
        <v>203</v>
      </c>
      <c r="I1" s="109" t="s">
        <v>204</v>
      </c>
      <c r="J1" s="108" t="s">
        <v>205</v>
      </c>
      <c r="K1" s="109" t="s">
        <v>206</v>
      </c>
      <c r="L1" s="109" t="s">
        <v>207</v>
      </c>
      <c r="M1" s="110" t="s">
        <v>129</v>
      </c>
      <c r="N1" s="110" t="s">
        <v>130</v>
      </c>
      <c r="O1" s="110" t="s">
        <v>131</v>
      </c>
      <c r="P1" s="110" t="s">
        <v>132</v>
      </c>
      <c r="Q1" s="110" t="s">
        <v>133</v>
      </c>
      <c r="R1" s="110" t="s">
        <v>134</v>
      </c>
      <c r="S1" s="110" t="s">
        <v>135</v>
      </c>
      <c r="T1" s="110" t="s">
        <v>136</v>
      </c>
      <c r="U1" s="110" t="s">
        <v>137</v>
      </c>
      <c r="V1" s="107" t="s">
        <v>23</v>
      </c>
      <c r="W1" s="107" t="s">
        <v>39</v>
      </c>
      <c r="X1" s="107" t="s">
        <v>40</v>
      </c>
      <c r="Y1" s="107" t="s">
        <v>41</v>
      </c>
      <c r="Z1" s="107" t="s">
        <v>42</v>
      </c>
      <c r="AA1" s="107" t="s">
        <v>43</v>
      </c>
      <c r="AB1" s="107" t="s">
        <v>44</v>
      </c>
      <c r="AC1" s="107" t="s">
        <v>45</v>
      </c>
      <c r="AD1" s="107" t="s">
        <v>46</v>
      </c>
      <c r="AE1" s="107" t="s">
        <v>47</v>
      </c>
      <c r="AF1" s="107" t="s">
        <v>48</v>
      </c>
      <c r="AG1" s="107" t="s">
        <v>49</v>
      </c>
      <c r="AH1" s="107" t="s">
        <v>50</v>
      </c>
      <c r="AI1" s="107" t="s">
        <v>51</v>
      </c>
      <c r="AJ1" s="107" t="s">
        <v>52</v>
      </c>
      <c r="AK1" s="107" t="s">
        <v>53</v>
      </c>
      <c r="AL1" s="107" t="s">
        <v>33</v>
      </c>
      <c r="AM1" s="107" t="s">
        <v>34</v>
      </c>
      <c r="AN1" s="107" t="s">
        <v>35</v>
      </c>
      <c r="AO1" s="107" t="s">
        <v>36</v>
      </c>
      <c r="AP1" s="107" t="s">
        <v>37</v>
      </c>
      <c r="AQ1" s="107" t="s">
        <v>38</v>
      </c>
    </row>
    <row r="2" spans="1:43" x14ac:dyDescent="0.25">
      <c r="A2">
        <v>2000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0.40000000000000568</v>
      </c>
      <c r="AP2">
        <v>0</v>
      </c>
      <c r="AQ2">
        <v>0</v>
      </c>
    </row>
    <row r="3" spans="1:43" x14ac:dyDescent="0.25">
      <c r="A3">
        <v>1500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9.9999999999994316E-2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10.700000000000003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5.3999999999999915</v>
      </c>
      <c r="AP3">
        <v>0</v>
      </c>
      <c r="AQ3">
        <v>0</v>
      </c>
    </row>
    <row r="4" spans="1:43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0.20000000000000284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22.200000000000003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4.2999999999999972</v>
      </c>
      <c r="AP4">
        <v>0</v>
      </c>
      <c r="AQ4">
        <v>0</v>
      </c>
    </row>
    <row r="5" spans="1:43" x14ac:dyDescent="0.25">
      <c r="A5">
        <v>750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0.70000000000000284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15.499999999999993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0.5</v>
      </c>
      <c r="AP5">
        <v>0</v>
      </c>
      <c r="AQ5">
        <v>0</v>
      </c>
    </row>
    <row r="6" spans="1:43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</v>
      </c>
      <c r="V7">
        <v>0</v>
      </c>
      <c r="W7">
        <v>1.2000000000000028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6.0999999999999943</v>
      </c>
      <c r="G8">
        <v>9.9999999999994316E-2</v>
      </c>
      <c r="H8">
        <v>0.20000000000000284</v>
      </c>
      <c r="I8">
        <v>0</v>
      </c>
      <c r="J8">
        <v>2.2999999999999972</v>
      </c>
      <c r="K8">
        <v>3.7000000000000028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11</v>
      </c>
      <c r="X8">
        <v>2.2999999999999972</v>
      </c>
      <c r="Y8">
        <v>0.20000000000000284</v>
      </c>
      <c r="Z8">
        <v>0.59999999999999432</v>
      </c>
      <c r="AA8">
        <v>9.9999999999994316E-2</v>
      </c>
      <c r="AB8">
        <v>0.5</v>
      </c>
      <c r="AC8">
        <v>0</v>
      </c>
      <c r="AD8">
        <v>9.9999999999994316E-2</v>
      </c>
      <c r="AE8">
        <v>0</v>
      </c>
      <c r="AF8">
        <v>9.9999999999994316E-2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>
        <v>50</v>
      </c>
      <c r="B9">
        <v>27.599999999999994</v>
      </c>
      <c r="C9">
        <v>23.099999999999994</v>
      </c>
      <c r="D9">
        <v>32.299999999999997</v>
      </c>
      <c r="E9">
        <v>32.5</v>
      </c>
      <c r="F9">
        <v>49.2</v>
      </c>
      <c r="G9">
        <v>33.700000000000003</v>
      </c>
      <c r="H9">
        <v>39.4</v>
      </c>
      <c r="I9">
        <v>2.5</v>
      </c>
      <c r="J9">
        <v>35.300000000000004</v>
      </c>
      <c r="K9">
        <v>3.0999999999999943</v>
      </c>
      <c r="L9">
        <v>29.099999999999994</v>
      </c>
      <c r="M9">
        <v>31.299999999999997</v>
      </c>
      <c r="N9">
        <v>0</v>
      </c>
      <c r="O9">
        <v>18.400000000000006</v>
      </c>
      <c r="P9">
        <v>19.700000000000003</v>
      </c>
      <c r="Q9">
        <v>24.900000000000006</v>
      </c>
      <c r="R9">
        <v>25.5</v>
      </c>
      <c r="S9">
        <v>20.299999999999997</v>
      </c>
      <c r="T9">
        <v>15.299999999999997</v>
      </c>
      <c r="U9">
        <v>9.1000000000000014</v>
      </c>
      <c r="V9">
        <v>0</v>
      </c>
      <c r="W9">
        <v>40.5</v>
      </c>
      <c r="X9">
        <v>36.300000000000004</v>
      </c>
      <c r="Y9">
        <v>36.699999999999996</v>
      </c>
      <c r="Z9">
        <v>38.900000000000006</v>
      </c>
      <c r="AA9">
        <v>37.400000000000006</v>
      </c>
      <c r="AB9">
        <v>39.200000000000003</v>
      </c>
      <c r="AC9">
        <v>27.599999999999994</v>
      </c>
      <c r="AD9">
        <v>33.800000000000011</v>
      </c>
      <c r="AE9">
        <v>23.599999999999994</v>
      </c>
      <c r="AF9">
        <v>29.5</v>
      </c>
      <c r="AG9">
        <v>21.299999999999997</v>
      </c>
      <c r="AH9">
        <v>4.0999999999999943</v>
      </c>
      <c r="AI9">
        <v>1</v>
      </c>
      <c r="AJ9">
        <v>7.2999999999999972</v>
      </c>
      <c r="AK9">
        <v>18.400000000000006</v>
      </c>
      <c r="AL9">
        <v>28.099999999999994</v>
      </c>
      <c r="AM9">
        <v>32.299999999999997</v>
      </c>
      <c r="AN9">
        <v>7.2999999999999972</v>
      </c>
      <c r="AO9">
        <v>13.600000000000009</v>
      </c>
      <c r="AP9">
        <v>29.200000000000003</v>
      </c>
      <c r="AQ9">
        <v>35.799999999999997</v>
      </c>
    </row>
    <row r="10" spans="1:43" x14ac:dyDescent="0.25">
      <c r="A10">
        <v>10</v>
      </c>
      <c r="B10">
        <v>18.200000000000003</v>
      </c>
      <c r="C10">
        <v>12.5</v>
      </c>
      <c r="D10">
        <v>18.200000000000003</v>
      </c>
      <c r="E10">
        <v>19.700000000000003</v>
      </c>
      <c r="F10">
        <v>17.200000000000003</v>
      </c>
      <c r="G10">
        <v>18.300000000000004</v>
      </c>
      <c r="H10">
        <v>19.299999999999997</v>
      </c>
      <c r="I10">
        <v>2.4000000000000057</v>
      </c>
      <c r="J10">
        <v>12.699999999999996</v>
      </c>
      <c r="K10">
        <v>0.40000000000000568</v>
      </c>
      <c r="L10">
        <v>15.500000000000007</v>
      </c>
      <c r="M10">
        <v>18</v>
      </c>
      <c r="N10">
        <v>0</v>
      </c>
      <c r="O10">
        <v>12.799999999999997</v>
      </c>
      <c r="P10">
        <v>14.299999999999997</v>
      </c>
      <c r="Q10">
        <v>17.099999999999994</v>
      </c>
      <c r="R10">
        <v>16.600000000000001</v>
      </c>
      <c r="S10">
        <v>18.300000000000004</v>
      </c>
      <c r="T10">
        <v>10.200000000000003</v>
      </c>
      <c r="U10">
        <v>11.7</v>
      </c>
      <c r="V10">
        <v>0</v>
      </c>
      <c r="W10">
        <v>14.299999999999997</v>
      </c>
      <c r="X10">
        <v>14.5</v>
      </c>
      <c r="Y10">
        <v>18.5</v>
      </c>
      <c r="Z10">
        <v>17.600000000000001</v>
      </c>
      <c r="AA10">
        <v>18.799999999999997</v>
      </c>
      <c r="AB10">
        <v>17.599999999999994</v>
      </c>
      <c r="AC10">
        <v>20.100000000000009</v>
      </c>
      <c r="AD10">
        <v>16.999999999999993</v>
      </c>
      <c r="AE10">
        <v>12.600000000000009</v>
      </c>
      <c r="AF10">
        <v>15.900000000000006</v>
      </c>
      <c r="AG10">
        <v>12.100000000000009</v>
      </c>
      <c r="AH10">
        <v>4.9000000000000057</v>
      </c>
      <c r="AI10">
        <v>1.4000000000000057</v>
      </c>
      <c r="AJ10">
        <v>6.2999999999999972</v>
      </c>
      <c r="AK10">
        <v>12.599999999999994</v>
      </c>
      <c r="AL10">
        <v>18.400000000000006</v>
      </c>
      <c r="AM10">
        <v>19.400000000000006</v>
      </c>
      <c r="AN10">
        <v>5.9000000000000057</v>
      </c>
      <c r="AO10">
        <v>24.4</v>
      </c>
      <c r="AP10">
        <v>20.099999999999994</v>
      </c>
      <c r="AQ10">
        <v>18.100000000000001</v>
      </c>
    </row>
    <row r="11" spans="1:43" x14ac:dyDescent="0.25">
      <c r="A11">
        <v>5</v>
      </c>
      <c r="B11">
        <v>41.300000000000004</v>
      </c>
      <c r="C11">
        <v>52.7</v>
      </c>
      <c r="D11">
        <v>39.5</v>
      </c>
      <c r="E11">
        <v>38.599999999999994</v>
      </c>
      <c r="F11">
        <v>23.3</v>
      </c>
      <c r="G11">
        <v>37.599999999999994</v>
      </c>
      <c r="H11">
        <v>33.700000000000003</v>
      </c>
      <c r="I11">
        <v>24.899999999999991</v>
      </c>
      <c r="J11">
        <v>40.200000000000003</v>
      </c>
      <c r="K11">
        <v>9.9999999999994316E-2</v>
      </c>
      <c r="L11">
        <v>40.599999999999994</v>
      </c>
      <c r="M11">
        <v>36.6</v>
      </c>
      <c r="N11">
        <v>7.5</v>
      </c>
      <c r="O11">
        <v>49</v>
      </c>
      <c r="P11">
        <v>44</v>
      </c>
      <c r="Q11">
        <v>41.1</v>
      </c>
      <c r="R11">
        <v>44.099999999999994</v>
      </c>
      <c r="S11">
        <v>50.599999999999994</v>
      </c>
      <c r="T11">
        <v>51</v>
      </c>
      <c r="U11">
        <v>21.8</v>
      </c>
      <c r="V11">
        <v>11.400000000000006</v>
      </c>
      <c r="W11">
        <v>25</v>
      </c>
      <c r="X11">
        <v>34.700000000000003</v>
      </c>
      <c r="Y11">
        <v>35.200000000000003</v>
      </c>
      <c r="Z11">
        <v>33.4</v>
      </c>
      <c r="AA11">
        <v>34.6</v>
      </c>
      <c r="AB11">
        <v>33.6</v>
      </c>
      <c r="AC11">
        <v>42.5</v>
      </c>
      <c r="AD11">
        <v>36.400000000000006</v>
      </c>
      <c r="AE11">
        <v>40.699999999999996</v>
      </c>
      <c r="AF11">
        <v>39.5</v>
      </c>
      <c r="AG11">
        <v>41.599999999999994</v>
      </c>
      <c r="AH11">
        <v>39.299999999999997</v>
      </c>
      <c r="AI11">
        <v>20.599999999999994</v>
      </c>
      <c r="AJ11">
        <v>42.800000000000004</v>
      </c>
      <c r="AK11">
        <v>52.3</v>
      </c>
      <c r="AL11">
        <v>41.2</v>
      </c>
      <c r="AM11">
        <v>38.5</v>
      </c>
      <c r="AN11">
        <v>41.4</v>
      </c>
      <c r="AO11">
        <v>42.8</v>
      </c>
      <c r="AP11">
        <v>40.6</v>
      </c>
      <c r="AQ11">
        <v>35</v>
      </c>
    </row>
    <row r="12" spans="1:43" x14ac:dyDescent="0.25">
      <c r="A12">
        <v>1</v>
      </c>
      <c r="B12">
        <v>12.8</v>
      </c>
      <c r="C12">
        <v>11.6</v>
      </c>
      <c r="D12">
        <v>10</v>
      </c>
      <c r="E12">
        <v>9.1999999999999993</v>
      </c>
      <c r="F12">
        <v>4.2</v>
      </c>
      <c r="G12">
        <v>10.3</v>
      </c>
      <c r="H12">
        <v>7.4</v>
      </c>
      <c r="I12">
        <v>66.3</v>
      </c>
      <c r="J12">
        <v>9.4</v>
      </c>
      <c r="K12">
        <v>43.2</v>
      </c>
      <c r="L12">
        <v>14.5</v>
      </c>
      <c r="M12">
        <v>14</v>
      </c>
      <c r="N12">
        <v>84.6</v>
      </c>
      <c r="O12">
        <v>19.7</v>
      </c>
      <c r="P12">
        <v>19.5</v>
      </c>
      <c r="Q12">
        <v>16.5</v>
      </c>
      <c r="R12">
        <v>13.700000000000001</v>
      </c>
      <c r="S12">
        <v>10.8</v>
      </c>
      <c r="T12">
        <v>23.4</v>
      </c>
      <c r="U12">
        <v>5</v>
      </c>
      <c r="V12">
        <v>81.199999999999989</v>
      </c>
      <c r="W12">
        <v>7.9</v>
      </c>
      <c r="X12">
        <v>12</v>
      </c>
      <c r="Y12">
        <v>9.4</v>
      </c>
      <c r="Z12">
        <v>9.5</v>
      </c>
      <c r="AA12">
        <v>9.1</v>
      </c>
      <c r="AB12">
        <v>9.1</v>
      </c>
      <c r="AC12">
        <v>9.8000000000000007</v>
      </c>
      <c r="AD12">
        <v>12.5</v>
      </c>
      <c r="AE12">
        <v>18.400000000000002</v>
      </c>
      <c r="AF12">
        <v>14.7</v>
      </c>
      <c r="AG12">
        <v>19.8</v>
      </c>
      <c r="AH12">
        <v>50.7</v>
      </c>
      <c r="AI12">
        <v>72.400000000000006</v>
      </c>
      <c r="AJ12">
        <v>43.1</v>
      </c>
      <c r="AK12">
        <v>16.599999999999998</v>
      </c>
      <c r="AL12">
        <v>12.3</v>
      </c>
      <c r="AM12">
        <v>9.8000000000000007</v>
      </c>
      <c r="AN12">
        <v>44.6</v>
      </c>
      <c r="AO12">
        <v>8.6</v>
      </c>
      <c r="AP12">
        <v>10.1</v>
      </c>
      <c r="AQ12">
        <v>11.1</v>
      </c>
    </row>
    <row r="13" spans="1:43" x14ac:dyDescent="0.25">
      <c r="A13">
        <v>0</v>
      </c>
      <c r="B13">
        <v>0.1</v>
      </c>
      <c r="C13">
        <v>0.1</v>
      </c>
      <c r="D13">
        <v>0</v>
      </c>
      <c r="E13">
        <v>0</v>
      </c>
      <c r="F13">
        <v>0</v>
      </c>
      <c r="G13">
        <v>0</v>
      </c>
      <c r="H13">
        <v>0</v>
      </c>
      <c r="I13">
        <v>3.9</v>
      </c>
      <c r="J13">
        <v>0.1</v>
      </c>
      <c r="K13">
        <v>23.5</v>
      </c>
      <c r="L13">
        <v>0.3</v>
      </c>
      <c r="M13">
        <v>0.1</v>
      </c>
      <c r="N13">
        <v>7.9</v>
      </c>
      <c r="O13">
        <v>0.1</v>
      </c>
      <c r="P13">
        <v>2.5</v>
      </c>
      <c r="Q13">
        <v>0.4</v>
      </c>
      <c r="R13">
        <v>0.1</v>
      </c>
      <c r="S13">
        <v>0</v>
      </c>
      <c r="T13">
        <v>0.1</v>
      </c>
      <c r="U13">
        <v>0</v>
      </c>
      <c r="V13">
        <v>7.4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</v>
      </c>
      <c r="AE13">
        <v>4.7</v>
      </c>
      <c r="AF13">
        <v>0.3</v>
      </c>
      <c r="AG13">
        <v>5.2</v>
      </c>
      <c r="AH13">
        <v>1</v>
      </c>
      <c r="AI13">
        <v>4.5999999999999996</v>
      </c>
      <c r="AJ13">
        <v>0.5</v>
      </c>
      <c r="AK13">
        <v>0.1</v>
      </c>
      <c r="AL13">
        <v>0</v>
      </c>
      <c r="AM13">
        <v>0</v>
      </c>
      <c r="AN13">
        <v>0.8</v>
      </c>
      <c r="AO13">
        <v>0</v>
      </c>
      <c r="AP13">
        <v>0</v>
      </c>
      <c r="AQ13">
        <v>0</v>
      </c>
    </row>
  </sheetData>
  <sortState ref="A2:AQ13">
    <sortCondition descending="1" ref="A2:A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"/>
  <sheetViews>
    <sheetView topLeftCell="AA28" workbookViewId="0">
      <selection activeCell="AT36" sqref="AT36"/>
    </sheetView>
  </sheetViews>
  <sheetFormatPr defaultRowHeight="15" x14ac:dyDescent="0.25"/>
  <cols>
    <col min="2" max="2" width="19.85546875" bestFit="1" customWidth="1"/>
    <col min="3" max="3" width="12.5703125" customWidth="1"/>
  </cols>
  <sheetData>
    <row r="1" spans="1:46" s="107" customFormat="1" x14ac:dyDescent="0.25">
      <c r="C1" s="107" t="s">
        <v>197</v>
      </c>
      <c r="D1" s="107" t="s">
        <v>198</v>
      </c>
      <c r="E1" s="107" t="s">
        <v>199</v>
      </c>
      <c r="F1" s="107" t="s">
        <v>200</v>
      </c>
      <c r="G1" s="107" t="s">
        <v>201</v>
      </c>
      <c r="H1" s="107" t="s">
        <v>202</v>
      </c>
      <c r="I1" s="107" t="s">
        <v>203</v>
      </c>
      <c r="J1" s="107" t="s">
        <v>204</v>
      </c>
      <c r="K1" s="107" t="s">
        <v>205</v>
      </c>
      <c r="L1" s="107" t="s">
        <v>206</v>
      </c>
      <c r="M1" s="107" t="s">
        <v>207</v>
      </c>
      <c r="N1" s="107" t="s">
        <v>129</v>
      </c>
      <c r="O1" s="107" t="s">
        <v>130</v>
      </c>
      <c r="P1" s="107" t="s">
        <v>131</v>
      </c>
      <c r="Q1" s="107" t="s">
        <v>132</v>
      </c>
      <c r="R1" s="107" t="s">
        <v>133</v>
      </c>
      <c r="S1" s="107" t="s">
        <v>134</v>
      </c>
      <c r="T1" s="107" t="s">
        <v>135</v>
      </c>
      <c r="U1" s="107" t="s">
        <v>136</v>
      </c>
      <c r="V1" s="107" t="s">
        <v>137</v>
      </c>
      <c r="W1" s="107" t="s">
        <v>23</v>
      </c>
      <c r="X1" s="107" t="s">
        <v>39</v>
      </c>
      <c r="Y1" s="107" t="s">
        <v>40</v>
      </c>
      <c r="Z1" s="107" t="s">
        <v>41</v>
      </c>
      <c r="AA1" s="107" t="s">
        <v>42</v>
      </c>
      <c r="AB1" s="107" t="s">
        <v>43</v>
      </c>
      <c r="AC1" s="107" t="s">
        <v>44</v>
      </c>
      <c r="AD1" s="107" t="s">
        <v>45</v>
      </c>
      <c r="AE1" s="107" t="s">
        <v>46</v>
      </c>
      <c r="AF1" s="107" t="s">
        <v>47</v>
      </c>
      <c r="AG1" s="107" t="s">
        <v>48</v>
      </c>
      <c r="AH1" s="107" t="s">
        <v>49</v>
      </c>
      <c r="AI1" s="107" t="s">
        <v>50</v>
      </c>
      <c r="AJ1" s="107" t="s">
        <v>51</v>
      </c>
      <c r="AK1" s="107" t="s">
        <v>52</v>
      </c>
      <c r="AL1" s="107" t="s">
        <v>53</v>
      </c>
      <c r="AM1" s="107" t="s">
        <v>33</v>
      </c>
      <c r="AN1" s="107" t="s">
        <v>34</v>
      </c>
      <c r="AO1" s="107" t="s">
        <v>35</v>
      </c>
      <c r="AP1" s="107" t="s">
        <v>36</v>
      </c>
      <c r="AQ1" s="107" t="s">
        <v>37</v>
      </c>
      <c r="AR1" s="107" t="s">
        <v>38</v>
      </c>
    </row>
    <row r="2" spans="1:46" x14ac:dyDescent="0.25">
      <c r="A2" s="1"/>
      <c r="B2" s="1" t="s">
        <v>208</v>
      </c>
      <c r="C2" s="1" t="s">
        <v>209</v>
      </c>
      <c r="D2" s="1" t="s">
        <v>209</v>
      </c>
      <c r="E2" s="1" t="s">
        <v>209</v>
      </c>
      <c r="F2" s="1" t="s">
        <v>209</v>
      </c>
      <c r="G2" s="1" t="s">
        <v>209</v>
      </c>
      <c r="H2" s="1" t="s">
        <v>209</v>
      </c>
      <c r="I2" s="1" t="s">
        <v>209</v>
      </c>
      <c r="J2" s="1" t="s">
        <v>210</v>
      </c>
      <c r="K2" s="1" t="s">
        <v>209</v>
      </c>
      <c r="L2" s="1" t="s">
        <v>211</v>
      </c>
      <c r="M2" s="1" t="s">
        <v>209</v>
      </c>
      <c r="N2" s="1" t="s">
        <v>209</v>
      </c>
      <c r="O2" s="1" t="s">
        <v>212</v>
      </c>
      <c r="P2" s="1" t="s">
        <v>209</v>
      </c>
      <c r="Q2" s="1" t="s">
        <v>209</v>
      </c>
      <c r="R2" s="1" t="s">
        <v>209</v>
      </c>
      <c r="S2" s="1" t="s">
        <v>209</v>
      </c>
      <c r="T2" s="1" t="s">
        <v>209</v>
      </c>
      <c r="U2" s="1" t="s">
        <v>209</v>
      </c>
      <c r="V2" s="1" t="s">
        <v>213</v>
      </c>
      <c r="W2" s="1" t="s">
        <v>212</v>
      </c>
      <c r="X2" s="1" t="s">
        <v>209</v>
      </c>
      <c r="Y2" s="1" t="s">
        <v>209</v>
      </c>
      <c r="Z2" s="1" t="s">
        <v>209</v>
      </c>
      <c r="AA2" s="1" t="s">
        <v>209</v>
      </c>
      <c r="AB2" s="1" t="s">
        <v>209</v>
      </c>
      <c r="AC2" s="1" t="s">
        <v>209</v>
      </c>
      <c r="AD2" s="1" t="s">
        <v>209</v>
      </c>
      <c r="AE2" s="1" t="s">
        <v>209</v>
      </c>
      <c r="AF2" s="1" t="s">
        <v>211</v>
      </c>
      <c r="AG2" s="1" t="s">
        <v>209</v>
      </c>
      <c r="AH2" s="1" t="s">
        <v>211</v>
      </c>
      <c r="AI2" s="1" t="s">
        <v>210</v>
      </c>
      <c r="AJ2" s="1" t="s">
        <v>210</v>
      </c>
      <c r="AK2" s="1" t="s">
        <v>209</v>
      </c>
      <c r="AL2" s="1" t="s">
        <v>209</v>
      </c>
      <c r="AM2" s="1" t="s">
        <v>209</v>
      </c>
      <c r="AN2" s="1" t="s">
        <v>209</v>
      </c>
      <c r="AO2" s="1" t="s">
        <v>209</v>
      </c>
      <c r="AP2" s="1" t="s">
        <v>213</v>
      </c>
      <c r="AQ2" s="1" t="s">
        <v>209</v>
      </c>
      <c r="AR2" s="1" t="s">
        <v>209</v>
      </c>
    </row>
    <row r="3" spans="1:46" x14ac:dyDescent="0.25">
      <c r="A3" s="1"/>
      <c r="B3" s="1" t="s">
        <v>214</v>
      </c>
      <c r="C3" s="1" t="s">
        <v>215</v>
      </c>
      <c r="D3" s="1" t="s">
        <v>215</v>
      </c>
      <c r="E3" s="1" t="s">
        <v>215</v>
      </c>
      <c r="F3" s="1" t="s">
        <v>215</v>
      </c>
      <c r="G3" s="1" t="s">
        <v>215</v>
      </c>
      <c r="H3" s="1" t="s">
        <v>215</v>
      </c>
      <c r="I3" s="1" t="s">
        <v>215</v>
      </c>
      <c r="J3" s="1" t="s">
        <v>216</v>
      </c>
      <c r="K3" s="1" t="s">
        <v>215</v>
      </c>
      <c r="L3" s="1" t="s">
        <v>215</v>
      </c>
      <c r="M3" s="1" t="s">
        <v>215</v>
      </c>
      <c r="N3" s="1" t="s">
        <v>215</v>
      </c>
      <c r="O3" s="1" t="s">
        <v>216</v>
      </c>
      <c r="P3" s="1" t="s">
        <v>215</v>
      </c>
      <c r="Q3" s="1" t="s">
        <v>215</v>
      </c>
      <c r="R3" s="1" t="s">
        <v>215</v>
      </c>
      <c r="S3" s="1" t="s">
        <v>215</v>
      </c>
      <c r="T3" s="1" t="s">
        <v>215</v>
      </c>
      <c r="U3" s="1" t="s">
        <v>215</v>
      </c>
      <c r="V3" s="1" t="s">
        <v>217</v>
      </c>
      <c r="W3" s="1" t="s">
        <v>216</v>
      </c>
      <c r="X3" s="1" t="s">
        <v>215</v>
      </c>
      <c r="Y3" s="1" t="s">
        <v>215</v>
      </c>
      <c r="Z3" s="1" t="s">
        <v>215</v>
      </c>
      <c r="AA3" s="1" t="s">
        <v>215</v>
      </c>
      <c r="AB3" s="1" t="s">
        <v>215</v>
      </c>
      <c r="AC3" s="1" t="s">
        <v>215</v>
      </c>
      <c r="AD3" s="1" t="s">
        <v>215</v>
      </c>
      <c r="AE3" s="1" t="s">
        <v>215</v>
      </c>
      <c r="AF3" s="1" t="s">
        <v>215</v>
      </c>
      <c r="AG3" s="1" t="s">
        <v>215</v>
      </c>
      <c r="AH3" s="1" t="s">
        <v>215</v>
      </c>
      <c r="AI3" s="1" t="s">
        <v>216</v>
      </c>
      <c r="AJ3" s="1" t="s">
        <v>216</v>
      </c>
      <c r="AK3" s="1" t="s">
        <v>216</v>
      </c>
      <c r="AL3" s="1" t="s">
        <v>215</v>
      </c>
      <c r="AM3" s="1" t="s">
        <v>215</v>
      </c>
      <c r="AN3" s="1" t="s">
        <v>215</v>
      </c>
      <c r="AO3" s="1" t="s">
        <v>216</v>
      </c>
      <c r="AP3" s="1" t="s">
        <v>215</v>
      </c>
      <c r="AQ3" s="1" t="s">
        <v>215</v>
      </c>
      <c r="AR3" s="1" t="s">
        <v>215</v>
      </c>
    </row>
    <row r="4" spans="1:46" x14ac:dyDescent="0.25">
      <c r="A4" s="1"/>
      <c r="B4" s="1" t="s">
        <v>218</v>
      </c>
      <c r="C4" s="1" t="s">
        <v>219</v>
      </c>
      <c r="D4" s="1" t="s">
        <v>219</v>
      </c>
      <c r="E4" s="1" t="s">
        <v>219</v>
      </c>
      <c r="F4" s="1" t="s">
        <v>219</v>
      </c>
      <c r="G4" s="1" t="s">
        <v>220</v>
      </c>
      <c r="H4" s="1" t="s">
        <v>219</v>
      </c>
      <c r="I4" s="1" t="s">
        <v>219</v>
      </c>
      <c r="J4" s="1" t="s">
        <v>221</v>
      </c>
      <c r="K4" s="1" t="s">
        <v>219</v>
      </c>
      <c r="L4" s="1" t="s">
        <v>222</v>
      </c>
      <c r="M4" s="1" t="s">
        <v>219</v>
      </c>
      <c r="N4" s="1" t="s">
        <v>219</v>
      </c>
      <c r="O4" s="1" t="s">
        <v>216</v>
      </c>
      <c r="P4" s="1" t="s">
        <v>219</v>
      </c>
      <c r="Q4" s="1" t="s">
        <v>219</v>
      </c>
      <c r="R4" s="1" t="s">
        <v>219</v>
      </c>
      <c r="S4" s="1" t="s">
        <v>219</v>
      </c>
      <c r="T4" s="1" t="s">
        <v>219</v>
      </c>
      <c r="U4" s="1" t="s">
        <v>219</v>
      </c>
      <c r="V4" s="1" t="s">
        <v>223</v>
      </c>
      <c r="W4" s="1" t="s">
        <v>216</v>
      </c>
      <c r="X4" s="1" t="s">
        <v>219</v>
      </c>
      <c r="Y4" s="1" t="s">
        <v>219</v>
      </c>
      <c r="Z4" s="1" t="s">
        <v>219</v>
      </c>
      <c r="AA4" s="1" t="s">
        <v>219</v>
      </c>
      <c r="AB4" s="1" t="s">
        <v>219</v>
      </c>
      <c r="AC4" s="1" t="s">
        <v>219</v>
      </c>
      <c r="AD4" s="1" t="s">
        <v>219</v>
      </c>
      <c r="AE4" s="1" t="s">
        <v>219</v>
      </c>
      <c r="AF4" s="1" t="s">
        <v>219</v>
      </c>
      <c r="AG4" s="1" t="s">
        <v>219</v>
      </c>
      <c r="AH4" s="1" t="s">
        <v>219</v>
      </c>
      <c r="AI4" s="1" t="s">
        <v>224</v>
      </c>
      <c r="AJ4" s="1" t="s">
        <v>216</v>
      </c>
      <c r="AK4" s="1" t="s">
        <v>224</v>
      </c>
      <c r="AL4" s="1" t="s">
        <v>219</v>
      </c>
      <c r="AM4" s="1" t="s">
        <v>219</v>
      </c>
      <c r="AN4" s="1" t="s">
        <v>219</v>
      </c>
      <c r="AO4" s="1" t="s">
        <v>224</v>
      </c>
      <c r="AP4" s="1" t="s">
        <v>225</v>
      </c>
      <c r="AQ4" s="1" t="s">
        <v>219</v>
      </c>
      <c r="AR4" s="1" t="s">
        <v>219</v>
      </c>
    </row>
    <row r="5" spans="1:46" s="112" customFormat="1" x14ac:dyDescent="0.25">
      <c r="A5" s="112" t="s">
        <v>226</v>
      </c>
      <c r="B5" s="112" t="s">
        <v>227</v>
      </c>
      <c r="C5" s="113">
        <v>29.642488281249999</v>
      </c>
      <c r="D5" s="113">
        <v>25.376488281250001</v>
      </c>
      <c r="E5" s="113">
        <v>32.947499999999998</v>
      </c>
      <c r="F5" s="113">
        <v>33.456000000000003</v>
      </c>
      <c r="G5" s="113">
        <v>54.608499999999999</v>
      </c>
      <c r="H5" s="113">
        <v>34.069000000000003</v>
      </c>
      <c r="I5" s="113">
        <v>38.439500000000002</v>
      </c>
      <c r="J5" s="114">
        <v>6.4900429687500001</v>
      </c>
      <c r="K5" s="113">
        <v>37.607988281250002</v>
      </c>
      <c r="L5" s="115">
        <v>117.08074609374999</v>
      </c>
      <c r="M5" s="113">
        <v>29.957964843749998</v>
      </c>
      <c r="N5" s="113">
        <v>32.040988281250002</v>
      </c>
      <c r="O5" s="114">
        <v>3.1785742187500001</v>
      </c>
      <c r="P5" s="113">
        <v>21.906988281250001</v>
      </c>
      <c r="Q5" s="113">
        <v>22.974707031249999</v>
      </c>
      <c r="R5" s="113">
        <v>27.386453124999999</v>
      </c>
      <c r="S5" s="113">
        <v>27.824488281250002</v>
      </c>
      <c r="T5" s="113">
        <v>24.834</v>
      </c>
      <c r="U5" s="113">
        <v>19.06298828125</v>
      </c>
      <c r="V5" s="115">
        <v>633.12</v>
      </c>
      <c r="W5" s="114">
        <v>3.3641328124999998</v>
      </c>
      <c r="X5" s="113">
        <v>60.527988281250003</v>
      </c>
      <c r="Y5" s="113">
        <v>38.564476562499998</v>
      </c>
      <c r="Z5" s="113">
        <v>36.347000000000001</v>
      </c>
      <c r="AA5" s="113">
        <v>38.295000000000002</v>
      </c>
      <c r="AB5" s="113">
        <v>36.732999999999997</v>
      </c>
      <c r="AC5" s="113">
        <v>38.347999999999999</v>
      </c>
      <c r="AD5" s="113">
        <v>30.211500000000001</v>
      </c>
      <c r="AE5" s="113">
        <v>33.731976562500002</v>
      </c>
      <c r="AF5" s="113">
        <v>25.130949218750001</v>
      </c>
      <c r="AG5" s="113">
        <v>30.476464843750001</v>
      </c>
      <c r="AH5" s="113">
        <v>23.370390624999999</v>
      </c>
      <c r="AI5" s="114">
        <v>9.0233828124999995</v>
      </c>
      <c r="AJ5" s="114">
        <v>4.9324609375000001</v>
      </c>
      <c r="AK5" s="113">
        <v>11.87294140625</v>
      </c>
      <c r="AL5" s="113">
        <v>22.001488281250001</v>
      </c>
      <c r="AM5" s="113">
        <v>30.053999999999998</v>
      </c>
      <c r="AN5" s="113">
        <v>33.226500000000001</v>
      </c>
      <c r="AO5" s="113">
        <v>11.69590625</v>
      </c>
      <c r="AP5" s="115">
        <v>173.613</v>
      </c>
      <c r="AQ5" s="113">
        <v>31.277999999999999</v>
      </c>
      <c r="AR5" s="113">
        <v>35.238</v>
      </c>
      <c r="AS5" s="114">
        <f>AVERAGE(C5:AR5)</f>
        <v>47.858142020089275</v>
      </c>
      <c r="AT5" s="114">
        <f>MEDIAN(C5:AR5)</f>
        <v>30.343982421875001</v>
      </c>
    </row>
    <row r="6" spans="1:46" x14ac:dyDescent="0.25">
      <c r="A6" s="1" t="s">
        <v>228</v>
      </c>
      <c r="B6" s="1" t="s">
        <v>229</v>
      </c>
      <c r="C6" s="65">
        <v>29.359957683821399</v>
      </c>
      <c r="D6" s="65">
        <v>28.2594686647044</v>
      </c>
      <c r="E6" s="65">
        <v>30.302739046990499</v>
      </c>
      <c r="F6" s="65">
        <v>30.144013734073301</v>
      </c>
      <c r="G6" s="65">
        <v>42.682794868073003</v>
      </c>
      <c r="H6" s="65">
        <v>30.8598483308003</v>
      </c>
      <c r="I6" s="65">
        <v>31.5155055448901</v>
      </c>
      <c r="J6" s="65">
        <v>11.837047079281</v>
      </c>
      <c r="K6" s="65">
        <v>37.595195093750903</v>
      </c>
      <c r="L6" s="89">
        <v>191.860620421676</v>
      </c>
      <c r="M6" s="65">
        <v>30.050636807231299</v>
      </c>
      <c r="N6" s="65">
        <v>30.296015359459901</v>
      </c>
      <c r="O6" s="90">
        <v>1.3440889934810301</v>
      </c>
      <c r="P6" s="65">
        <v>26.450337259570102</v>
      </c>
      <c r="Q6" s="65">
        <v>27.120421352257001</v>
      </c>
      <c r="R6" s="65">
        <v>28.794354343021698</v>
      </c>
      <c r="S6" s="65">
        <v>28.9069728367813</v>
      </c>
      <c r="T6" s="65">
        <v>26.8194322087549</v>
      </c>
      <c r="U6" s="65">
        <v>24.896223699363599</v>
      </c>
      <c r="V6" s="89">
        <v>636.74579158405095</v>
      </c>
      <c r="W6" s="90">
        <v>1.57333601217742</v>
      </c>
      <c r="X6" s="65">
        <v>61.7593078922092</v>
      </c>
      <c r="Y6" s="65">
        <v>37.551722342124897</v>
      </c>
      <c r="Z6" s="65">
        <v>31.490738178073901</v>
      </c>
      <c r="AA6" s="65">
        <v>32.915201275398601</v>
      </c>
      <c r="AB6" s="65">
        <v>31.217674657155399</v>
      </c>
      <c r="AC6" s="65">
        <v>32.644676380690299</v>
      </c>
      <c r="AD6" s="65">
        <v>29.0766834035452</v>
      </c>
      <c r="AE6" s="65">
        <v>31.122832624724399</v>
      </c>
      <c r="AF6" s="65">
        <v>28.877864295279501</v>
      </c>
      <c r="AG6" s="65">
        <v>30.460298270489002</v>
      </c>
      <c r="AH6" s="65">
        <v>28.037165163868199</v>
      </c>
      <c r="AI6" s="65">
        <v>14.8318097215873</v>
      </c>
      <c r="AJ6" s="90">
        <v>7.9163916838528996</v>
      </c>
      <c r="AK6" s="65">
        <v>18.823313891631798</v>
      </c>
      <c r="AL6" s="65">
        <v>26.367560374631701</v>
      </c>
      <c r="AM6" s="65">
        <v>29.449347768668801</v>
      </c>
      <c r="AN6" s="65">
        <v>30.166420864099901</v>
      </c>
      <c r="AO6" s="65">
        <v>18.821266976211898</v>
      </c>
      <c r="AP6" s="89">
        <v>455.25663117740498</v>
      </c>
      <c r="AQ6" s="65">
        <v>29.475976930375001</v>
      </c>
      <c r="AR6" s="65">
        <v>30.913101688442701</v>
      </c>
    </row>
    <row r="7" spans="1:46" x14ac:dyDescent="0.25">
      <c r="A7" s="1" t="s">
        <v>230</v>
      </c>
      <c r="B7" s="1" t="s">
        <v>231</v>
      </c>
      <c r="C7" s="90">
        <v>0.74389685531153205</v>
      </c>
      <c r="D7" s="90">
        <v>1.0596969732610899</v>
      </c>
      <c r="E7" s="90">
        <v>0.53261939076176101</v>
      </c>
      <c r="F7" s="90">
        <v>0.50914080393307803</v>
      </c>
      <c r="G7" s="90">
        <v>1.0020485332778699</v>
      </c>
      <c r="H7" s="90">
        <v>0.53609127097251197</v>
      </c>
      <c r="I7" s="90">
        <v>0.35004708043180599</v>
      </c>
      <c r="J7" s="90">
        <v>5.0142566831906601</v>
      </c>
      <c r="K7" s="90">
        <v>1.18810103724119</v>
      </c>
      <c r="L7" s="90">
        <v>2.08565355831972</v>
      </c>
      <c r="M7" s="90">
        <v>0.70307712452162996</v>
      </c>
      <c r="N7" s="90">
        <v>0.57340141572415704</v>
      </c>
      <c r="O7" s="90">
        <v>2.1487880693691799</v>
      </c>
      <c r="P7" s="90">
        <v>1.3401533506869101</v>
      </c>
      <c r="Q7" s="90">
        <v>1.2201758847536801</v>
      </c>
      <c r="R7" s="90">
        <v>0.88724161762500597</v>
      </c>
      <c r="S7" s="90">
        <v>0.867585826563533</v>
      </c>
      <c r="T7" s="90">
        <v>1.1349622562791799</v>
      </c>
      <c r="U7" s="90">
        <v>1.6296781273198899</v>
      </c>
      <c r="V7" s="90">
        <v>0.36661550836224299</v>
      </c>
      <c r="W7" s="90">
        <v>1.8059280844447201</v>
      </c>
      <c r="X7" s="90">
        <v>2.0496392260132401</v>
      </c>
      <c r="Y7" s="90">
        <v>1.1325932818473201</v>
      </c>
      <c r="Z7" s="90">
        <v>0.46568043260931002</v>
      </c>
      <c r="AA7" s="90">
        <v>0.57580508417996401</v>
      </c>
      <c r="AB7" s="90">
        <v>0.37494818253108098</v>
      </c>
      <c r="AC7" s="90">
        <v>0.51957218669195304</v>
      </c>
      <c r="AD7" s="90">
        <v>0.72587202849585097</v>
      </c>
      <c r="AE7" s="90">
        <v>0.54058545225800503</v>
      </c>
      <c r="AF7" s="90">
        <v>1.0130725248317101</v>
      </c>
      <c r="AG7" s="90">
        <v>0.74793803319618102</v>
      </c>
      <c r="AH7" s="90">
        <v>1.15382549785632</v>
      </c>
      <c r="AI7" s="90">
        <v>3.7115165550495801</v>
      </c>
      <c r="AJ7" s="90">
        <v>7.3690767083786399</v>
      </c>
      <c r="AK7" s="90">
        <v>2.7582640623126902</v>
      </c>
      <c r="AL7" s="90">
        <v>1.34805119517029</v>
      </c>
      <c r="AM7" s="90">
        <v>0.71853648104647905</v>
      </c>
      <c r="AN7" s="90">
        <v>0.52007422996949704</v>
      </c>
      <c r="AO7" s="90">
        <v>2.7818334927603199</v>
      </c>
      <c r="AP7" s="90">
        <v>2.7939238590383701</v>
      </c>
      <c r="AQ7" s="90">
        <v>0.65064113471182705</v>
      </c>
      <c r="AR7" s="90">
        <v>0.38220873598633198</v>
      </c>
    </row>
    <row r="8" spans="1:46" x14ac:dyDescent="0.25">
      <c r="A8" s="1"/>
      <c r="B8" s="1" t="s">
        <v>232</v>
      </c>
      <c r="C8" s="90">
        <v>1.7934241286260699</v>
      </c>
      <c r="D8" s="90">
        <v>2.3270057980612702</v>
      </c>
      <c r="E8" s="90">
        <v>1.4898178391202701</v>
      </c>
      <c r="F8" s="90">
        <v>1.4805952554966499</v>
      </c>
      <c r="G8" s="90">
        <v>4.3411537875696604</v>
      </c>
      <c r="H8" s="90">
        <v>1.79038147114517</v>
      </c>
      <c r="I8" s="90">
        <v>1.85100959996031</v>
      </c>
      <c r="J8" s="65">
        <v>28.433432207259902</v>
      </c>
      <c r="K8" s="90">
        <v>4.68186144575066</v>
      </c>
      <c r="L8" s="65">
        <v>10.7444194525001</v>
      </c>
      <c r="M8" s="90">
        <v>1.6919034631362999</v>
      </c>
      <c r="N8" s="90">
        <v>1.54226895842861</v>
      </c>
      <c r="O8" s="90">
        <v>8.5715003671158403</v>
      </c>
      <c r="P8" s="90">
        <v>3.0831226558264699</v>
      </c>
      <c r="Q8" s="90">
        <v>2.78317384657079</v>
      </c>
      <c r="R8" s="90">
        <v>2.0428569371361802</v>
      </c>
      <c r="S8" s="90">
        <v>1.9918567140677601</v>
      </c>
      <c r="T8" s="90">
        <v>2.6210435160647201</v>
      </c>
      <c r="U8" s="90">
        <v>3.96736939779864</v>
      </c>
      <c r="V8" s="90">
        <v>1.61566421451719</v>
      </c>
      <c r="W8" s="90">
        <v>5.8307071392851304</v>
      </c>
      <c r="X8" s="90">
        <v>9.5710591658607704</v>
      </c>
      <c r="Y8" s="90">
        <v>4.5910861851481997</v>
      </c>
      <c r="Z8" s="90">
        <v>1.9510645100053501</v>
      </c>
      <c r="AA8" s="90">
        <v>2.76902185006043</v>
      </c>
      <c r="AB8" s="90">
        <v>1.6197964912362901</v>
      </c>
      <c r="AC8" s="90">
        <v>2.5519483847687701</v>
      </c>
      <c r="AD8" s="90">
        <v>1.78716909041821</v>
      </c>
      <c r="AE8" s="90">
        <v>1.77435749009094</v>
      </c>
      <c r="AF8" s="90">
        <v>2.2419056722362898</v>
      </c>
      <c r="AG8" s="90">
        <v>2.0812317388729902</v>
      </c>
      <c r="AH8" s="90">
        <v>2.5686586250788799</v>
      </c>
      <c r="AI8" s="65">
        <v>16.264159260309299</v>
      </c>
      <c r="AJ8" s="65">
        <v>62.785557242306901</v>
      </c>
      <c r="AK8" s="90">
        <v>9.3114996982059903</v>
      </c>
      <c r="AL8" s="90">
        <v>3.0973468897784802</v>
      </c>
      <c r="AM8" s="90">
        <v>1.7539853778085699</v>
      </c>
      <c r="AN8" s="90">
        <v>1.49017145770783</v>
      </c>
      <c r="AO8" s="90">
        <v>9.4172792591608498</v>
      </c>
      <c r="AP8" s="90">
        <v>9.1468269710188501</v>
      </c>
      <c r="AQ8" s="90">
        <v>1.6710329171276299</v>
      </c>
      <c r="AR8" s="90">
        <v>1.3382269046608399</v>
      </c>
    </row>
    <row r="9" spans="1:46" x14ac:dyDescent="0.25">
      <c r="A9" s="1" t="s">
        <v>226</v>
      </c>
      <c r="B9" s="1" t="s">
        <v>227</v>
      </c>
      <c r="C9" s="65">
        <v>14.1785026004694</v>
      </c>
      <c r="D9" s="65">
        <v>12.137531420759601</v>
      </c>
      <c r="E9" s="65">
        <v>16.348766916758201</v>
      </c>
      <c r="F9" s="65">
        <v>16.864947833359</v>
      </c>
      <c r="G9" s="65">
        <v>30.817938723213</v>
      </c>
      <c r="H9" s="65">
        <v>16.897968148844299</v>
      </c>
      <c r="I9" s="65">
        <v>20.2154760161451</v>
      </c>
      <c r="J9" s="90">
        <v>3.3239481292492301</v>
      </c>
      <c r="K9" s="65">
        <v>17.748780652734901</v>
      </c>
      <c r="L9" s="90">
        <v>9.2084673053711192</v>
      </c>
      <c r="M9" s="65">
        <v>13.897001270711099</v>
      </c>
      <c r="N9" s="65">
        <v>15.192539255764499</v>
      </c>
      <c r="O9" s="90">
        <v>2.2854348140634801</v>
      </c>
      <c r="P9" s="90">
        <v>9.9570426453718408</v>
      </c>
      <c r="Q9" s="90">
        <v>9.9797377204847795</v>
      </c>
      <c r="R9" s="65">
        <v>12.533329640471701</v>
      </c>
      <c r="S9" s="65">
        <v>13.1259385633549</v>
      </c>
      <c r="T9" s="65">
        <v>12.3022628570953</v>
      </c>
      <c r="U9" s="90">
        <v>8.6224436970667302</v>
      </c>
      <c r="V9" s="89">
        <v>129.597603254528</v>
      </c>
      <c r="W9" s="90">
        <v>2.4001700578300298</v>
      </c>
      <c r="X9" s="65">
        <v>28.4748442630071</v>
      </c>
      <c r="Y9" s="65">
        <v>17.9603124323468</v>
      </c>
      <c r="Z9" s="65">
        <v>18.394329939669301</v>
      </c>
      <c r="AA9" s="65">
        <v>19.3678722648689</v>
      </c>
      <c r="AB9" s="65">
        <v>18.764391572871201</v>
      </c>
      <c r="AC9" s="65">
        <v>19.531357401259498</v>
      </c>
      <c r="AD9" s="65">
        <v>15.030900578057899</v>
      </c>
      <c r="AE9" s="65">
        <v>16.204111288079201</v>
      </c>
      <c r="AF9" s="65">
        <v>10.382863824104501</v>
      </c>
      <c r="AG9" s="65">
        <v>14.1016711333431</v>
      </c>
      <c r="AH9" s="90">
        <v>9.5399035334211497</v>
      </c>
      <c r="AI9" s="90">
        <v>4.4971632430842599</v>
      </c>
      <c r="AJ9" s="90">
        <v>2.9185812834943299</v>
      </c>
      <c r="AK9" s="90">
        <v>5.4226531598226702</v>
      </c>
      <c r="AL9" s="65">
        <v>10.2950952057106</v>
      </c>
      <c r="AM9" s="65">
        <v>14.4872182283385</v>
      </c>
      <c r="AN9" s="65">
        <v>16.614413009203101</v>
      </c>
      <c r="AO9" s="90">
        <v>5.2740946847030301</v>
      </c>
      <c r="AP9" s="65">
        <v>19.805941002260301</v>
      </c>
      <c r="AQ9" s="65">
        <v>15.5412162014395</v>
      </c>
      <c r="AR9" s="65">
        <v>17.477729041634301</v>
      </c>
    </row>
    <row r="10" spans="1:46" x14ac:dyDescent="0.25">
      <c r="A10" s="1" t="s">
        <v>228</v>
      </c>
      <c r="B10" s="1" t="s">
        <v>229</v>
      </c>
      <c r="C10" s="90">
        <v>3.2566821162891499</v>
      </c>
      <c r="D10" s="90">
        <v>3.0672296437975</v>
      </c>
      <c r="E10" s="90">
        <v>3.2425412208384499</v>
      </c>
      <c r="F10" s="90">
        <v>3.1968441016149902</v>
      </c>
      <c r="G10" s="90">
        <v>3.14669638376522</v>
      </c>
      <c r="H10" s="90">
        <v>3.2876652131369202</v>
      </c>
      <c r="I10" s="90">
        <v>3.2080108885596501</v>
      </c>
      <c r="J10" s="90">
        <v>2.2037666024171698</v>
      </c>
      <c r="K10" s="90">
        <v>3.4638131336745701</v>
      </c>
      <c r="L10" s="65">
        <v>11.717626705369099</v>
      </c>
      <c r="M10" s="90">
        <v>3.3971765952572701</v>
      </c>
      <c r="N10" s="90">
        <v>3.4069246182465802</v>
      </c>
      <c r="O10" s="90">
        <v>1.4760539881145101</v>
      </c>
      <c r="P10" s="90">
        <v>3.1177917118223402</v>
      </c>
      <c r="Q10" s="90">
        <v>3.3624741363010702</v>
      </c>
      <c r="R10" s="90">
        <v>3.33866748264201</v>
      </c>
      <c r="S10" s="90">
        <v>3.2301669462207601</v>
      </c>
      <c r="T10" s="90">
        <v>2.9295980916776898</v>
      </c>
      <c r="U10" s="90">
        <v>3.01929530580724</v>
      </c>
      <c r="V10" s="65">
        <v>10.787765861185299</v>
      </c>
      <c r="W10" s="90">
        <v>1.5559347298852699</v>
      </c>
      <c r="X10" s="90">
        <v>3.7551315836313801</v>
      </c>
      <c r="Y10" s="90">
        <v>3.5943195477105498</v>
      </c>
      <c r="Z10" s="90">
        <v>3.29373860097285</v>
      </c>
      <c r="AA10" s="90">
        <v>3.3537727863020899</v>
      </c>
      <c r="AB10" s="90">
        <v>3.2785133531627899</v>
      </c>
      <c r="AC10" s="90">
        <v>3.3315284731936599</v>
      </c>
      <c r="AD10" s="90">
        <v>3.1149484136623999</v>
      </c>
      <c r="AE10" s="90">
        <v>3.4210842830039701</v>
      </c>
      <c r="AF10" s="90">
        <v>3.6785933393200501</v>
      </c>
      <c r="AG10" s="90">
        <v>3.4233700810137102</v>
      </c>
      <c r="AH10" s="90">
        <v>3.6323892971476801</v>
      </c>
      <c r="AI10" s="90">
        <v>2.4298646443633198</v>
      </c>
      <c r="AJ10" s="90">
        <v>1.92110947240797</v>
      </c>
      <c r="AK10" s="90">
        <v>2.7056885517781901</v>
      </c>
      <c r="AL10" s="90">
        <v>3.02512388872639</v>
      </c>
      <c r="AM10" s="90">
        <v>3.2404496521539699</v>
      </c>
      <c r="AN10" s="90">
        <v>3.22322239147024</v>
      </c>
      <c r="AO10" s="90">
        <v>2.7202042429258402</v>
      </c>
      <c r="AP10" s="90">
        <v>5.66053133758904</v>
      </c>
      <c r="AQ10" s="90">
        <v>3.1661808148936399</v>
      </c>
      <c r="AR10" s="90">
        <v>3.35645759918626</v>
      </c>
    </row>
    <row r="11" spans="1:46" x14ac:dyDescent="0.25">
      <c r="A11" s="1" t="s">
        <v>233</v>
      </c>
      <c r="B11" s="1" t="s">
        <v>231</v>
      </c>
      <c r="C11" s="90">
        <v>0.120192412527447</v>
      </c>
      <c r="D11" s="90">
        <v>0.44921308509082503</v>
      </c>
      <c r="E11" s="90">
        <v>3.8157187656907802E-5</v>
      </c>
      <c r="F11" s="90">
        <v>-3.2420128505330797E-2</v>
      </c>
      <c r="G11" s="90">
        <v>-0.63639458237174096</v>
      </c>
      <c r="H11" s="90">
        <v>-5.7615378758585502E-2</v>
      </c>
      <c r="I11" s="90">
        <v>-0.24580527911799099</v>
      </c>
      <c r="J11" s="90">
        <v>1.7774826053743</v>
      </c>
      <c r="K11" s="90">
        <v>7.0055935403421602E-4</v>
      </c>
      <c r="L11" s="90">
        <v>0.71791988265542095</v>
      </c>
      <c r="M11" s="90">
        <v>0.112053767330783</v>
      </c>
      <c r="N11" s="90">
        <v>-1.10454038598965E-2</v>
      </c>
      <c r="O11" s="90">
        <v>1.0416714064471999</v>
      </c>
      <c r="P11" s="90">
        <v>0.52066012508897297</v>
      </c>
      <c r="Q11" s="90">
        <v>0.32196289323264798</v>
      </c>
      <c r="R11" s="90">
        <v>0.19134100011390801</v>
      </c>
      <c r="S11" s="90">
        <v>0.22435320787472099</v>
      </c>
      <c r="T11" s="90">
        <v>0.405443517102062</v>
      </c>
      <c r="U11" s="90">
        <v>0.68504887304233497</v>
      </c>
      <c r="V11" s="90">
        <v>-0.325505201790452</v>
      </c>
      <c r="W11" s="90">
        <v>1.06250181047519</v>
      </c>
      <c r="X11" s="90">
        <v>-0.41711067615428399</v>
      </c>
      <c r="Y11" s="90">
        <v>-0.115841139207102</v>
      </c>
      <c r="Z11" s="90">
        <v>-0.159350840924329</v>
      </c>
      <c r="AA11" s="90">
        <v>-0.22391037249067899</v>
      </c>
      <c r="AB11" s="90">
        <v>-0.187376232571865</v>
      </c>
      <c r="AC11" s="90">
        <v>-0.228253581547259</v>
      </c>
      <c r="AD11" s="90">
        <v>0.120813174835511</v>
      </c>
      <c r="AE11" s="90">
        <v>-6.6620525517361501E-2</v>
      </c>
      <c r="AF11" s="90">
        <v>0.1912049750523</v>
      </c>
      <c r="AG11" s="90">
        <v>8.67908055379948E-2</v>
      </c>
      <c r="AH11" s="90">
        <v>0.26321071049679501</v>
      </c>
      <c r="AI11" s="90">
        <v>1.26930758932923</v>
      </c>
      <c r="AJ11" s="90">
        <v>1.84207398178896</v>
      </c>
      <c r="AK11" s="90">
        <v>1.1145701893933599</v>
      </c>
      <c r="AL11" s="90">
        <v>0.54828400068504601</v>
      </c>
      <c r="AM11" s="90">
        <v>0.11086455000960201</v>
      </c>
      <c r="AN11" s="90">
        <v>-2.75536122103671E-2</v>
      </c>
      <c r="AO11" s="90">
        <v>1.14329643674057</v>
      </c>
      <c r="AP11" s="90">
        <v>1.3297635043173099</v>
      </c>
      <c r="AQ11" s="90">
        <v>5.9395888474016403E-2</v>
      </c>
      <c r="AR11" s="90">
        <v>-0.13753474938301299</v>
      </c>
    </row>
    <row r="12" spans="1:46" x14ac:dyDescent="0.25">
      <c r="A12" s="1"/>
      <c r="B12" s="1" t="s">
        <v>232</v>
      </c>
      <c r="C12" s="90">
        <v>1.79302676477225</v>
      </c>
      <c r="D12" s="90">
        <v>2.0785871407526502</v>
      </c>
      <c r="E12" s="90">
        <v>1.69649511373965</v>
      </c>
      <c r="F12" s="90">
        <v>1.71406685994584</v>
      </c>
      <c r="G12" s="90">
        <v>2.1746562139622299</v>
      </c>
      <c r="H12" s="90">
        <v>1.6848875294221199</v>
      </c>
      <c r="I12" s="90">
        <v>1.7081860910289199</v>
      </c>
      <c r="J12" s="90">
        <v>6.8827210051624403</v>
      </c>
      <c r="K12" s="90">
        <v>1.63889655129889</v>
      </c>
      <c r="L12" s="90">
        <v>1.66284415778524</v>
      </c>
      <c r="M12" s="90">
        <v>1.74051595980911</v>
      </c>
      <c r="N12" s="90">
        <v>1.69297084491594</v>
      </c>
      <c r="O12" s="90">
        <v>7.0080471351260796</v>
      </c>
      <c r="P12" s="90">
        <v>2.2652960749519302</v>
      </c>
      <c r="Q12" s="90">
        <v>2.15181969464482</v>
      </c>
      <c r="R12" s="90">
        <v>1.8546922075327099</v>
      </c>
      <c r="S12" s="90">
        <v>1.8610586689898601</v>
      </c>
      <c r="T12" s="90">
        <v>2.1594966018720001</v>
      </c>
      <c r="U12" s="90">
        <v>2.6042032854661099</v>
      </c>
      <c r="V12" s="90">
        <v>1.43091016025233</v>
      </c>
      <c r="W12" s="90">
        <v>5.2699016654628998</v>
      </c>
      <c r="X12" s="90">
        <v>1.98721622729611</v>
      </c>
      <c r="Y12" s="90">
        <v>1.6648561505994</v>
      </c>
      <c r="Z12" s="90">
        <v>1.6827598305054801</v>
      </c>
      <c r="AA12" s="90">
        <v>1.68765129516998</v>
      </c>
      <c r="AB12" s="90">
        <v>1.68858378208699</v>
      </c>
      <c r="AC12" s="90">
        <v>1.68568533205202</v>
      </c>
      <c r="AD12" s="90">
        <v>1.8126455953693199</v>
      </c>
      <c r="AE12" s="90">
        <v>1.6775991193051001</v>
      </c>
      <c r="AF12" s="90">
        <v>1.98382592670583</v>
      </c>
      <c r="AG12" s="90">
        <v>1.7287640780857501</v>
      </c>
      <c r="AH12" s="90">
        <v>2.0762621708090001</v>
      </c>
      <c r="AI12" s="90">
        <v>4.6299086643259102</v>
      </c>
      <c r="AJ12" s="90">
        <v>8.0685484141743693</v>
      </c>
      <c r="AK12" s="90">
        <v>3.8083501022988302</v>
      </c>
      <c r="AL12" s="90">
        <v>2.34794941522249</v>
      </c>
      <c r="AM12" s="90">
        <v>1.77413649508305</v>
      </c>
      <c r="AN12" s="90">
        <v>1.7125236751031401</v>
      </c>
      <c r="AO12" s="90">
        <v>3.8680765219370801</v>
      </c>
      <c r="AP12" s="90">
        <v>4.2240393570492998</v>
      </c>
      <c r="AQ12" s="90">
        <v>1.77132263602619</v>
      </c>
      <c r="AR12" s="90">
        <v>1.66788537273478</v>
      </c>
    </row>
    <row r="13" spans="1:46" x14ac:dyDescent="0.25">
      <c r="A13" s="1" t="s">
        <v>226</v>
      </c>
      <c r="B13" s="1" t="s">
        <v>227</v>
      </c>
      <c r="C13" s="90">
        <v>6.1401510129764096</v>
      </c>
      <c r="D13" s="90">
        <v>6.3643811593813098</v>
      </c>
      <c r="E13" s="90">
        <v>5.9346743632357297</v>
      </c>
      <c r="F13" s="90">
        <v>5.8898283339547399</v>
      </c>
      <c r="G13" s="90">
        <v>5.0200858202402703</v>
      </c>
      <c r="H13" s="90">
        <v>5.8870064058598599</v>
      </c>
      <c r="I13" s="90">
        <v>5.62839601445864</v>
      </c>
      <c r="J13" s="90">
        <v>8.2328864158687498</v>
      </c>
      <c r="K13" s="90">
        <v>5.8161362753927897</v>
      </c>
      <c r="L13" s="90">
        <v>6.7628232363749596</v>
      </c>
      <c r="M13" s="90">
        <v>6.16908258154574</v>
      </c>
      <c r="N13" s="90">
        <v>6.0404931701297899</v>
      </c>
      <c r="O13" s="90">
        <v>8.7733156141640301</v>
      </c>
      <c r="P13" s="90">
        <v>6.6500669755416197</v>
      </c>
      <c r="Q13" s="90">
        <v>6.6467823843628899</v>
      </c>
      <c r="R13" s="90">
        <v>6.3180864536733301</v>
      </c>
      <c r="S13" s="90">
        <v>6.25143560415514</v>
      </c>
      <c r="T13" s="90">
        <v>6.3449324829543103</v>
      </c>
      <c r="U13" s="90">
        <v>6.8576874814720803</v>
      </c>
      <c r="V13" s="90">
        <v>2.8980601358339499</v>
      </c>
      <c r="W13" s="90">
        <v>8.7026476567881605</v>
      </c>
      <c r="X13" s="90">
        <v>5.1341682383277902</v>
      </c>
      <c r="Y13" s="90">
        <v>5.7990437427760204</v>
      </c>
      <c r="Z13" s="90">
        <v>5.7645950663490204</v>
      </c>
      <c r="AA13" s="90">
        <v>5.69019072016662</v>
      </c>
      <c r="AB13" s="90">
        <v>5.7358586775424802</v>
      </c>
      <c r="AC13" s="90">
        <v>5.6780639718345096</v>
      </c>
      <c r="AD13" s="90">
        <v>6.05592473869911</v>
      </c>
      <c r="AE13" s="90">
        <v>5.9474962913306104</v>
      </c>
      <c r="AF13" s="90">
        <v>6.5896517639031904</v>
      </c>
      <c r="AG13" s="90">
        <v>6.1479900489289703</v>
      </c>
      <c r="AH13" s="90">
        <v>6.7118096067498101</v>
      </c>
      <c r="AI13" s="90">
        <v>7.7967690311391102</v>
      </c>
      <c r="AJ13" s="90">
        <v>8.4205170363284605</v>
      </c>
      <c r="AK13" s="90">
        <v>7.5267853880700004</v>
      </c>
      <c r="AL13" s="90">
        <v>6.6018990181657502</v>
      </c>
      <c r="AM13" s="90">
        <v>6.1090755882173102</v>
      </c>
      <c r="AN13" s="90">
        <v>5.9114208665715102</v>
      </c>
      <c r="AO13" s="90">
        <v>7.5668608128291002</v>
      </c>
      <c r="AP13" s="90">
        <v>5.6180598057210398</v>
      </c>
      <c r="AQ13" s="90">
        <v>6.0077567813232502</v>
      </c>
      <c r="AR13" s="90">
        <v>5.8383384484839898</v>
      </c>
    </row>
    <row r="14" spans="1:46" x14ac:dyDescent="0.25">
      <c r="A14" s="1" t="s">
        <v>228</v>
      </c>
      <c r="B14" s="1" t="s">
        <v>229</v>
      </c>
      <c r="C14" s="90">
        <v>1.70340290559969</v>
      </c>
      <c r="D14" s="90">
        <v>1.61693618537411</v>
      </c>
      <c r="E14" s="90">
        <v>1.69712491486902</v>
      </c>
      <c r="F14" s="90">
        <v>1.6766483908776</v>
      </c>
      <c r="G14" s="90">
        <v>1.65383798360376</v>
      </c>
      <c r="H14" s="90">
        <v>1.7170633951454299</v>
      </c>
      <c r="I14" s="90">
        <v>1.68167903856477</v>
      </c>
      <c r="J14" s="90">
        <v>1.1399714383530299</v>
      </c>
      <c r="K14" s="90">
        <v>1.7923611014292899</v>
      </c>
      <c r="L14" s="90">
        <v>3.55060848997904</v>
      </c>
      <c r="M14" s="90">
        <v>1.7643362157089799</v>
      </c>
      <c r="N14" s="90">
        <v>1.7684700266579301</v>
      </c>
      <c r="O14" s="90">
        <v>0.56174549034182797</v>
      </c>
      <c r="P14" s="90">
        <v>1.6405245501145</v>
      </c>
      <c r="Q14" s="90">
        <v>1.74952317069567</v>
      </c>
      <c r="R14" s="90">
        <v>1.7392724141462499</v>
      </c>
      <c r="S14" s="90">
        <v>1.6916087303249701</v>
      </c>
      <c r="T14" s="90">
        <v>1.5507027564854501</v>
      </c>
      <c r="U14" s="90">
        <v>1.5942118682753501</v>
      </c>
      <c r="V14" s="90">
        <v>3.4012790082106701</v>
      </c>
      <c r="W14" s="90">
        <v>0.63778154178562196</v>
      </c>
      <c r="X14" s="90">
        <v>1.9088634621274101</v>
      </c>
      <c r="Y14" s="90">
        <v>1.8457186752374</v>
      </c>
      <c r="Z14" s="90">
        <v>1.7197260638547001</v>
      </c>
      <c r="AA14" s="90">
        <v>1.7457849515203401</v>
      </c>
      <c r="AB14" s="90">
        <v>1.7130417708730801</v>
      </c>
      <c r="AC14" s="90">
        <v>1.73618422377557</v>
      </c>
      <c r="AD14" s="90">
        <v>1.63920827112418</v>
      </c>
      <c r="AE14" s="90">
        <v>1.7744536472727299</v>
      </c>
      <c r="AF14" s="90">
        <v>1.8791541982533699</v>
      </c>
      <c r="AG14" s="90">
        <v>1.7754172623106399</v>
      </c>
      <c r="AH14" s="90">
        <v>1.86091883009769</v>
      </c>
      <c r="AI14" s="90">
        <v>1.2808759507262599</v>
      </c>
      <c r="AJ14" s="90">
        <v>0.94193973180933199</v>
      </c>
      <c r="AK14" s="90">
        <v>1.4359957821582401</v>
      </c>
      <c r="AL14" s="90">
        <v>1.59699422668187</v>
      </c>
      <c r="AM14" s="90">
        <v>1.6961940186414699</v>
      </c>
      <c r="AN14" s="90">
        <v>1.6885037329219601</v>
      </c>
      <c r="AO14" s="90">
        <v>1.44371497838513</v>
      </c>
      <c r="AP14" s="90">
        <v>2.5113575820440301</v>
      </c>
      <c r="AQ14" s="90">
        <v>1.6627436475476101</v>
      </c>
      <c r="AR14" s="90">
        <v>1.7469394175275801</v>
      </c>
    </row>
    <row r="15" spans="1:46" x14ac:dyDescent="0.25">
      <c r="A15" s="1" t="s">
        <v>234</v>
      </c>
      <c r="B15" s="1" t="s">
        <v>231</v>
      </c>
      <c r="C15" s="90">
        <v>-0.12019241252745</v>
      </c>
      <c r="D15" s="90">
        <v>-0.44921308509082802</v>
      </c>
      <c r="E15" s="90">
        <v>-3.8157187659380603E-5</v>
      </c>
      <c r="F15" s="90">
        <v>3.2420128505330603E-2</v>
      </c>
      <c r="G15" s="90">
        <v>0.63639458237173796</v>
      </c>
      <c r="H15" s="90">
        <v>5.7615378758582698E-2</v>
      </c>
      <c r="I15" s="90">
        <v>0.24580527911799099</v>
      </c>
      <c r="J15" s="90">
        <v>-1.7774826053743</v>
      </c>
      <c r="K15" s="90">
        <v>-7.0055935403513998E-4</v>
      </c>
      <c r="L15" s="90">
        <v>-0.71791988265542195</v>
      </c>
      <c r="M15" s="90">
        <v>-0.11205376733078699</v>
      </c>
      <c r="N15" s="90">
        <v>1.1045403859894901E-2</v>
      </c>
      <c r="O15" s="90">
        <v>-1.0416714064471999</v>
      </c>
      <c r="P15" s="90">
        <v>-0.52066012508897397</v>
      </c>
      <c r="Q15" s="90">
        <v>-0.32196289323264998</v>
      </c>
      <c r="R15" s="90">
        <v>-0.191341000113909</v>
      </c>
      <c r="S15" s="90">
        <v>-0.22435320787472199</v>
      </c>
      <c r="T15" s="90">
        <v>-0.405443517102064</v>
      </c>
      <c r="U15" s="90">
        <v>-0.68504887304233497</v>
      </c>
      <c r="V15" s="90">
        <v>0.33098563476716297</v>
      </c>
      <c r="W15" s="90">
        <v>-1.06250181047519</v>
      </c>
      <c r="X15" s="90">
        <v>0.41711067615428499</v>
      </c>
      <c r="Y15" s="90">
        <v>0.115841139207101</v>
      </c>
      <c r="Z15" s="90">
        <v>0.15935084092433099</v>
      </c>
      <c r="AA15" s="90">
        <v>0.22391037249067899</v>
      </c>
      <c r="AB15" s="90">
        <v>0.18737623257186301</v>
      </c>
      <c r="AC15" s="90">
        <v>0.228253581547257</v>
      </c>
      <c r="AD15" s="90">
        <v>-0.120813174835513</v>
      </c>
      <c r="AE15" s="90">
        <v>6.6620525517363902E-2</v>
      </c>
      <c r="AF15" s="90">
        <v>-0.191204975052299</v>
      </c>
      <c r="AG15" s="90">
        <v>-8.6790805537994994E-2</v>
      </c>
      <c r="AH15" s="90">
        <v>-0.26321071049679601</v>
      </c>
      <c r="AI15" s="90">
        <v>-1.26930758932923</v>
      </c>
      <c r="AJ15" s="90">
        <v>-1.84207398178896</v>
      </c>
      <c r="AK15" s="90">
        <v>-1.1145701893933699</v>
      </c>
      <c r="AL15" s="90">
        <v>-0.54828400068505001</v>
      </c>
      <c r="AM15" s="90">
        <v>-0.110864550009604</v>
      </c>
      <c r="AN15" s="90">
        <v>2.7553612210365501E-2</v>
      </c>
      <c r="AO15" s="90">
        <v>-1.14329643674057</v>
      </c>
      <c r="AP15" s="90">
        <v>-1.33158652594185</v>
      </c>
      <c r="AQ15" s="90">
        <v>-5.9395888474016299E-2</v>
      </c>
      <c r="AR15" s="90">
        <v>0.137534749383011</v>
      </c>
    </row>
    <row r="16" spans="1:46" x14ac:dyDescent="0.25">
      <c r="A16" s="1"/>
      <c r="B16" s="1" t="s">
        <v>232</v>
      </c>
      <c r="C16" s="90">
        <v>1.79302676477225</v>
      </c>
      <c r="D16" s="90">
        <v>2.0785871407526502</v>
      </c>
      <c r="E16" s="90">
        <v>1.69649511373965</v>
      </c>
      <c r="F16" s="90">
        <v>1.71406685994584</v>
      </c>
      <c r="G16" s="90">
        <v>2.1746562139622201</v>
      </c>
      <c r="H16" s="90">
        <v>1.6848875294221199</v>
      </c>
      <c r="I16" s="90">
        <v>1.7081860910289199</v>
      </c>
      <c r="J16" s="90">
        <v>6.8827210051624501</v>
      </c>
      <c r="K16" s="90">
        <v>1.63889655129889</v>
      </c>
      <c r="L16" s="90">
        <v>1.66284415778524</v>
      </c>
      <c r="M16" s="90">
        <v>1.74051595980911</v>
      </c>
      <c r="N16" s="90">
        <v>1.69297084491594</v>
      </c>
      <c r="O16" s="90">
        <v>7.0080471351260796</v>
      </c>
      <c r="P16" s="90">
        <v>2.26529607495194</v>
      </c>
      <c r="Q16" s="90">
        <v>2.15181969464482</v>
      </c>
      <c r="R16" s="90">
        <v>1.8546922075327099</v>
      </c>
      <c r="S16" s="90">
        <v>1.8610586689898601</v>
      </c>
      <c r="T16" s="90">
        <v>2.1594966018720001</v>
      </c>
      <c r="U16" s="90">
        <v>2.6042032854661201</v>
      </c>
      <c r="V16" s="90">
        <v>1.4124522189434601</v>
      </c>
      <c r="W16" s="90">
        <v>5.2699016654628998</v>
      </c>
      <c r="X16" s="90">
        <v>1.98721622729611</v>
      </c>
      <c r="Y16" s="90">
        <v>1.6648561505994</v>
      </c>
      <c r="Z16" s="90">
        <v>1.6827598305054801</v>
      </c>
      <c r="AA16" s="90">
        <v>1.68765129516998</v>
      </c>
      <c r="AB16" s="90">
        <v>1.68858378208699</v>
      </c>
      <c r="AC16" s="90">
        <v>1.68568533205202</v>
      </c>
      <c r="AD16" s="90">
        <v>1.8126455953693299</v>
      </c>
      <c r="AE16" s="90">
        <v>1.6775991193051101</v>
      </c>
      <c r="AF16" s="90">
        <v>1.98382592670583</v>
      </c>
      <c r="AG16" s="90">
        <v>1.7287640780857501</v>
      </c>
      <c r="AH16" s="90">
        <v>2.0762621708090001</v>
      </c>
      <c r="AI16" s="90">
        <v>4.6299086643259102</v>
      </c>
      <c r="AJ16" s="90">
        <v>8.0685484141743693</v>
      </c>
      <c r="AK16" s="90">
        <v>3.8083501022988302</v>
      </c>
      <c r="AL16" s="90">
        <v>2.3479494152224998</v>
      </c>
      <c r="AM16" s="90">
        <v>1.77413649508305</v>
      </c>
      <c r="AN16" s="90">
        <v>1.7125236751031401</v>
      </c>
      <c r="AO16" s="90">
        <v>3.8680765219370801</v>
      </c>
      <c r="AP16" s="90">
        <v>4.1367312324813597</v>
      </c>
      <c r="AQ16" s="90">
        <v>1.77132263602619</v>
      </c>
      <c r="AR16" s="90">
        <v>1.66788537273479</v>
      </c>
    </row>
    <row r="17" spans="1:44" x14ac:dyDescent="0.25">
      <c r="A17" s="1" t="s">
        <v>235</v>
      </c>
      <c r="B17" s="1" t="s">
        <v>227</v>
      </c>
      <c r="C17" s="65">
        <v>14.8643995770468</v>
      </c>
      <c r="D17" s="65">
        <v>13.9398224201607</v>
      </c>
      <c r="E17" s="65">
        <v>16.029765737245501</v>
      </c>
      <c r="F17" s="65">
        <v>16.876658360167301</v>
      </c>
      <c r="G17" s="65">
        <v>32.167400206847603</v>
      </c>
      <c r="H17" s="65">
        <v>16.888659693814699</v>
      </c>
      <c r="I17" s="65">
        <v>21.1737941260944</v>
      </c>
      <c r="J17" s="90">
        <v>3.1126273426093198</v>
      </c>
      <c r="K17" s="65">
        <v>16.4351973846654</v>
      </c>
      <c r="L17" s="65">
        <v>11.142903267615599</v>
      </c>
      <c r="M17" s="65">
        <v>14.704087057614901</v>
      </c>
      <c r="N17" s="65">
        <v>15.310389196007</v>
      </c>
      <c r="O17" s="90">
        <v>2.22757631121226</v>
      </c>
      <c r="P17" s="65">
        <v>11.5423335978148</v>
      </c>
      <c r="Q17" s="65">
        <v>11.048801305228</v>
      </c>
      <c r="R17" s="65">
        <v>13.6858653916567</v>
      </c>
      <c r="S17" s="65">
        <v>14.3568754634813</v>
      </c>
      <c r="T17" s="65">
        <v>13.8550031315885</v>
      </c>
      <c r="U17" s="90">
        <v>9.8577256580372499</v>
      </c>
      <c r="V17" s="89">
        <v>184.69675779353801</v>
      </c>
      <c r="W17" s="90">
        <v>2.3264890464146499</v>
      </c>
      <c r="X17" s="65">
        <v>31.287041241393499</v>
      </c>
      <c r="Y17" s="65">
        <v>18.0268414899049</v>
      </c>
      <c r="Z17" s="65">
        <v>18.906567385292501</v>
      </c>
      <c r="AA17" s="65">
        <v>20.266724810251699</v>
      </c>
      <c r="AB17" s="65">
        <v>19.427538201661999</v>
      </c>
      <c r="AC17" s="65">
        <v>20.443608106287801</v>
      </c>
      <c r="AD17" s="65">
        <v>15.2766430210336</v>
      </c>
      <c r="AE17" s="65">
        <v>16.114576563947299</v>
      </c>
      <c r="AF17" s="65">
        <v>10.9909144419521</v>
      </c>
      <c r="AG17" s="65">
        <v>14.7916105933531</v>
      </c>
      <c r="AH17" s="65">
        <v>10.2723387765033</v>
      </c>
      <c r="AI17" s="90">
        <v>4.0697725832391596</v>
      </c>
      <c r="AJ17" s="90">
        <v>2.8175717619063501</v>
      </c>
      <c r="AK17" s="90">
        <v>4.5655291916926997</v>
      </c>
      <c r="AL17" s="65">
        <v>12.5735076442971</v>
      </c>
      <c r="AM17" s="65">
        <v>15.008666647927599</v>
      </c>
      <c r="AN17" s="65">
        <v>16.590526238829401</v>
      </c>
      <c r="AO17" s="90">
        <v>4.4677694330798898</v>
      </c>
      <c r="AP17" s="65">
        <v>16.1144177598147</v>
      </c>
      <c r="AQ17" s="65">
        <v>15.5188383418509</v>
      </c>
      <c r="AR17" s="65">
        <v>17.8810966891511</v>
      </c>
    </row>
    <row r="18" spans="1:44" x14ac:dyDescent="0.25">
      <c r="A18" s="1" t="s">
        <v>236</v>
      </c>
      <c r="B18" s="1" t="s">
        <v>229</v>
      </c>
      <c r="C18" s="90">
        <v>3.39005717996374</v>
      </c>
      <c r="D18" s="90">
        <v>3.2765203858154899</v>
      </c>
      <c r="E18" s="90">
        <v>3.3079907646542899</v>
      </c>
      <c r="F18" s="90">
        <v>3.2614169491023599</v>
      </c>
      <c r="G18" s="90">
        <v>3.0090775967864198</v>
      </c>
      <c r="H18" s="90">
        <v>3.33679906509771</v>
      </c>
      <c r="I18" s="90">
        <v>3.1753344364724199</v>
      </c>
      <c r="J18" s="90">
        <v>2.15841623222805</v>
      </c>
      <c r="K18" s="90">
        <v>3.3745628813756201</v>
      </c>
      <c r="L18" s="90">
        <v>8.2466399760113305</v>
      </c>
      <c r="M18" s="90">
        <v>3.4875480075405498</v>
      </c>
      <c r="N18" s="90">
        <v>3.4798303739743002</v>
      </c>
      <c r="O18" s="90">
        <v>1.69297154119547</v>
      </c>
      <c r="P18" s="90">
        <v>3.6125781240483201</v>
      </c>
      <c r="Q18" s="90">
        <v>3.94255791676024</v>
      </c>
      <c r="R18" s="90">
        <v>3.55449018206461</v>
      </c>
      <c r="S18" s="90">
        <v>3.3922788436252498</v>
      </c>
      <c r="T18" s="90">
        <v>3.1693744512779398</v>
      </c>
      <c r="U18" s="90">
        <v>3.6304742678033999</v>
      </c>
      <c r="V18" s="90">
        <v>9.0798390834477196</v>
      </c>
      <c r="W18" s="90">
        <v>1.7732397881750801</v>
      </c>
      <c r="X18" s="90">
        <v>3.7232457275677402</v>
      </c>
      <c r="Y18" s="90">
        <v>3.51470626893326</v>
      </c>
      <c r="Z18" s="90">
        <v>3.3073465962050599</v>
      </c>
      <c r="AA18" s="90">
        <v>3.3338814248672999</v>
      </c>
      <c r="AB18" s="90">
        <v>3.2894271551646099</v>
      </c>
      <c r="AC18" s="90">
        <v>3.30864738468</v>
      </c>
      <c r="AD18" s="90">
        <v>3.2462787044544301</v>
      </c>
      <c r="AE18" s="90">
        <v>3.4576678866919801</v>
      </c>
      <c r="AF18" s="90">
        <v>4.2983681870768802</v>
      </c>
      <c r="AG18" s="90">
        <v>3.5025423600818502</v>
      </c>
      <c r="AH18" s="90">
        <v>4.33540383072443</v>
      </c>
      <c r="AI18" s="90">
        <v>2.5972206402428002</v>
      </c>
      <c r="AJ18" s="90">
        <v>2.0795726619826</v>
      </c>
      <c r="AK18" s="90">
        <v>2.7776042351740098</v>
      </c>
      <c r="AL18" s="90">
        <v>3.3617080296978501</v>
      </c>
      <c r="AM18" s="90">
        <v>3.3690821492362799</v>
      </c>
      <c r="AN18" s="90">
        <v>3.2945473913403598</v>
      </c>
      <c r="AO18" s="90">
        <v>2.8001010936864299</v>
      </c>
      <c r="AP18" s="90">
        <v>5.0678299426709197</v>
      </c>
      <c r="AQ18" s="90">
        <v>3.2800189542043401</v>
      </c>
      <c r="AR18" s="90">
        <v>3.3887705866984499</v>
      </c>
    </row>
    <row r="19" spans="1:44" x14ac:dyDescent="0.25">
      <c r="A19" s="1" t="s">
        <v>237</v>
      </c>
      <c r="B19" s="1" t="s">
        <v>231</v>
      </c>
      <c r="C19" s="90">
        <v>0.35723832540046002</v>
      </c>
      <c r="D19" s="90">
        <v>0.43848334677809397</v>
      </c>
      <c r="E19" s="90">
        <v>0.33429299112751698</v>
      </c>
      <c r="F19" s="90">
        <v>0.25990611952513398</v>
      </c>
      <c r="G19" s="90">
        <v>-0.55898252879958499</v>
      </c>
      <c r="H19" s="90">
        <v>0.24034940813283201</v>
      </c>
      <c r="I19" s="90">
        <v>-6.5374518933009093E-2</v>
      </c>
      <c r="J19" s="90">
        <v>3.38912581866107E-2</v>
      </c>
      <c r="K19" s="90">
        <v>0.358815194280105</v>
      </c>
      <c r="L19" s="90">
        <v>0.91412715390272403</v>
      </c>
      <c r="M19" s="90">
        <v>0.350267942434626</v>
      </c>
      <c r="N19" s="90">
        <v>0.31379435923023302</v>
      </c>
      <c r="O19" s="90">
        <v>0.27562687478918102</v>
      </c>
      <c r="P19" s="90">
        <v>0.31974151673027701</v>
      </c>
      <c r="Q19" s="90">
        <v>0.24350971329455401</v>
      </c>
      <c r="R19" s="90">
        <v>0.32722940359094899</v>
      </c>
      <c r="S19" s="90">
        <v>0.37681851458444798</v>
      </c>
      <c r="T19" s="90">
        <v>0.42432853655501901</v>
      </c>
      <c r="U19" s="90">
        <v>0.27256612978222999</v>
      </c>
      <c r="V19" s="90">
        <v>-0.68500484957352503</v>
      </c>
      <c r="W19" s="90">
        <v>0.24146944524599601</v>
      </c>
      <c r="X19" s="90">
        <v>-0.48882725158164803</v>
      </c>
      <c r="Y19" s="90">
        <v>0.126086465340156</v>
      </c>
      <c r="Z19" s="90">
        <v>7.3855048800525597E-2</v>
      </c>
      <c r="AA19" s="90">
        <v>-3.8862414078885202E-2</v>
      </c>
      <c r="AB19" s="90">
        <v>3.3749517600907601E-2</v>
      </c>
      <c r="AC19" s="90">
        <v>-4.5183042125798697E-2</v>
      </c>
      <c r="AD19" s="90">
        <v>0.38286820526700799</v>
      </c>
      <c r="AE19" s="90">
        <v>0.27017972027549297</v>
      </c>
      <c r="AF19" s="90">
        <v>0.19648674602687999</v>
      </c>
      <c r="AG19" s="90">
        <v>0.34103298912547397</v>
      </c>
      <c r="AH19" s="90">
        <v>0.19239552996562101</v>
      </c>
      <c r="AI19" s="90">
        <v>-4.3160968292584499E-2</v>
      </c>
      <c r="AJ19" s="90">
        <v>7.16887076897509E-2</v>
      </c>
      <c r="AK19" s="90">
        <v>-6.3129729940628307E-2</v>
      </c>
      <c r="AL19" s="90">
        <v>0.39333305388367701</v>
      </c>
      <c r="AM19" s="90">
        <v>0.35942844442059002</v>
      </c>
      <c r="AN19" s="90">
        <v>0.27433080339851301</v>
      </c>
      <c r="AO19" s="90">
        <v>-5.2320933042149201E-2</v>
      </c>
      <c r="AP19" s="90">
        <v>0.57890150566122101</v>
      </c>
      <c r="AQ19" s="90">
        <v>0.364339672906838</v>
      </c>
      <c r="AR19" s="90">
        <v>0.12715140779735201</v>
      </c>
    </row>
    <row r="20" spans="1:44" x14ac:dyDescent="0.25">
      <c r="A20" s="1"/>
      <c r="B20" s="1" t="s">
        <v>232</v>
      </c>
      <c r="C20" s="90">
        <v>0.73142693260708302</v>
      </c>
      <c r="D20" s="90">
        <v>0.821685434604983</v>
      </c>
      <c r="E20" s="90">
        <v>0.68924104449787404</v>
      </c>
      <c r="F20" s="90">
        <v>0.68164431319803098</v>
      </c>
      <c r="G20" s="90">
        <v>0.60914937631139698</v>
      </c>
      <c r="H20" s="90">
        <v>0.68962630972759897</v>
      </c>
      <c r="I20" s="90">
        <v>0.64032645922700904</v>
      </c>
      <c r="J20" s="90">
        <v>0.75687210154207396</v>
      </c>
      <c r="K20" s="90">
        <v>0.66665504107670803</v>
      </c>
      <c r="L20" s="90">
        <v>0.37707864052513701</v>
      </c>
      <c r="M20" s="90">
        <v>0.72986291179962504</v>
      </c>
      <c r="N20" s="90">
        <v>0.72064403900576002</v>
      </c>
      <c r="O20" s="90">
        <v>0.57748190225795903</v>
      </c>
      <c r="P20" s="90">
        <v>1.1764955271095101</v>
      </c>
      <c r="Q20" s="90">
        <v>1.0433315287171701</v>
      </c>
      <c r="R20" s="90">
        <v>0.76344988913734302</v>
      </c>
      <c r="S20" s="90">
        <v>0.74562739579646997</v>
      </c>
      <c r="T20" s="90">
        <v>0.89219975513858396</v>
      </c>
      <c r="U20" s="90">
        <v>2.2036809605152499</v>
      </c>
      <c r="V20" s="90">
        <v>0.49958931664421702</v>
      </c>
      <c r="W20" s="90">
        <v>0.64374612984802004</v>
      </c>
      <c r="X20" s="90">
        <v>0.74785301698182405</v>
      </c>
      <c r="Y20" s="90">
        <v>0.69470172619614101</v>
      </c>
      <c r="Z20" s="90">
        <v>0.67534059722700601</v>
      </c>
      <c r="AA20" s="90">
        <v>0.67346101824837201</v>
      </c>
      <c r="AB20" s="90">
        <v>0.67143967330328802</v>
      </c>
      <c r="AC20" s="90">
        <v>0.66785761153653</v>
      </c>
      <c r="AD20" s="90">
        <v>0.70725595455881196</v>
      </c>
      <c r="AE20" s="90">
        <v>0.70767672405535698</v>
      </c>
      <c r="AF20" s="90">
        <v>0.868520735596231</v>
      </c>
      <c r="AG20" s="90">
        <v>0.72892495477564001</v>
      </c>
      <c r="AH20" s="90">
        <v>0.99379103395675505</v>
      </c>
      <c r="AI20" s="90">
        <v>1.13632837363402</v>
      </c>
      <c r="AJ20" s="90">
        <v>0.81348786029016695</v>
      </c>
      <c r="AK20" s="90">
        <v>1.34980041938188</v>
      </c>
      <c r="AL20" s="90">
        <v>1.19704681671461</v>
      </c>
      <c r="AM20" s="90">
        <v>0.72443564787164405</v>
      </c>
      <c r="AN20" s="90">
        <v>0.68945306705363196</v>
      </c>
      <c r="AO20" s="90">
        <v>1.3238814969742201</v>
      </c>
      <c r="AP20" s="90">
        <v>1.3260622440388601</v>
      </c>
      <c r="AQ20" s="90">
        <v>0.70402819000747596</v>
      </c>
      <c r="AR20" s="90">
        <v>0.69332899450034302</v>
      </c>
    </row>
    <row r="21" spans="1:44" x14ac:dyDescent="0.25">
      <c r="A21" s="1" t="s">
        <v>235</v>
      </c>
      <c r="B21" s="1" t="s">
        <v>227</v>
      </c>
      <c r="C21" s="90">
        <v>6.0719950006436401</v>
      </c>
      <c r="D21" s="90">
        <v>6.1646440069891497</v>
      </c>
      <c r="E21" s="90">
        <v>5.9631028480117596</v>
      </c>
      <c r="F21" s="90">
        <v>5.88882691632607</v>
      </c>
      <c r="G21" s="90">
        <v>4.9582568487561502</v>
      </c>
      <c r="H21" s="90">
        <v>5.8878013512632199</v>
      </c>
      <c r="I21" s="90">
        <v>5.56157638115429</v>
      </c>
      <c r="J21" s="90">
        <v>8.3276514232909005</v>
      </c>
      <c r="K21" s="90">
        <v>5.9270674066654196</v>
      </c>
      <c r="L21" s="90">
        <v>6.48773101597593</v>
      </c>
      <c r="M21" s="90">
        <v>6.0876389763310099</v>
      </c>
      <c r="N21" s="90">
        <v>6.0293452326057002</v>
      </c>
      <c r="O21" s="90">
        <v>8.81030942893209</v>
      </c>
      <c r="P21" s="90">
        <v>6.43692125611717</v>
      </c>
      <c r="Q21" s="90">
        <v>6.4999663310004703</v>
      </c>
      <c r="R21" s="90">
        <v>6.1911695269550897</v>
      </c>
      <c r="S21" s="90">
        <v>6.1221143851697502</v>
      </c>
      <c r="T21" s="90">
        <v>6.1734491528690203</v>
      </c>
      <c r="U21" s="90">
        <v>6.6645294535105801</v>
      </c>
      <c r="V21" s="90">
        <v>2.4367695537226099</v>
      </c>
      <c r="W21" s="90">
        <v>8.7476298900536893</v>
      </c>
      <c r="X21" s="90">
        <v>4.9982909577922001</v>
      </c>
      <c r="Y21" s="90">
        <v>5.7937095476371097</v>
      </c>
      <c r="Z21" s="90">
        <v>5.7249687337182902</v>
      </c>
      <c r="AA21" s="90">
        <v>5.6247432278463503</v>
      </c>
      <c r="AB21" s="90">
        <v>5.6857530911813603</v>
      </c>
      <c r="AC21" s="90">
        <v>5.6122063487991198</v>
      </c>
      <c r="AD21" s="90">
        <v>6.0325286378273297</v>
      </c>
      <c r="AE21" s="90">
        <v>5.9554899099791498</v>
      </c>
      <c r="AF21" s="90">
        <v>6.5075447665460997</v>
      </c>
      <c r="AG21" s="90">
        <v>6.0790770400736598</v>
      </c>
      <c r="AH21" s="90">
        <v>6.6050915020692997</v>
      </c>
      <c r="AI21" s="90">
        <v>7.9408361049616598</v>
      </c>
      <c r="AJ21" s="90">
        <v>8.4713319291969906</v>
      </c>
      <c r="AK21" s="90">
        <v>7.7750021915977197</v>
      </c>
      <c r="AL21" s="90">
        <v>6.3134690137548901</v>
      </c>
      <c r="AM21" s="90">
        <v>6.0580603744327899</v>
      </c>
      <c r="AN21" s="90">
        <v>5.9134965415696401</v>
      </c>
      <c r="AO21" s="90">
        <v>7.8062295496768597</v>
      </c>
      <c r="AP21" s="90">
        <v>5.9555041273594602</v>
      </c>
      <c r="AQ21" s="90">
        <v>6.0098356207274204</v>
      </c>
      <c r="AR21" s="90">
        <v>5.8054209667054497</v>
      </c>
    </row>
    <row r="22" spans="1:44" x14ac:dyDescent="0.25">
      <c r="A22" s="1" t="s">
        <v>236</v>
      </c>
      <c r="B22" s="1" t="s">
        <v>229</v>
      </c>
      <c r="C22" s="90">
        <v>1.76130960744847</v>
      </c>
      <c r="D22" s="90">
        <v>1.7121645078987899</v>
      </c>
      <c r="E22" s="90">
        <v>1.7259552067564501</v>
      </c>
      <c r="F22" s="90">
        <v>1.70549889123969</v>
      </c>
      <c r="G22" s="90">
        <v>1.5893213107441999</v>
      </c>
      <c r="H22" s="90">
        <v>1.73846481312643</v>
      </c>
      <c r="I22" s="90">
        <v>1.6669085491858</v>
      </c>
      <c r="J22" s="90">
        <v>1.10997310313328</v>
      </c>
      <c r="K22" s="90">
        <v>1.75470063706312</v>
      </c>
      <c r="L22" s="90">
        <v>3.0438064251346799</v>
      </c>
      <c r="M22" s="90">
        <v>1.8022130763723601</v>
      </c>
      <c r="N22" s="90">
        <v>1.79901698291583</v>
      </c>
      <c r="O22" s="90">
        <v>0.75955772177386605</v>
      </c>
      <c r="P22" s="90">
        <v>1.8530287870481601</v>
      </c>
      <c r="Q22" s="90">
        <v>1.9791319485754699</v>
      </c>
      <c r="R22" s="90">
        <v>1.8296426499848899</v>
      </c>
      <c r="S22" s="90">
        <v>1.76225476358655</v>
      </c>
      <c r="T22" s="90">
        <v>1.66419811951438</v>
      </c>
      <c r="U22" s="90">
        <v>1.86015802731585</v>
      </c>
      <c r="V22" s="90">
        <v>3.1826667297222402</v>
      </c>
      <c r="W22" s="90">
        <v>0.82638763934989501</v>
      </c>
      <c r="X22" s="90">
        <v>1.8965608346274101</v>
      </c>
      <c r="Y22" s="90">
        <v>1.8134041254115301</v>
      </c>
      <c r="Z22" s="90">
        <v>1.7256742419078099</v>
      </c>
      <c r="AA22" s="90">
        <v>1.7372027933471099</v>
      </c>
      <c r="AB22" s="90">
        <v>1.71783636439814</v>
      </c>
      <c r="AC22" s="90">
        <v>1.72624154626499</v>
      </c>
      <c r="AD22" s="90">
        <v>1.6987868656509999</v>
      </c>
      <c r="AE22" s="90">
        <v>1.7897993029788399</v>
      </c>
      <c r="AF22" s="90">
        <v>2.10378906557618</v>
      </c>
      <c r="AG22" s="90">
        <v>1.8084024988532299</v>
      </c>
      <c r="AH22" s="90">
        <v>2.1161663827086201</v>
      </c>
      <c r="AI22" s="90">
        <v>1.3769685796931901</v>
      </c>
      <c r="AJ22" s="90">
        <v>1.05628709481862</v>
      </c>
      <c r="AK22" s="90">
        <v>1.47384105265737</v>
      </c>
      <c r="AL22" s="90">
        <v>1.7491944293930899</v>
      </c>
      <c r="AM22" s="90">
        <v>1.7523556065098</v>
      </c>
      <c r="AN22" s="90">
        <v>1.7200802797644399</v>
      </c>
      <c r="AO22" s="90">
        <v>1.48547891457283</v>
      </c>
      <c r="AP22" s="90">
        <v>2.3413681138667202</v>
      </c>
      <c r="AQ22" s="90">
        <v>1.71370415175116</v>
      </c>
      <c r="AR22" s="90">
        <v>1.7607619724267101</v>
      </c>
    </row>
    <row r="23" spans="1:44" x14ac:dyDescent="0.25">
      <c r="A23" s="1" t="s">
        <v>238</v>
      </c>
      <c r="B23" s="1" t="s">
        <v>231</v>
      </c>
      <c r="C23" s="90">
        <v>-0.35723832540046002</v>
      </c>
      <c r="D23" s="90">
        <v>-0.43848334677809397</v>
      </c>
      <c r="E23" s="90">
        <v>-0.33429299112751698</v>
      </c>
      <c r="F23" s="90">
        <v>-0.25990611952513398</v>
      </c>
      <c r="G23" s="90">
        <v>0.55898252879958499</v>
      </c>
      <c r="H23" s="90">
        <v>-0.24034940813283201</v>
      </c>
      <c r="I23" s="90">
        <v>6.5374518933009398E-2</v>
      </c>
      <c r="J23" s="90">
        <v>-3.38912581866102E-2</v>
      </c>
      <c r="K23" s="90">
        <v>-0.358815194280105</v>
      </c>
      <c r="L23" s="90">
        <v>-0.91412715390272403</v>
      </c>
      <c r="M23" s="90">
        <v>-0.350267942434626</v>
      </c>
      <c r="N23" s="90">
        <v>-0.31379435923023302</v>
      </c>
      <c r="O23" s="90">
        <v>-0.27562687478918202</v>
      </c>
      <c r="P23" s="90">
        <v>-0.31974151673027701</v>
      </c>
      <c r="Q23" s="90">
        <v>-0.24350971329455401</v>
      </c>
      <c r="R23" s="90">
        <v>-0.32722940359094899</v>
      </c>
      <c r="S23" s="90">
        <v>-0.37681851458444798</v>
      </c>
      <c r="T23" s="90">
        <v>-0.42432853655501901</v>
      </c>
      <c r="U23" s="90">
        <v>-0.27256612978223099</v>
      </c>
      <c r="V23" s="90">
        <v>0.68500484957352403</v>
      </c>
      <c r="W23" s="90">
        <v>-0.24146944524599501</v>
      </c>
      <c r="X23" s="90">
        <v>0.48882725158164803</v>
      </c>
      <c r="Y23" s="90">
        <v>-0.126086465340156</v>
      </c>
      <c r="Z23" s="90">
        <v>-7.3855048800525694E-2</v>
      </c>
      <c r="AA23" s="90">
        <v>3.8862414078885202E-2</v>
      </c>
      <c r="AB23" s="90">
        <v>-3.3749517600907698E-2</v>
      </c>
      <c r="AC23" s="90">
        <v>4.51830421257986E-2</v>
      </c>
      <c r="AD23" s="90">
        <v>-0.38286820526700799</v>
      </c>
      <c r="AE23" s="90">
        <v>-0.27017972027549297</v>
      </c>
      <c r="AF23" s="90">
        <v>-0.19648674602688099</v>
      </c>
      <c r="AG23" s="90">
        <v>-0.34103298912547397</v>
      </c>
      <c r="AH23" s="90">
        <v>-0.19239552996562201</v>
      </c>
      <c r="AI23" s="90">
        <v>4.31609682925847E-2</v>
      </c>
      <c r="AJ23" s="90">
        <v>-7.1688707689751094E-2</v>
      </c>
      <c r="AK23" s="90">
        <v>6.3129729940628307E-2</v>
      </c>
      <c r="AL23" s="90">
        <v>-0.39333305388367701</v>
      </c>
      <c r="AM23" s="90">
        <v>-0.35942844442059002</v>
      </c>
      <c r="AN23" s="90">
        <v>-0.27433080339851301</v>
      </c>
      <c r="AO23" s="90">
        <v>5.2320933042149E-2</v>
      </c>
      <c r="AP23" s="90">
        <v>-0.57890150566122101</v>
      </c>
      <c r="AQ23" s="90">
        <v>-0.364339672906838</v>
      </c>
      <c r="AR23" s="90">
        <v>-0.12715140779735201</v>
      </c>
    </row>
    <row r="24" spans="1:44" x14ac:dyDescent="0.25">
      <c r="A24" s="1"/>
      <c r="B24" s="1" t="s">
        <v>232</v>
      </c>
      <c r="C24" s="90">
        <v>0.73142693260708302</v>
      </c>
      <c r="D24" s="90">
        <v>0.821685434604983</v>
      </c>
      <c r="E24" s="90">
        <v>0.68924104449787404</v>
      </c>
      <c r="F24" s="90">
        <v>0.68164431319803098</v>
      </c>
      <c r="G24" s="90">
        <v>0.60914937631139698</v>
      </c>
      <c r="H24" s="90">
        <v>0.68962630972759897</v>
      </c>
      <c r="I24" s="90">
        <v>0.64032645922700904</v>
      </c>
      <c r="J24" s="90">
        <v>0.75687210154207396</v>
      </c>
      <c r="K24" s="90">
        <v>0.66665504107670803</v>
      </c>
      <c r="L24" s="90">
        <v>0.37707864052513701</v>
      </c>
      <c r="M24" s="90">
        <v>0.72986291179962504</v>
      </c>
      <c r="N24" s="90">
        <v>0.72064403900575902</v>
      </c>
      <c r="O24" s="90">
        <v>0.57748190225795903</v>
      </c>
      <c r="P24" s="90">
        <v>1.1764955271095101</v>
      </c>
      <c r="Q24" s="90">
        <v>1.0433315287171701</v>
      </c>
      <c r="R24" s="90">
        <v>0.76344988913734302</v>
      </c>
      <c r="S24" s="90">
        <v>0.74562739579646997</v>
      </c>
      <c r="T24" s="90">
        <v>0.89219975513858396</v>
      </c>
      <c r="U24" s="90">
        <v>2.2036809605152499</v>
      </c>
      <c r="V24" s="90">
        <v>0.49958931664421702</v>
      </c>
      <c r="W24" s="90">
        <v>0.64374612984802104</v>
      </c>
      <c r="X24" s="90">
        <v>0.74785301698182405</v>
      </c>
      <c r="Y24" s="90">
        <v>0.69470172619614101</v>
      </c>
      <c r="Z24" s="90">
        <v>0.67534059722700601</v>
      </c>
      <c r="AA24" s="90">
        <v>0.67346101824837201</v>
      </c>
      <c r="AB24" s="90">
        <v>0.67143967330328902</v>
      </c>
      <c r="AC24" s="90">
        <v>0.66785761153653</v>
      </c>
      <c r="AD24" s="90">
        <v>0.70725595455881196</v>
      </c>
      <c r="AE24" s="90">
        <v>0.70767672405535698</v>
      </c>
      <c r="AF24" s="90">
        <v>0.868520735596231</v>
      </c>
      <c r="AG24" s="90">
        <v>0.72892495477564001</v>
      </c>
      <c r="AH24" s="90">
        <v>0.99379103395675505</v>
      </c>
      <c r="AI24" s="90">
        <v>1.13632837363402</v>
      </c>
      <c r="AJ24" s="90">
        <v>0.81348786029016695</v>
      </c>
      <c r="AK24" s="90">
        <v>1.34980041938188</v>
      </c>
      <c r="AL24" s="90">
        <v>1.19704681671461</v>
      </c>
      <c r="AM24" s="90">
        <v>0.72443564787164405</v>
      </c>
      <c r="AN24" s="90">
        <v>0.68945306705363196</v>
      </c>
      <c r="AO24" s="90">
        <v>1.3238814969742201</v>
      </c>
      <c r="AP24" s="90">
        <v>1.3260622440388601</v>
      </c>
      <c r="AQ24" s="90">
        <v>0.70402819000747596</v>
      </c>
      <c r="AR24" s="90">
        <v>0.69332899450034302</v>
      </c>
    </row>
    <row r="25" spans="1:44" x14ac:dyDescent="0.25">
      <c r="A25" s="1" t="s">
        <v>235</v>
      </c>
      <c r="B25" s="1" t="s">
        <v>239</v>
      </c>
      <c r="C25" s="89" t="s">
        <v>240</v>
      </c>
      <c r="D25" s="89" t="s">
        <v>240</v>
      </c>
      <c r="E25" s="89" t="s">
        <v>241</v>
      </c>
      <c r="F25" s="90" t="s">
        <v>241</v>
      </c>
      <c r="G25" s="89" t="s">
        <v>242</v>
      </c>
      <c r="H25" s="89" t="s">
        <v>241</v>
      </c>
      <c r="I25" s="90" t="s">
        <v>241</v>
      </c>
      <c r="J25" s="89" t="s">
        <v>221</v>
      </c>
      <c r="K25" s="89" t="s">
        <v>241</v>
      </c>
      <c r="L25" s="89" t="s">
        <v>240</v>
      </c>
      <c r="M25" s="89" t="s">
        <v>240</v>
      </c>
      <c r="N25" s="89" t="s">
        <v>240</v>
      </c>
      <c r="O25" s="89" t="s">
        <v>221</v>
      </c>
      <c r="P25" s="89" t="s">
        <v>240</v>
      </c>
      <c r="Q25" s="89" t="s">
        <v>240</v>
      </c>
      <c r="R25" s="89" t="s">
        <v>240</v>
      </c>
      <c r="S25" s="89" t="s">
        <v>240</v>
      </c>
      <c r="T25" s="89" t="s">
        <v>240</v>
      </c>
      <c r="U25" s="89" t="s">
        <v>240</v>
      </c>
      <c r="V25" s="89" t="s">
        <v>243</v>
      </c>
      <c r="W25" s="89" t="s">
        <v>221</v>
      </c>
      <c r="X25" s="89" t="s">
        <v>242</v>
      </c>
      <c r="Y25" s="89" t="s">
        <v>241</v>
      </c>
      <c r="Z25" s="89" t="s">
        <v>241</v>
      </c>
      <c r="AA25" s="89" t="s">
        <v>241</v>
      </c>
      <c r="AB25" s="89" t="s">
        <v>241</v>
      </c>
      <c r="AC25" s="89" t="s">
        <v>241</v>
      </c>
      <c r="AD25" s="89" t="s">
        <v>240</v>
      </c>
      <c r="AE25" s="89" t="s">
        <v>241</v>
      </c>
      <c r="AF25" s="89" t="s">
        <v>240</v>
      </c>
      <c r="AG25" s="89" t="s">
        <v>240</v>
      </c>
      <c r="AH25" s="89" t="s">
        <v>240</v>
      </c>
      <c r="AI25" s="89" t="s">
        <v>224</v>
      </c>
      <c r="AJ25" s="89" t="s">
        <v>221</v>
      </c>
      <c r="AK25" s="89" t="s">
        <v>224</v>
      </c>
      <c r="AL25" s="89" t="s">
        <v>240</v>
      </c>
      <c r="AM25" s="89" t="s">
        <v>240</v>
      </c>
      <c r="AN25" s="89" t="s">
        <v>241</v>
      </c>
      <c r="AO25" s="89" t="s">
        <v>224</v>
      </c>
      <c r="AP25" s="89" t="s">
        <v>241</v>
      </c>
      <c r="AQ25" s="89" t="s">
        <v>240</v>
      </c>
      <c r="AR25" s="89" t="s">
        <v>241</v>
      </c>
    </row>
    <row r="26" spans="1:44" x14ac:dyDescent="0.25">
      <c r="A26" s="1" t="s">
        <v>236</v>
      </c>
      <c r="B26" s="1" t="s">
        <v>244</v>
      </c>
      <c r="C26" s="89" t="s">
        <v>245</v>
      </c>
      <c r="D26" s="89" t="s">
        <v>245</v>
      </c>
      <c r="E26" s="89" t="s">
        <v>245</v>
      </c>
      <c r="F26" s="90" t="s">
        <v>245</v>
      </c>
      <c r="G26" s="89" t="s">
        <v>245</v>
      </c>
      <c r="H26" s="89" t="s">
        <v>245</v>
      </c>
      <c r="I26" s="90" t="s">
        <v>245</v>
      </c>
      <c r="J26" s="89" t="s">
        <v>245</v>
      </c>
      <c r="K26" s="89" t="s">
        <v>245</v>
      </c>
      <c r="L26" s="89" t="s">
        <v>246</v>
      </c>
      <c r="M26" s="89" t="s">
        <v>245</v>
      </c>
      <c r="N26" s="89" t="s">
        <v>245</v>
      </c>
      <c r="O26" s="89" t="s">
        <v>247</v>
      </c>
      <c r="P26" s="89" t="s">
        <v>245</v>
      </c>
      <c r="Q26" s="89" t="s">
        <v>245</v>
      </c>
      <c r="R26" s="89" t="s">
        <v>245</v>
      </c>
      <c r="S26" s="89" t="s">
        <v>245</v>
      </c>
      <c r="T26" s="89" t="s">
        <v>245</v>
      </c>
      <c r="U26" s="89" t="s">
        <v>245</v>
      </c>
      <c r="V26" s="89" t="s">
        <v>246</v>
      </c>
      <c r="W26" s="89" t="s">
        <v>247</v>
      </c>
      <c r="X26" s="89" t="s">
        <v>245</v>
      </c>
      <c r="Y26" s="89" t="s">
        <v>245</v>
      </c>
      <c r="Z26" s="89" t="s">
        <v>245</v>
      </c>
      <c r="AA26" s="89" t="s">
        <v>245</v>
      </c>
      <c r="AB26" s="89" t="s">
        <v>245</v>
      </c>
      <c r="AC26" s="89" t="s">
        <v>245</v>
      </c>
      <c r="AD26" s="89" t="s">
        <v>245</v>
      </c>
      <c r="AE26" s="89" t="s">
        <v>245</v>
      </c>
      <c r="AF26" s="89" t="s">
        <v>246</v>
      </c>
      <c r="AG26" s="89" t="s">
        <v>245</v>
      </c>
      <c r="AH26" s="89" t="s">
        <v>246</v>
      </c>
      <c r="AI26" s="89" t="s">
        <v>245</v>
      </c>
      <c r="AJ26" s="89" t="s">
        <v>245</v>
      </c>
      <c r="AK26" s="89" t="s">
        <v>245</v>
      </c>
      <c r="AL26" s="89" t="s">
        <v>245</v>
      </c>
      <c r="AM26" s="89" t="s">
        <v>245</v>
      </c>
      <c r="AN26" s="89" t="s">
        <v>245</v>
      </c>
      <c r="AO26" s="89" t="s">
        <v>245</v>
      </c>
      <c r="AP26" s="89" t="s">
        <v>246</v>
      </c>
      <c r="AQ26" s="89" t="s">
        <v>245</v>
      </c>
      <c r="AR26" s="89" t="s">
        <v>245</v>
      </c>
    </row>
    <row r="27" spans="1:44" x14ac:dyDescent="0.25">
      <c r="A27" s="1" t="s">
        <v>248</v>
      </c>
      <c r="B27" s="1" t="s">
        <v>249</v>
      </c>
      <c r="C27" s="89" t="s">
        <v>250</v>
      </c>
      <c r="D27" s="89" t="s">
        <v>250</v>
      </c>
      <c r="E27" s="89" t="s">
        <v>250</v>
      </c>
      <c r="F27" s="90" t="s">
        <v>251</v>
      </c>
      <c r="G27" s="89" t="s">
        <v>252</v>
      </c>
      <c r="H27" s="89" t="s">
        <v>251</v>
      </c>
      <c r="I27" s="90" t="s">
        <v>253</v>
      </c>
      <c r="J27" s="89" t="s">
        <v>253</v>
      </c>
      <c r="K27" s="89" t="s">
        <v>250</v>
      </c>
      <c r="L27" s="89" t="s">
        <v>250</v>
      </c>
      <c r="M27" s="89" t="s">
        <v>250</v>
      </c>
      <c r="N27" s="89" t="s">
        <v>250</v>
      </c>
      <c r="O27" s="89" t="s">
        <v>251</v>
      </c>
      <c r="P27" s="89" t="s">
        <v>250</v>
      </c>
      <c r="Q27" s="89" t="s">
        <v>251</v>
      </c>
      <c r="R27" s="89" t="s">
        <v>250</v>
      </c>
      <c r="S27" s="89" t="s">
        <v>250</v>
      </c>
      <c r="T27" s="89" t="s">
        <v>250</v>
      </c>
      <c r="U27" s="89" t="s">
        <v>251</v>
      </c>
      <c r="V27" s="89" t="s">
        <v>252</v>
      </c>
      <c r="W27" s="89" t="s">
        <v>251</v>
      </c>
      <c r="X27" s="89" t="s">
        <v>252</v>
      </c>
      <c r="Y27" s="89" t="s">
        <v>251</v>
      </c>
      <c r="Z27" s="89" t="s">
        <v>253</v>
      </c>
      <c r="AA27" s="89" t="s">
        <v>253</v>
      </c>
      <c r="AB27" s="89" t="s">
        <v>253</v>
      </c>
      <c r="AC27" s="89" t="s">
        <v>253</v>
      </c>
      <c r="AD27" s="89" t="s">
        <v>250</v>
      </c>
      <c r="AE27" s="89" t="s">
        <v>251</v>
      </c>
      <c r="AF27" s="89" t="s">
        <v>251</v>
      </c>
      <c r="AG27" s="89" t="s">
        <v>250</v>
      </c>
      <c r="AH27" s="89" t="s">
        <v>251</v>
      </c>
      <c r="AI27" s="89" t="s">
        <v>253</v>
      </c>
      <c r="AJ27" s="89" t="s">
        <v>253</v>
      </c>
      <c r="AK27" s="89" t="s">
        <v>253</v>
      </c>
      <c r="AL27" s="89" t="s">
        <v>250</v>
      </c>
      <c r="AM27" s="89" t="s">
        <v>250</v>
      </c>
      <c r="AN27" s="89" t="s">
        <v>251</v>
      </c>
      <c r="AO27" s="89" t="s">
        <v>253</v>
      </c>
      <c r="AP27" s="89" t="s">
        <v>250</v>
      </c>
      <c r="AQ27" s="89" t="s">
        <v>250</v>
      </c>
      <c r="AR27" s="89" t="s">
        <v>251</v>
      </c>
    </row>
    <row r="28" spans="1:44" x14ac:dyDescent="0.25">
      <c r="A28" s="1"/>
      <c r="B28" s="1" t="s">
        <v>254</v>
      </c>
      <c r="C28" s="89" t="s">
        <v>255</v>
      </c>
      <c r="D28" s="89" t="s">
        <v>255</v>
      </c>
      <c r="E28" s="89" t="s">
        <v>255</v>
      </c>
      <c r="F28" s="90" t="s">
        <v>255</v>
      </c>
      <c r="G28" s="89" t="s">
        <v>256</v>
      </c>
      <c r="H28" s="89" t="s">
        <v>255</v>
      </c>
      <c r="I28" s="90" t="s">
        <v>256</v>
      </c>
      <c r="J28" s="89" t="s">
        <v>255</v>
      </c>
      <c r="K28" s="89" t="s">
        <v>256</v>
      </c>
      <c r="L28" s="89" t="s">
        <v>256</v>
      </c>
      <c r="M28" s="89" t="s">
        <v>255</v>
      </c>
      <c r="N28" s="89" t="s">
        <v>255</v>
      </c>
      <c r="O28" s="89" t="s">
        <v>256</v>
      </c>
      <c r="P28" s="89" t="s">
        <v>257</v>
      </c>
      <c r="Q28" s="89" t="s">
        <v>258</v>
      </c>
      <c r="R28" s="89" t="s">
        <v>255</v>
      </c>
      <c r="S28" s="89" t="s">
        <v>255</v>
      </c>
      <c r="T28" s="89" t="s">
        <v>255</v>
      </c>
      <c r="U28" s="89" t="s">
        <v>259</v>
      </c>
      <c r="V28" s="89" t="s">
        <v>256</v>
      </c>
      <c r="W28" s="89" t="s">
        <v>256</v>
      </c>
      <c r="X28" s="89" t="s">
        <v>255</v>
      </c>
      <c r="Y28" s="89" t="s">
        <v>255</v>
      </c>
      <c r="Z28" s="89" t="s">
        <v>255</v>
      </c>
      <c r="AA28" s="89" t="s">
        <v>255</v>
      </c>
      <c r="AB28" s="89" t="s">
        <v>255</v>
      </c>
      <c r="AC28" s="89" t="s">
        <v>256</v>
      </c>
      <c r="AD28" s="89" t="s">
        <v>255</v>
      </c>
      <c r="AE28" s="89" t="s">
        <v>255</v>
      </c>
      <c r="AF28" s="89" t="s">
        <v>255</v>
      </c>
      <c r="AG28" s="89" t="s">
        <v>255</v>
      </c>
      <c r="AH28" s="89" t="s">
        <v>258</v>
      </c>
      <c r="AI28" s="89" t="s">
        <v>257</v>
      </c>
      <c r="AJ28" s="89" t="s">
        <v>255</v>
      </c>
      <c r="AK28" s="89" t="s">
        <v>257</v>
      </c>
      <c r="AL28" s="89" t="s">
        <v>257</v>
      </c>
      <c r="AM28" s="89" t="s">
        <v>255</v>
      </c>
      <c r="AN28" s="89" t="s">
        <v>255</v>
      </c>
      <c r="AO28" s="89" t="s">
        <v>257</v>
      </c>
      <c r="AP28" s="89" t="s">
        <v>257</v>
      </c>
      <c r="AQ28" s="89" t="s">
        <v>255</v>
      </c>
      <c r="AR28" s="89" t="s">
        <v>255</v>
      </c>
    </row>
    <row r="29" spans="1:44" x14ac:dyDescent="0.25">
      <c r="A29" s="1"/>
      <c r="B29" s="1" t="s">
        <v>260</v>
      </c>
      <c r="C29" s="90">
        <v>7.5</v>
      </c>
      <c r="D29" s="90">
        <v>7.5</v>
      </c>
      <c r="E29" s="90">
        <v>7.5</v>
      </c>
      <c r="F29" s="90">
        <v>7.5</v>
      </c>
      <c r="G29" s="65">
        <v>75</v>
      </c>
      <c r="H29" s="90">
        <v>7.5</v>
      </c>
      <c r="I29" s="65">
        <v>75</v>
      </c>
      <c r="J29" s="90">
        <v>3</v>
      </c>
      <c r="K29" s="90">
        <v>7.5</v>
      </c>
      <c r="L29" s="89">
        <v>375</v>
      </c>
      <c r="M29" s="90">
        <v>7.5</v>
      </c>
      <c r="N29" s="90">
        <v>7.5</v>
      </c>
      <c r="O29" s="90">
        <v>3</v>
      </c>
      <c r="P29" s="90">
        <v>7.5</v>
      </c>
      <c r="Q29" s="90">
        <v>7.5</v>
      </c>
      <c r="R29" s="90">
        <v>7.5</v>
      </c>
      <c r="S29" s="90">
        <v>7.5</v>
      </c>
      <c r="T29" s="90">
        <v>7.5</v>
      </c>
      <c r="U29" s="90">
        <v>7.5</v>
      </c>
      <c r="V29" s="89">
        <v>1250</v>
      </c>
      <c r="W29" s="90">
        <v>3</v>
      </c>
      <c r="X29" s="65">
        <v>75</v>
      </c>
      <c r="Y29" s="65">
        <v>75</v>
      </c>
      <c r="Z29" s="65">
        <v>75</v>
      </c>
      <c r="AA29" s="65">
        <v>75</v>
      </c>
      <c r="AB29" s="65">
        <v>75</v>
      </c>
      <c r="AC29" s="65">
        <v>75</v>
      </c>
      <c r="AD29" s="90">
        <v>7.5</v>
      </c>
      <c r="AE29" s="90">
        <v>7.5</v>
      </c>
      <c r="AF29" s="90">
        <v>7.5</v>
      </c>
      <c r="AG29" s="90">
        <v>7.5</v>
      </c>
      <c r="AH29" s="90">
        <v>7.5</v>
      </c>
      <c r="AI29" s="90">
        <v>7.5</v>
      </c>
      <c r="AJ29" s="90">
        <v>3</v>
      </c>
      <c r="AK29" s="90">
        <v>7.5</v>
      </c>
      <c r="AL29" s="90">
        <v>7.5</v>
      </c>
      <c r="AM29" s="90">
        <v>7.5</v>
      </c>
      <c r="AN29" s="90">
        <v>7.5</v>
      </c>
      <c r="AO29" s="90">
        <v>7.5</v>
      </c>
      <c r="AP29" s="90">
        <v>7.5</v>
      </c>
      <c r="AQ29" s="90">
        <v>7.5</v>
      </c>
      <c r="AR29" s="65">
        <v>75</v>
      </c>
    </row>
    <row r="30" spans="1:44" x14ac:dyDescent="0.25">
      <c r="A30" s="1"/>
      <c r="B30" s="1" t="s">
        <v>261</v>
      </c>
      <c r="C30" s="65">
        <v>75</v>
      </c>
      <c r="D30" s="65">
        <v>75</v>
      </c>
      <c r="E30" s="65">
        <v>75</v>
      </c>
      <c r="F30" s="65">
        <v>75</v>
      </c>
      <c r="G30" s="90">
        <v>7.5</v>
      </c>
      <c r="H30" s="65">
        <v>75</v>
      </c>
      <c r="I30" s="90">
        <v>7.5</v>
      </c>
      <c r="J30" s="90"/>
      <c r="K30" s="65">
        <v>75</v>
      </c>
      <c r="L30" s="90">
        <v>3</v>
      </c>
      <c r="M30" s="65">
        <v>75</v>
      </c>
      <c r="N30" s="65">
        <v>75</v>
      </c>
      <c r="O30" s="90"/>
      <c r="P30" s="65">
        <v>75</v>
      </c>
      <c r="Q30" s="65">
        <v>75</v>
      </c>
      <c r="R30" s="65">
        <v>75</v>
      </c>
      <c r="S30" s="65">
        <v>75</v>
      </c>
      <c r="T30" s="65">
        <v>75</v>
      </c>
      <c r="U30" s="65">
        <v>75</v>
      </c>
      <c r="V30" s="90">
        <v>7.5</v>
      </c>
      <c r="W30" s="90"/>
      <c r="X30" s="90">
        <v>7.5</v>
      </c>
      <c r="Y30" s="90">
        <v>7.5</v>
      </c>
      <c r="Z30" s="90">
        <v>7.5</v>
      </c>
      <c r="AA30" s="90">
        <v>7.5</v>
      </c>
      <c r="AB30" s="90">
        <v>7.5</v>
      </c>
      <c r="AC30" s="90">
        <v>7.5</v>
      </c>
      <c r="AD30" s="65">
        <v>75</v>
      </c>
      <c r="AE30" s="65">
        <v>75</v>
      </c>
      <c r="AF30" s="65">
        <v>75</v>
      </c>
      <c r="AG30" s="65">
        <v>75</v>
      </c>
      <c r="AH30" s="65">
        <v>75</v>
      </c>
      <c r="AI30" s="90"/>
      <c r="AJ30" s="90"/>
      <c r="AK30" s="65">
        <v>75</v>
      </c>
      <c r="AL30" s="65">
        <v>75</v>
      </c>
      <c r="AM30" s="65">
        <v>75</v>
      </c>
      <c r="AN30" s="65">
        <v>75</v>
      </c>
      <c r="AO30" s="65">
        <v>75</v>
      </c>
      <c r="AP30" s="65">
        <v>75</v>
      </c>
      <c r="AQ30" s="65">
        <v>75</v>
      </c>
      <c r="AR30" s="90">
        <v>7.5</v>
      </c>
    </row>
    <row r="31" spans="1:44" x14ac:dyDescent="0.25">
      <c r="A31" s="1"/>
      <c r="B31" s="1" t="s">
        <v>262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65">
        <v>75</v>
      </c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89">
        <v>1750</v>
      </c>
      <c r="AQ31" s="90"/>
      <c r="AR31" s="90"/>
    </row>
    <row r="32" spans="1:44" x14ac:dyDescent="0.25">
      <c r="A32" s="1"/>
      <c r="B32" s="1" t="s">
        <v>263</v>
      </c>
      <c r="C32" s="90">
        <v>7.1438561897747199</v>
      </c>
      <c r="D32" s="90">
        <v>7.1438561897747199</v>
      </c>
      <c r="E32" s="90">
        <v>7.1438561897747199</v>
      </c>
      <c r="F32" s="90">
        <v>7.1438561897747199</v>
      </c>
      <c r="G32" s="90">
        <v>3.82192809488736</v>
      </c>
      <c r="H32" s="90">
        <v>7.1438561897747199</v>
      </c>
      <c r="I32" s="90">
        <v>3.82192809488736</v>
      </c>
      <c r="J32" s="90">
        <v>8.8048202372184097</v>
      </c>
      <c r="K32" s="90">
        <v>7.1438561897747199</v>
      </c>
      <c r="L32" s="90">
        <v>1.5</v>
      </c>
      <c r="M32" s="90">
        <v>7.1438561897747199</v>
      </c>
      <c r="N32" s="90">
        <v>7.1438561897747199</v>
      </c>
      <c r="O32" s="90">
        <v>8.8048202372184097</v>
      </c>
      <c r="P32" s="90">
        <v>7.1438561897747199</v>
      </c>
      <c r="Q32" s="90">
        <v>7.1438561897747199</v>
      </c>
      <c r="R32" s="90">
        <v>7.1438561897747199</v>
      </c>
      <c r="S32" s="90">
        <v>7.1438561897747199</v>
      </c>
      <c r="T32" s="90">
        <v>7.1438561897747199</v>
      </c>
      <c r="U32" s="90">
        <v>7.1438561897747199</v>
      </c>
      <c r="V32" s="90">
        <v>-0.29248125036057798</v>
      </c>
      <c r="W32" s="90">
        <v>8.8048202372184097</v>
      </c>
      <c r="X32" s="90">
        <v>3.82192809488736</v>
      </c>
      <c r="Y32" s="90">
        <v>3.82192809488736</v>
      </c>
      <c r="Z32" s="90">
        <v>3.82192809488736</v>
      </c>
      <c r="AA32" s="90">
        <v>3.82192809488736</v>
      </c>
      <c r="AB32" s="90">
        <v>3.82192809488736</v>
      </c>
      <c r="AC32" s="90">
        <v>3.82192809488736</v>
      </c>
      <c r="AD32" s="90">
        <v>7.1438561897747199</v>
      </c>
      <c r="AE32" s="90">
        <v>7.1438561897747199</v>
      </c>
      <c r="AF32" s="90">
        <v>7.1438561897747199</v>
      </c>
      <c r="AG32" s="90">
        <v>7.1438561897747199</v>
      </c>
      <c r="AH32" s="90">
        <v>7.1438561897747199</v>
      </c>
      <c r="AI32" s="90">
        <v>7.1438561897747199</v>
      </c>
      <c r="AJ32" s="90">
        <v>8.8048202372184097</v>
      </c>
      <c r="AK32" s="90">
        <v>7.1438561897747199</v>
      </c>
      <c r="AL32" s="90">
        <v>7.1438561897747199</v>
      </c>
      <c r="AM32" s="90">
        <v>7.1438561897747199</v>
      </c>
      <c r="AN32" s="90">
        <v>7.1438561897747199</v>
      </c>
      <c r="AO32" s="90">
        <v>7.1438561897747199</v>
      </c>
      <c r="AP32" s="90">
        <v>7.1438561897747199</v>
      </c>
      <c r="AQ32" s="90">
        <v>7.1438561897747199</v>
      </c>
      <c r="AR32" s="90">
        <v>3.82192809488736</v>
      </c>
    </row>
    <row r="33" spans="1:46" x14ac:dyDescent="0.25">
      <c r="A33" s="1"/>
      <c r="B33" s="1" t="s">
        <v>264</v>
      </c>
      <c r="C33" s="90">
        <v>3.82192809488736</v>
      </c>
      <c r="D33" s="90">
        <v>3.82192809488736</v>
      </c>
      <c r="E33" s="90">
        <v>3.82192809488736</v>
      </c>
      <c r="F33" s="90">
        <v>3.82192809488736</v>
      </c>
      <c r="G33" s="90">
        <v>7.1438561897747199</v>
      </c>
      <c r="H33" s="90">
        <v>3.82192809488736</v>
      </c>
      <c r="I33" s="90">
        <v>7.1438561897747199</v>
      </c>
      <c r="J33" s="90"/>
      <c r="K33" s="90">
        <v>3.82192809488736</v>
      </c>
      <c r="L33" s="90">
        <v>8.8048202372184097</v>
      </c>
      <c r="M33" s="90">
        <v>3.82192809488736</v>
      </c>
      <c r="N33" s="90">
        <v>3.82192809488736</v>
      </c>
      <c r="O33" s="90"/>
      <c r="P33" s="90">
        <v>3.82192809488736</v>
      </c>
      <c r="Q33" s="90">
        <v>3.82192809488736</v>
      </c>
      <c r="R33" s="90">
        <v>3.82192809488736</v>
      </c>
      <c r="S33" s="90">
        <v>3.82192809488736</v>
      </c>
      <c r="T33" s="90">
        <v>3.82192809488736</v>
      </c>
      <c r="U33" s="90">
        <v>3.82192809488736</v>
      </c>
      <c r="V33" s="90">
        <v>7.1438561897747199</v>
      </c>
      <c r="W33" s="90"/>
      <c r="X33" s="90">
        <v>7.1438561897747199</v>
      </c>
      <c r="Y33" s="90">
        <v>7.1438561897747199</v>
      </c>
      <c r="Z33" s="90">
        <v>7.1438561897747199</v>
      </c>
      <c r="AA33" s="90">
        <v>7.1438561897747199</v>
      </c>
      <c r="AB33" s="90">
        <v>7.1438561897747199</v>
      </c>
      <c r="AC33" s="90">
        <v>7.1438561897747199</v>
      </c>
      <c r="AD33" s="90">
        <v>3.82192809488736</v>
      </c>
      <c r="AE33" s="90">
        <v>3.82192809488736</v>
      </c>
      <c r="AF33" s="90">
        <v>3.82192809488736</v>
      </c>
      <c r="AG33" s="90">
        <v>3.82192809488736</v>
      </c>
      <c r="AH33" s="90">
        <v>3.82192809488736</v>
      </c>
      <c r="AI33" s="90"/>
      <c r="AJ33" s="90"/>
      <c r="AK33" s="90">
        <v>3.82192809488736</v>
      </c>
      <c r="AL33" s="90">
        <v>3.82192809488736</v>
      </c>
      <c r="AM33" s="90">
        <v>3.82192809488736</v>
      </c>
      <c r="AN33" s="90">
        <v>3.82192809488736</v>
      </c>
      <c r="AO33" s="90">
        <v>3.82192809488736</v>
      </c>
      <c r="AP33" s="90">
        <v>3.82192809488736</v>
      </c>
      <c r="AQ33" s="90">
        <v>3.82192809488736</v>
      </c>
      <c r="AR33" s="90">
        <v>7.1438561897747199</v>
      </c>
    </row>
    <row r="34" spans="1:46" x14ac:dyDescent="0.25">
      <c r="A34" s="1"/>
      <c r="B34" s="1" t="s">
        <v>265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>
        <v>3.82192809488736</v>
      </c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>
        <v>-0.79248125036057804</v>
      </c>
      <c r="AQ34" s="90"/>
      <c r="AR34" s="90"/>
    </row>
    <row r="35" spans="1:46" s="112" customFormat="1" x14ac:dyDescent="0.25">
      <c r="A35" s="114"/>
      <c r="B35" s="112" t="s">
        <v>138</v>
      </c>
      <c r="C35" s="114">
        <v>3.4722390158463701</v>
      </c>
      <c r="D35" s="114">
        <v>3.9494329493215399</v>
      </c>
      <c r="E35" s="114">
        <v>5</v>
      </c>
      <c r="F35" s="114">
        <v>5.0723471394270696</v>
      </c>
      <c r="G35" s="114">
        <v>5.94161503256601</v>
      </c>
      <c r="H35" s="114">
        <v>4.7710245874077497</v>
      </c>
      <c r="I35" s="114">
        <v>5.2746648562405296</v>
      </c>
      <c r="J35" s="114">
        <v>1.1596033395498699</v>
      </c>
      <c r="K35" s="114">
        <v>5.0432925172521097</v>
      </c>
      <c r="L35" s="114">
        <v>2.18749593157199</v>
      </c>
      <c r="M35" s="114">
        <v>2.9348562245614098</v>
      </c>
      <c r="N35" s="114">
        <v>3.1208410218822902</v>
      </c>
      <c r="O35" s="114">
        <v>1.0407593453378501</v>
      </c>
      <c r="P35" s="114">
        <v>2.2452207006804699</v>
      </c>
      <c r="Q35" s="114">
        <v>1.8570971224045201</v>
      </c>
      <c r="R35" s="114">
        <v>2.5507826661043298</v>
      </c>
      <c r="S35" s="114">
        <v>3.1995957601357699</v>
      </c>
      <c r="T35" s="114">
        <v>4.4380730712971204</v>
      </c>
      <c r="U35" s="114">
        <v>1.9756867113654699</v>
      </c>
      <c r="V35" s="114">
        <v>5.8615649460257302</v>
      </c>
      <c r="W35" s="114">
        <v>1.0528846955565401</v>
      </c>
      <c r="X35" s="114">
        <v>5.2850902028068996</v>
      </c>
      <c r="Y35" s="114">
        <v>3.7224211194916799</v>
      </c>
      <c r="Z35" s="114">
        <v>5.05942540837155</v>
      </c>
      <c r="AA35" s="114">
        <v>5.0521523844841596</v>
      </c>
      <c r="AB35" s="114">
        <v>5.0909667939114396</v>
      </c>
      <c r="AC35" s="114">
        <v>5.09369935189084</v>
      </c>
      <c r="AD35" s="114">
        <v>5.0163359738446998</v>
      </c>
      <c r="AE35" s="114">
        <v>3.5317705708744498</v>
      </c>
      <c r="AF35" s="114">
        <v>1.5897680011226301</v>
      </c>
      <c r="AG35" s="114">
        <v>2.8921785771588802</v>
      </c>
      <c r="AH35" s="114">
        <v>1.4772271255621601</v>
      </c>
      <c r="AI35" s="114">
        <v>1.33069190689702</v>
      </c>
      <c r="AJ35" s="114">
        <v>1.1275430226976499</v>
      </c>
      <c r="AK35" s="114">
        <v>1.4258220089309399</v>
      </c>
      <c r="AL35" s="114">
        <v>2.61129300269377</v>
      </c>
      <c r="AM35" s="114">
        <v>3.70056720914542</v>
      </c>
      <c r="AN35" s="114">
        <v>5.0180362755753096</v>
      </c>
      <c r="AO35" s="114">
        <v>1.3937412483618901</v>
      </c>
      <c r="AP35" s="114">
        <v>5.11466012796628</v>
      </c>
      <c r="AQ35" s="114">
        <v>4.9209563101499096</v>
      </c>
      <c r="AR35" s="114">
        <v>4.2628760656184097</v>
      </c>
    </row>
    <row r="36" spans="1:46" s="112" customFormat="1" x14ac:dyDescent="0.25">
      <c r="A36" s="114"/>
      <c r="B36" s="112" t="s">
        <v>139</v>
      </c>
      <c r="C36" s="114">
        <v>9.3193748401284893</v>
      </c>
      <c r="D36" s="114">
        <v>8.2745640980097299</v>
      </c>
      <c r="E36" s="113">
        <v>10.452073923080301</v>
      </c>
      <c r="F36" s="113">
        <v>11.9689916482415</v>
      </c>
      <c r="G36" s="113">
        <v>53.876333468278702</v>
      </c>
      <c r="H36" s="113">
        <v>12.0284501488249</v>
      </c>
      <c r="I36" s="113">
        <v>21.0050130342667</v>
      </c>
      <c r="J36" s="114">
        <v>3.06203970264351</v>
      </c>
      <c r="K36" s="113">
        <v>10.387501570760801</v>
      </c>
      <c r="L36" s="114">
        <v>2.6838999491775999</v>
      </c>
      <c r="M36" s="114">
        <v>9.1193005171275701</v>
      </c>
      <c r="N36" s="114">
        <v>9.8683057256142508</v>
      </c>
      <c r="O36" s="114">
        <v>2.22757631121226</v>
      </c>
      <c r="P36" s="114">
        <v>7.66483441562516</v>
      </c>
      <c r="Q36" s="114">
        <v>7.7720314088546001</v>
      </c>
      <c r="R36" s="114">
        <v>8.7378654640745008</v>
      </c>
      <c r="S36" s="114">
        <v>8.83230365501392</v>
      </c>
      <c r="T36" s="114">
        <v>8.5541923743533896</v>
      </c>
      <c r="U36" s="114">
        <v>7.1678275989779898</v>
      </c>
      <c r="V36" s="115">
        <v>646.38976090071003</v>
      </c>
      <c r="W36" s="114">
        <v>2.3264890464146499</v>
      </c>
      <c r="X36" s="113">
        <v>52.364706141031299</v>
      </c>
      <c r="Y36" s="113">
        <v>14.1070097480572</v>
      </c>
      <c r="Z36" s="113">
        <v>15.9964523597179</v>
      </c>
      <c r="AA36" s="113">
        <v>19.1412746152122</v>
      </c>
      <c r="AB36" s="113">
        <v>17.148625257023799</v>
      </c>
      <c r="AC36" s="113">
        <v>19.494571560673599</v>
      </c>
      <c r="AD36" s="114">
        <v>9.6318334636802305</v>
      </c>
      <c r="AE36" s="113">
        <v>10.889408608361601</v>
      </c>
      <c r="AF36" s="114">
        <v>7.90552763988486</v>
      </c>
      <c r="AG36" s="114">
        <v>9.2407121805441896</v>
      </c>
      <c r="AH36" s="114">
        <v>7.5836355481926701</v>
      </c>
      <c r="AI36" s="114">
        <v>4.7373245652657001</v>
      </c>
      <c r="AJ36" s="114">
        <v>2.7434964020872199</v>
      </c>
      <c r="AK36" s="114">
        <v>5.5460507005039297</v>
      </c>
      <c r="AL36" s="114">
        <v>7.7739044527550902</v>
      </c>
      <c r="AM36" s="114">
        <v>9.4281625919189693</v>
      </c>
      <c r="AN36" s="113">
        <v>11.514628979460699</v>
      </c>
      <c r="AO36" s="114">
        <v>5.4002986944615303</v>
      </c>
      <c r="AP36" s="114">
        <v>9.7758206310926994</v>
      </c>
      <c r="AQ36" s="114">
        <v>9.8812031388805206</v>
      </c>
      <c r="AR36" s="113">
        <v>14.145125223383999</v>
      </c>
      <c r="AS36" s="114">
        <f>AVERAGE(C36:AR36)</f>
        <v>26.813535769132859</v>
      </c>
      <c r="AT36" s="114"/>
    </row>
    <row r="37" spans="1:46" s="112" customFormat="1" x14ac:dyDescent="0.25">
      <c r="A37" s="114"/>
      <c r="B37" s="112" t="s">
        <v>140</v>
      </c>
      <c r="C37" s="113">
        <v>77.791323604830396</v>
      </c>
      <c r="D37" s="113">
        <v>74.077102130202704</v>
      </c>
      <c r="E37" s="113">
        <v>80.686682401987198</v>
      </c>
      <c r="F37" s="113">
        <v>80.793307201457296</v>
      </c>
      <c r="G37" s="113">
        <v>94.653759075901604</v>
      </c>
      <c r="H37" s="113">
        <v>81.576835793896706</v>
      </c>
      <c r="I37" s="113">
        <v>84.163641703906094</v>
      </c>
      <c r="J37" s="114">
        <v>8.6764736841597703</v>
      </c>
      <c r="K37" s="113">
        <v>85.967883213515293</v>
      </c>
      <c r="L37" s="115">
        <v>396.85026299204998</v>
      </c>
      <c r="M37" s="113">
        <v>78.804907952005195</v>
      </c>
      <c r="N37" s="113">
        <v>80.135376651469599</v>
      </c>
      <c r="O37" s="114">
        <v>4.7677652326659796</v>
      </c>
      <c r="P37" s="113">
        <v>68.611472734116802</v>
      </c>
      <c r="Q37" s="113">
        <v>70.338466481757294</v>
      </c>
      <c r="R37" s="113">
        <v>75.701488569899396</v>
      </c>
      <c r="S37" s="113">
        <v>76.198956032594197</v>
      </c>
      <c r="T37" s="113">
        <v>71.073771505348702</v>
      </c>
      <c r="U37" s="113">
        <v>63.569437543060303</v>
      </c>
      <c r="V37" s="115">
        <v>1549.1842748389099</v>
      </c>
      <c r="W37" s="114">
        <v>5.4442567756274798</v>
      </c>
      <c r="X37" s="115">
        <v>120.112443398143</v>
      </c>
      <c r="Y37" s="113">
        <v>86.326702569652596</v>
      </c>
      <c r="Z37" s="113">
        <v>83.102859635595294</v>
      </c>
      <c r="AA37" s="113">
        <v>84.5780237453951</v>
      </c>
      <c r="AB37" s="113">
        <v>83.236840971432102</v>
      </c>
      <c r="AC37" s="113">
        <v>84.536896891122197</v>
      </c>
      <c r="AD37" s="113">
        <v>77.791323604830396</v>
      </c>
      <c r="AE37" s="113">
        <v>81.625995778160402</v>
      </c>
      <c r="AF37" s="113">
        <v>74.549531256173793</v>
      </c>
      <c r="AG37" s="113">
        <v>79.245821950099895</v>
      </c>
      <c r="AH37" s="113">
        <v>72.222308087572102</v>
      </c>
      <c r="AI37" s="114">
        <v>9.8251729451025707</v>
      </c>
      <c r="AJ37" s="114">
        <v>7.7435550462845901</v>
      </c>
      <c r="AK37" s="113">
        <v>25.084845531135201</v>
      </c>
      <c r="AL37" s="113">
        <v>68.611472734116802</v>
      </c>
      <c r="AM37" s="113">
        <v>78.139726655494101</v>
      </c>
      <c r="AN37" s="113">
        <v>80.686682401987198</v>
      </c>
      <c r="AO37" s="113">
        <v>23.938799936901599</v>
      </c>
      <c r="AP37" s="115">
        <v>1009.4740181746999</v>
      </c>
      <c r="AQ37" s="113">
        <v>78.869218177675805</v>
      </c>
      <c r="AR37" s="113">
        <v>82.397381220470905</v>
      </c>
    </row>
    <row r="38" spans="1:46" x14ac:dyDescent="0.25">
      <c r="A38" s="90"/>
      <c r="B38" s="1" t="s">
        <v>141</v>
      </c>
      <c r="C38" s="65">
        <v>22.403792840818699</v>
      </c>
      <c r="D38" s="65">
        <v>18.756389355319499</v>
      </c>
      <c r="E38" s="65">
        <v>16.137336480397401</v>
      </c>
      <c r="F38" s="65">
        <v>15.928189648822601</v>
      </c>
      <c r="G38" s="65">
        <v>15.9306448763685</v>
      </c>
      <c r="H38" s="65">
        <v>17.098389308075198</v>
      </c>
      <c r="I38" s="65">
        <v>15.9562065074771</v>
      </c>
      <c r="J38" s="90">
        <v>7.4822772479491002</v>
      </c>
      <c r="K38" s="65">
        <v>17.0459839320119</v>
      </c>
      <c r="L38" s="89">
        <v>181.417600492113</v>
      </c>
      <c r="M38" s="65">
        <v>26.851369171851701</v>
      </c>
      <c r="N38" s="65">
        <v>25.677494011898499</v>
      </c>
      <c r="O38" s="90">
        <v>4.5810448438666604</v>
      </c>
      <c r="P38" s="65">
        <v>30.558899048687</v>
      </c>
      <c r="Q38" s="65">
        <v>37.875491611706799</v>
      </c>
      <c r="R38" s="65">
        <v>29.6777493338992</v>
      </c>
      <c r="S38" s="65">
        <v>23.815182212068201</v>
      </c>
      <c r="T38" s="65">
        <v>16.014556399490701</v>
      </c>
      <c r="U38" s="65">
        <v>32.175869371073098</v>
      </c>
      <c r="V38" s="89">
        <v>264.29533564910798</v>
      </c>
      <c r="W38" s="90">
        <v>5.1708005621163604</v>
      </c>
      <c r="X38" s="65">
        <v>22.7266591087417</v>
      </c>
      <c r="Y38" s="65">
        <v>23.1910092379449</v>
      </c>
      <c r="Z38" s="65">
        <v>16.425355238579002</v>
      </c>
      <c r="AA38" s="65">
        <v>16.740988257825599</v>
      </c>
      <c r="AB38" s="65">
        <v>16.349908443908799</v>
      </c>
      <c r="AC38" s="65">
        <v>16.596365637430299</v>
      </c>
      <c r="AD38" s="65">
        <v>15.507598376671</v>
      </c>
      <c r="AE38" s="65">
        <v>23.111919118220101</v>
      </c>
      <c r="AF38" s="65">
        <v>46.893339910936703</v>
      </c>
      <c r="AG38" s="65">
        <v>27.400044580907899</v>
      </c>
      <c r="AH38" s="65">
        <v>48.890456205296097</v>
      </c>
      <c r="AI38" s="90">
        <v>7.38350695166808</v>
      </c>
      <c r="AJ38" s="90">
        <v>6.8676359929558597</v>
      </c>
      <c r="AK38" s="65">
        <v>17.593251734094999</v>
      </c>
      <c r="AL38" s="65">
        <v>26.274903912865501</v>
      </c>
      <c r="AM38" s="65">
        <v>21.115608024192401</v>
      </c>
      <c r="AN38" s="65">
        <v>16.079334219786301</v>
      </c>
      <c r="AO38" s="65">
        <v>17.175928433658498</v>
      </c>
      <c r="AP38" s="89">
        <v>197.368738668486</v>
      </c>
      <c r="AQ38" s="65">
        <v>16.027213656622202</v>
      </c>
      <c r="AR38" s="65">
        <v>19.329058586768401</v>
      </c>
    </row>
    <row r="39" spans="1:46" x14ac:dyDescent="0.25">
      <c r="A39" s="90"/>
      <c r="B39" s="1" t="s">
        <v>142</v>
      </c>
      <c r="C39" s="65">
        <v>74.319084588984097</v>
      </c>
      <c r="D39" s="65">
        <v>70.127669180881199</v>
      </c>
      <c r="E39" s="65">
        <v>75.686682401987198</v>
      </c>
      <c r="F39" s="65">
        <v>75.720960062030201</v>
      </c>
      <c r="G39" s="65">
        <v>88.712144043335599</v>
      </c>
      <c r="H39" s="65">
        <v>76.805811206488997</v>
      </c>
      <c r="I39" s="65">
        <v>78.888976847665504</v>
      </c>
      <c r="J39" s="90">
        <v>7.5168703446098997</v>
      </c>
      <c r="K39" s="65">
        <v>80.924590696263195</v>
      </c>
      <c r="L39" s="89">
        <v>394.66276706047802</v>
      </c>
      <c r="M39" s="65">
        <v>75.870051727443794</v>
      </c>
      <c r="N39" s="65">
        <v>77.0145356295873</v>
      </c>
      <c r="O39" s="90">
        <v>3.72700588732814</v>
      </c>
      <c r="P39" s="65">
        <v>66.366252033436297</v>
      </c>
      <c r="Q39" s="65">
        <v>68.481369359352797</v>
      </c>
      <c r="R39" s="65">
        <v>73.150705903795</v>
      </c>
      <c r="S39" s="65">
        <v>72.999360272458404</v>
      </c>
      <c r="T39" s="65">
        <v>66.635698434051605</v>
      </c>
      <c r="U39" s="65">
        <v>61.593750831694898</v>
      </c>
      <c r="V39" s="89">
        <v>1543.3227098928901</v>
      </c>
      <c r="W39" s="90">
        <v>4.3913720800709397</v>
      </c>
      <c r="X39" s="89">
        <v>114.827353195336</v>
      </c>
      <c r="Y39" s="65">
        <v>82.604281450160897</v>
      </c>
      <c r="Z39" s="65">
        <v>78.043434227223699</v>
      </c>
      <c r="AA39" s="65">
        <v>79.525871360910898</v>
      </c>
      <c r="AB39" s="65">
        <v>78.145874177520597</v>
      </c>
      <c r="AC39" s="65">
        <v>79.443197539231306</v>
      </c>
      <c r="AD39" s="65">
        <v>72.774987630985706</v>
      </c>
      <c r="AE39" s="65">
        <v>78.094225207286001</v>
      </c>
      <c r="AF39" s="65">
        <v>72.9597632550512</v>
      </c>
      <c r="AG39" s="65">
        <v>76.353643372941093</v>
      </c>
      <c r="AH39" s="65">
        <v>70.745080962009894</v>
      </c>
      <c r="AI39" s="90">
        <v>8.4944810382055493</v>
      </c>
      <c r="AJ39" s="90">
        <v>6.6160120235869497</v>
      </c>
      <c r="AK39" s="65">
        <v>23.659023522204201</v>
      </c>
      <c r="AL39" s="65">
        <v>66.000179731423003</v>
      </c>
      <c r="AM39" s="65">
        <v>74.439159446348697</v>
      </c>
      <c r="AN39" s="65">
        <v>75.6686461264119</v>
      </c>
      <c r="AO39" s="65">
        <v>22.545058688539701</v>
      </c>
      <c r="AP39" s="89">
        <v>1004.35935804674</v>
      </c>
      <c r="AQ39" s="65">
        <v>73.9482618675259</v>
      </c>
      <c r="AR39" s="65">
        <v>78.134505154852505</v>
      </c>
    </row>
    <row r="40" spans="1:46" x14ac:dyDescent="0.25">
      <c r="A40" s="90"/>
      <c r="B40" s="1" t="s">
        <v>143</v>
      </c>
      <c r="C40" s="90">
        <v>8.71289879276787</v>
      </c>
      <c r="D40" s="90">
        <v>6.5733240479628003</v>
      </c>
      <c r="E40" s="90">
        <v>8.9891671234993495</v>
      </c>
      <c r="F40" s="90">
        <v>8.8358620868108702</v>
      </c>
      <c r="G40" s="90">
        <v>8.2539110490808891</v>
      </c>
      <c r="H40" s="90">
        <v>9.1393923271199498</v>
      </c>
      <c r="I40" s="90">
        <v>9.0019108531928094</v>
      </c>
      <c r="J40" s="90">
        <v>3.4241471161672701</v>
      </c>
      <c r="K40" s="90">
        <v>9.8034970102785408</v>
      </c>
      <c r="L40" s="89">
        <v>243.33979247435099</v>
      </c>
      <c r="M40" s="90">
        <v>9.2637096664204002</v>
      </c>
      <c r="N40" s="90">
        <v>9.3527578949624601</v>
      </c>
      <c r="O40" s="90">
        <v>2.5888258676540001</v>
      </c>
      <c r="P40" s="90">
        <v>4.0517958115113597</v>
      </c>
      <c r="Q40" s="90">
        <v>5.2531090294133698</v>
      </c>
      <c r="R40" s="90">
        <v>8.6414252322988592</v>
      </c>
      <c r="S40" s="90">
        <v>8.5006177301562893</v>
      </c>
      <c r="T40" s="90">
        <v>5.4450809439679402</v>
      </c>
      <c r="U40" s="90">
        <v>2.1205055221319902</v>
      </c>
      <c r="V40" s="89">
        <v>123.44821446932301</v>
      </c>
      <c r="W40" s="90">
        <v>2.6940164855078601</v>
      </c>
      <c r="X40" s="65">
        <v>10.027421119621399</v>
      </c>
      <c r="Y40" s="65">
        <v>10.0401412546309</v>
      </c>
      <c r="Z40" s="90">
        <v>9.2086965129604401</v>
      </c>
      <c r="AA40" s="90">
        <v>9.3866273237609601</v>
      </c>
      <c r="AB40" s="90">
        <v>9.1680513306264704</v>
      </c>
      <c r="AC40" s="90">
        <v>9.3418858011058195</v>
      </c>
      <c r="AD40" s="90">
        <v>8.3309668349648103</v>
      </c>
      <c r="AE40" s="90">
        <v>9.4960637248189403</v>
      </c>
      <c r="AF40" s="90">
        <v>8.0962455031485003</v>
      </c>
      <c r="AG40" s="90">
        <v>9.3482462723746096</v>
      </c>
      <c r="AH40" s="90">
        <v>6.1131544797646402</v>
      </c>
      <c r="AI40" s="90">
        <v>3.5202206313788098</v>
      </c>
      <c r="AJ40" s="90">
        <v>3.0388837819986301</v>
      </c>
      <c r="AK40" s="90">
        <v>3.3303722312528699</v>
      </c>
      <c r="AL40" s="90">
        <v>3.8556664114749402</v>
      </c>
      <c r="AM40" s="90">
        <v>8.7179924386274905</v>
      </c>
      <c r="AN40" s="90">
        <v>8.8958292213529706</v>
      </c>
      <c r="AO40" s="90">
        <v>3.4271840561846001</v>
      </c>
      <c r="AP40" s="90">
        <v>7.2733587372963999</v>
      </c>
      <c r="AQ40" s="90">
        <v>8.5668726204781205</v>
      </c>
      <c r="AR40" s="90">
        <v>9.3596930358750896</v>
      </c>
    </row>
    <row r="41" spans="1:46" x14ac:dyDescent="0.25">
      <c r="A41" s="90"/>
      <c r="B41" s="1" t="s">
        <v>144</v>
      </c>
      <c r="C41" s="65">
        <v>47.247938655937901</v>
      </c>
      <c r="D41" s="65">
        <v>33.193711580832698</v>
      </c>
      <c r="E41" s="65">
        <v>51.974066614634197</v>
      </c>
      <c r="F41" s="65">
        <v>52.032694934471699</v>
      </c>
      <c r="G41" s="65">
        <v>67.339962467269302</v>
      </c>
      <c r="H41" s="65">
        <v>53.364433724695701</v>
      </c>
      <c r="I41" s="65">
        <v>57.461663098420203</v>
      </c>
      <c r="J41" s="90">
        <v>4.0458189116358403</v>
      </c>
      <c r="K41" s="65">
        <v>57.503463672579699</v>
      </c>
      <c r="L41" s="89">
        <v>256.26808493298603</v>
      </c>
      <c r="M41" s="65">
        <v>49.178273772381203</v>
      </c>
      <c r="N41" s="65">
        <v>51.3394140345886</v>
      </c>
      <c r="O41" s="90">
        <v>2.19966970257456</v>
      </c>
      <c r="P41" s="65">
        <v>16.423719431719601</v>
      </c>
      <c r="Q41" s="65">
        <v>22.294682548647501</v>
      </c>
      <c r="R41" s="65">
        <v>43.799731869738302</v>
      </c>
      <c r="S41" s="65">
        <v>44.721781856872902</v>
      </c>
      <c r="T41" s="65">
        <v>26.997804715236398</v>
      </c>
      <c r="U41" s="90">
        <v>5.7179167627462304</v>
      </c>
      <c r="V41" s="89">
        <v>1156.3698743474199</v>
      </c>
      <c r="W41" s="90">
        <v>2.4011457357632899</v>
      </c>
      <c r="X41" s="65">
        <v>72.315951312451006</v>
      </c>
      <c r="Y41" s="65">
        <v>58.369770508295197</v>
      </c>
      <c r="Z41" s="65">
        <v>55.802701535346998</v>
      </c>
      <c r="AA41" s="65">
        <v>57.843810935578198</v>
      </c>
      <c r="AB41" s="65">
        <v>56.1594771800956</v>
      </c>
      <c r="AC41" s="65">
        <v>57.900983257444103</v>
      </c>
      <c r="AD41" s="65">
        <v>46.967100684991799</v>
      </c>
      <c r="AE41" s="65">
        <v>53.6919824889344</v>
      </c>
      <c r="AF41" s="65">
        <v>36.648114336312702</v>
      </c>
      <c r="AG41" s="65">
        <v>49.747972094462497</v>
      </c>
      <c r="AH41" s="65">
        <v>25.565772398823199</v>
      </c>
      <c r="AI41" s="90">
        <v>5.3989827186368302</v>
      </c>
      <c r="AJ41" s="90">
        <v>3.2087791028256101</v>
      </c>
      <c r="AK41" s="90">
        <v>5.8177041639147902</v>
      </c>
      <c r="AL41" s="65">
        <v>15.938626015989399</v>
      </c>
      <c r="AM41" s="65">
        <v>47.782358228094402</v>
      </c>
      <c r="AN41" s="65">
        <v>51.905808106640997</v>
      </c>
      <c r="AO41" s="90">
        <v>5.8125200217486999</v>
      </c>
      <c r="AP41" s="65">
        <v>40.908925220613597</v>
      </c>
      <c r="AQ41" s="65">
        <v>48.793610269988299</v>
      </c>
      <c r="AR41" s="65">
        <v>55.044286612920999</v>
      </c>
    </row>
    <row r="42" spans="1:46" x14ac:dyDescent="0.25">
      <c r="A42" s="1"/>
      <c r="B42" s="1" t="s">
        <v>266</v>
      </c>
      <c r="C42" s="90">
        <v>3.6842469354670699</v>
      </c>
      <c r="D42" s="90">
        <v>3.7548285277878</v>
      </c>
      <c r="E42" s="90">
        <v>3.63152561810718</v>
      </c>
      <c r="F42" s="90">
        <v>3.6296204025796701</v>
      </c>
      <c r="G42" s="90">
        <v>3.4011963875702902</v>
      </c>
      <c r="H42" s="90">
        <v>3.6156966408814299</v>
      </c>
      <c r="I42" s="90">
        <v>3.5706590593543699</v>
      </c>
      <c r="J42" s="90">
        <v>6.8486754668831598</v>
      </c>
      <c r="K42" s="90">
        <v>3.5400584065020899</v>
      </c>
      <c r="L42" s="90">
        <v>1.3333333333333299</v>
      </c>
      <c r="M42" s="90">
        <v>3.6655707065712102</v>
      </c>
      <c r="N42" s="90">
        <v>3.6414169127787401</v>
      </c>
      <c r="O42" s="90">
        <v>7.7124710861957499</v>
      </c>
      <c r="P42" s="90">
        <v>3.8654063557569298</v>
      </c>
      <c r="Q42" s="90">
        <v>3.8295423080853301</v>
      </c>
      <c r="R42" s="90">
        <v>3.72353452059017</v>
      </c>
      <c r="S42" s="90">
        <v>3.7140849576324602</v>
      </c>
      <c r="T42" s="90">
        <v>3.8145389323257901</v>
      </c>
      <c r="U42" s="90">
        <v>3.9755228661291899</v>
      </c>
      <c r="V42" s="90">
        <v>-0.63150876232252195</v>
      </c>
      <c r="W42" s="90">
        <v>7.5210491722308603</v>
      </c>
      <c r="X42" s="90">
        <v>3.0575424759098899</v>
      </c>
      <c r="Y42" s="90">
        <v>3.5340493070085701</v>
      </c>
      <c r="Z42" s="90">
        <v>3.5889580676394099</v>
      </c>
      <c r="AA42" s="90">
        <v>3.5635733391033</v>
      </c>
      <c r="AB42" s="90">
        <v>3.5866339772403002</v>
      </c>
      <c r="AC42" s="90">
        <v>3.5642750336628701</v>
      </c>
      <c r="AD42" s="90">
        <v>3.6842469354670699</v>
      </c>
      <c r="AE42" s="90">
        <v>3.6148275031713899</v>
      </c>
      <c r="AF42" s="90">
        <v>3.74565690844668</v>
      </c>
      <c r="AG42" s="90">
        <v>3.6575213152263499</v>
      </c>
      <c r="AH42" s="90">
        <v>3.7914116629624801</v>
      </c>
      <c r="AI42" s="90">
        <v>6.6693014823955901</v>
      </c>
      <c r="AJ42" s="90">
        <v>7.0127882286096801</v>
      </c>
      <c r="AK42" s="90">
        <v>5.3170401355533796</v>
      </c>
      <c r="AL42" s="90">
        <v>3.8654063557569298</v>
      </c>
      <c r="AM42" s="90">
        <v>3.6777999810083601</v>
      </c>
      <c r="AN42" s="90">
        <v>3.63152561810718</v>
      </c>
      <c r="AO42" s="90">
        <v>5.3845053586493803</v>
      </c>
      <c r="AP42" s="90">
        <v>-1.3603779086537799E-2</v>
      </c>
      <c r="AQ42" s="90">
        <v>3.6643938483120202</v>
      </c>
      <c r="AR42" s="90">
        <v>3.6012577038259099</v>
      </c>
    </row>
    <row r="43" spans="1:46" x14ac:dyDescent="0.25">
      <c r="A43" s="1"/>
      <c r="B43" s="1" t="s">
        <v>267</v>
      </c>
      <c r="C43" s="90">
        <v>6.7455511050289596</v>
      </c>
      <c r="D43" s="90">
        <v>6.9171009715584102</v>
      </c>
      <c r="E43" s="90">
        <v>6.5800669563987002</v>
      </c>
      <c r="F43" s="90">
        <v>6.3845545751172503</v>
      </c>
      <c r="G43" s="90">
        <v>4.2142045176515897</v>
      </c>
      <c r="H43" s="90">
        <v>6.3774054247876499</v>
      </c>
      <c r="I43" s="90">
        <v>5.5731225087126797</v>
      </c>
      <c r="J43" s="90">
        <v>8.3512912956076804</v>
      </c>
      <c r="K43" s="90">
        <v>6.58900749461991</v>
      </c>
      <c r="L43" s="90">
        <v>8.5414533931223904</v>
      </c>
      <c r="M43" s="90">
        <v>6.7768611158830998</v>
      </c>
      <c r="N43" s="90">
        <v>6.6629818728348296</v>
      </c>
      <c r="O43" s="90">
        <v>8.81030942893209</v>
      </c>
      <c r="P43" s="90">
        <v>7.0275296591624796</v>
      </c>
      <c r="Q43" s="90">
        <v>7.0074925534110903</v>
      </c>
      <c r="R43" s="90">
        <v>6.8385033917211997</v>
      </c>
      <c r="S43" s="90">
        <v>6.8229945117701902</v>
      </c>
      <c r="T43" s="90">
        <v>6.8691526324624697</v>
      </c>
      <c r="U43" s="90">
        <v>7.1242483466374704</v>
      </c>
      <c r="V43" s="90">
        <v>0.62952374954326795</v>
      </c>
      <c r="W43" s="90">
        <v>8.7476298900536893</v>
      </c>
      <c r="X43" s="90">
        <v>4.2552614282206997</v>
      </c>
      <c r="Y43" s="90">
        <v>6.1474439763850102</v>
      </c>
      <c r="Z43" s="90">
        <v>5.9661042053211197</v>
      </c>
      <c r="AA43" s="90">
        <v>5.7071692878599398</v>
      </c>
      <c r="AB43" s="90">
        <v>5.8657632643603401</v>
      </c>
      <c r="AC43" s="90">
        <v>5.6807837413271303</v>
      </c>
      <c r="AD43" s="90">
        <v>6.6979738368335502</v>
      </c>
      <c r="AE43" s="90">
        <v>6.5209305847512802</v>
      </c>
      <c r="AF43" s="90">
        <v>6.9829225288410601</v>
      </c>
      <c r="AG43" s="90">
        <v>6.7577802404076399</v>
      </c>
      <c r="AH43" s="90">
        <v>7.0428946513131896</v>
      </c>
      <c r="AI43" s="90">
        <v>7.7217117669208504</v>
      </c>
      <c r="AJ43" s="90">
        <v>8.5097686008514994</v>
      </c>
      <c r="AK43" s="90">
        <v>7.4943234794943496</v>
      </c>
      <c r="AL43" s="90">
        <v>7.0071449087039799</v>
      </c>
      <c r="AM43" s="90">
        <v>6.7288076460854001</v>
      </c>
      <c r="AN43" s="90">
        <v>6.4403882639340804</v>
      </c>
      <c r="AO43" s="90">
        <v>7.5327450786636101</v>
      </c>
      <c r="AP43" s="90">
        <v>6.6765664701485603</v>
      </c>
      <c r="AQ43" s="90">
        <v>6.6610975690850696</v>
      </c>
      <c r="AR43" s="90">
        <v>6.1435512411525899</v>
      </c>
    </row>
    <row r="44" spans="1:46" x14ac:dyDescent="0.25">
      <c r="A44" s="1"/>
      <c r="B44" s="1" t="s">
        <v>268</v>
      </c>
      <c r="C44" s="90">
        <v>8.1699180237726399</v>
      </c>
      <c r="D44" s="90">
        <v>7.9841387554047696</v>
      </c>
      <c r="E44" s="90">
        <v>7.6438561897747199</v>
      </c>
      <c r="F44" s="90">
        <v>7.6231308011736898</v>
      </c>
      <c r="G44" s="90">
        <v>7.3949291511481103</v>
      </c>
      <c r="H44" s="90">
        <v>7.7114851634122203</v>
      </c>
      <c r="I44" s="90">
        <v>7.5667048544631497</v>
      </c>
      <c r="J44" s="90">
        <v>9.7521528913164897</v>
      </c>
      <c r="K44" s="90">
        <v>7.6314183788294496</v>
      </c>
      <c r="L44" s="90">
        <v>8.83650395092004</v>
      </c>
      <c r="M44" s="90">
        <v>8.4124944556684706</v>
      </c>
      <c r="N44" s="90">
        <v>8.3238494175631708</v>
      </c>
      <c r="O44" s="90">
        <v>9.9081477716684301</v>
      </c>
      <c r="P44" s="90">
        <v>8.7989270187034592</v>
      </c>
      <c r="Q44" s="90">
        <v>9.0727350173977204</v>
      </c>
      <c r="R44" s="90">
        <v>8.6148443021821706</v>
      </c>
      <c r="S44" s="90">
        <v>8.2878946394515101</v>
      </c>
      <c r="T44" s="90">
        <v>7.8158508634700796</v>
      </c>
      <c r="U44" s="90">
        <v>8.9834300906712805</v>
      </c>
      <c r="V44" s="90">
        <v>7.4144983916095901</v>
      </c>
      <c r="W44" s="90">
        <v>9.8914368333479601</v>
      </c>
      <c r="X44" s="90">
        <v>7.5638561897747199</v>
      </c>
      <c r="Y44" s="90">
        <v>8.0695430071707399</v>
      </c>
      <c r="Z44" s="90">
        <v>7.6268107352292702</v>
      </c>
      <c r="AA44" s="90">
        <v>7.6288861298944903</v>
      </c>
      <c r="AB44" s="90">
        <v>7.6178446290810804</v>
      </c>
      <c r="AC44" s="90">
        <v>7.61707047548901</v>
      </c>
      <c r="AD44" s="90">
        <v>7.6391503074217804</v>
      </c>
      <c r="AE44" s="90">
        <v>8.1453926582703993</v>
      </c>
      <c r="AF44" s="90">
        <v>9.2969680399391006</v>
      </c>
      <c r="AG44" s="90">
        <v>8.4336276506207692</v>
      </c>
      <c r="AH44" s="90">
        <v>9.4028926252954506</v>
      </c>
      <c r="AI44" s="90">
        <v>9.5536076997708399</v>
      </c>
      <c r="AJ44" s="90">
        <v>9.7926018024467307</v>
      </c>
      <c r="AK44" s="90">
        <v>9.4539903890372603</v>
      </c>
      <c r="AL44" s="90">
        <v>8.5810199389160093</v>
      </c>
      <c r="AM44" s="90">
        <v>8.0780378660544692</v>
      </c>
      <c r="AN44" s="90">
        <v>7.6386613845799198</v>
      </c>
      <c r="AO44" s="90">
        <v>9.48682153863151</v>
      </c>
      <c r="AP44" s="90">
        <v>7.6111459094008902</v>
      </c>
      <c r="AQ44" s="90">
        <v>7.6668455768528201</v>
      </c>
      <c r="AR44" s="90">
        <v>7.8739571721509503</v>
      </c>
    </row>
    <row r="45" spans="1:46" x14ac:dyDescent="0.25">
      <c r="A45" s="1"/>
      <c r="B45" s="1" t="s">
        <v>269</v>
      </c>
      <c r="C45" s="90">
        <v>2.21752726320363</v>
      </c>
      <c r="D45" s="90">
        <v>2.1263657438196599</v>
      </c>
      <c r="E45" s="90">
        <v>2.10486087490658</v>
      </c>
      <c r="F45" s="90">
        <v>2.1002556619297499</v>
      </c>
      <c r="G45" s="90">
        <v>2.1742141024767001</v>
      </c>
      <c r="H45" s="90">
        <v>2.1327799119597399</v>
      </c>
      <c r="I45" s="90">
        <v>2.11913395501595</v>
      </c>
      <c r="J45" s="90">
        <v>1.42394729294345</v>
      </c>
      <c r="K45" s="90">
        <v>2.1557323361706899</v>
      </c>
      <c r="L45" s="90">
        <v>6.62737796319003</v>
      </c>
      <c r="M45" s="90">
        <v>2.29500264190444</v>
      </c>
      <c r="N45" s="90">
        <v>2.28588201157425</v>
      </c>
      <c r="O45" s="90">
        <v>1.2846917234351301</v>
      </c>
      <c r="P45" s="90">
        <v>2.2763265253079599</v>
      </c>
      <c r="Q45" s="90">
        <v>2.36914343477611</v>
      </c>
      <c r="R45" s="90">
        <v>2.31362009793231</v>
      </c>
      <c r="S45" s="90">
        <v>2.23147686011324</v>
      </c>
      <c r="T45" s="90">
        <v>2.0489634532854599</v>
      </c>
      <c r="U45" s="90">
        <v>2.2596851768124999</v>
      </c>
      <c r="V45" s="90">
        <v>-11.7409271794441</v>
      </c>
      <c r="W45" s="90">
        <v>1.3151671537887299</v>
      </c>
      <c r="X45" s="90">
        <v>2.4738351958704401</v>
      </c>
      <c r="Y45" s="90">
        <v>2.2833702379781702</v>
      </c>
      <c r="Z45" s="90">
        <v>2.1250765797455302</v>
      </c>
      <c r="AA45" s="90">
        <v>2.14079672394623</v>
      </c>
      <c r="AB45" s="90">
        <v>2.1239537341757302</v>
      </c>
      <c r="AC45" s="90">
        <v>2.1370602446639002</v>
      </c>
      <c r="AD45" s="90">
        <v>2.0734631639052501</v>
      </c>
      <c r="AE45" s="90">
        <v>2.2533281743386699</v>
      </c>
      <c r="AF45" s="90">
        <v>2.4820661014023702</v>
      </c>
      <c r="AG45" s="90">
        <v>2.3058314425978499</v>
      </c>
      <c r="AH45" s="90">
        <v>2.4800505619451401</v>
      </c>
      <c r="AI45" s="90">
        <v>1.4324750088129501</v>
      </c>
      <c r="AJ45" s="90">
        <v>1.3963920602216999</v>
      </c>
      <c r="AK45" s="90">
        <v>1.7780551111174401</v>
      </c>
      <c r="AL45" s="90">
        <v>2.21995287148424</v>
      </c>
      <c r="AM45" s="90">
        <v>2.1964320810724698</v>
      </c>
      <c r="AN45" s="90">
        <v>2.1034304002958799</v>
      </c>
      <c r="AO45" s="90">
        <v>1.76187428681678</v>
      </c>
      <c r="AP45" s="90">
        <v>-559.48761450653399</v>
      </c>
      <c r="AQ45" s="90">
        <v>2.0922547887106901</v>
      </c>
      <c r="AR45" s="90">
        <v>2.1864464639078198</v>
      </c>
    </row>
    <row r="46" spans="1:46" x14ac:dyDescent="0.25">
      <c r="A46" s="1"/>
      <c r="B46" s="1" t="s">
        <v>270</v>
      </c>
      <c r="C46" s="90">
        <v>4.4856710883055699</v>
      </c>
      <c r="D46" s="90">
        <v>4.2293102276169696</v>
      </c>
      <c r="E46" s="90">
        <v>4.0123305716675501</v>
      </c>
      <c r="F46" s="90">
        <v>3.9935103985940201</v>
      </c>
      <c r="G46" s="90">
        <v>3.9937327635778299</v>
      </c>
      <c r="H46" s="90">
        <v>4.09578852253079</v>
      </c>
      <c r="I46" s="90">
        <v>3.9960457951087802</v>
      </c>
      <c r="J46" s="90">
        <v>2.9034774244333401</v>
      </c>
      <c r="K46" s="90">
        <v>4.0913599723273597</v>
      </c>
      <c r="L46" s="90">
        <v>7.5031706175866999</v>
      </c>
      <c r="M46" s="90">
        <v>4.7469237490972596</v>
      </c>
      <c r="N46" s="90">
        <v>4.6824325047844297</v>
      </c>
      <c r="O46" s="90">
        <v>2.1956766854726801</v>
      </c>
      <c r="P46" s="90">
        <v>4.9335206629465302</v>
      </c>
      <c r="Q46" s="90">
        <v>5.2431927093123898</v>
      </c>
      <c r="R46" s="90">
        <v>4.8913097815919899</v>
      </c>
      <c r="S46" s="90">
        <v>4.5738096818190499</v>
      </c>
      <c r="T46" s="90">
        <v>4.00131193114429</v>
      </c>
      <c r="U46" s="90">
        <v>5.0079072245420901</v>
      </c>
      <c r="V46" s="90">
        <v>8.0460071539321092</v>
      </c>
      <c r="W46" s="90">
        <v>2.3703876611171002</v>
      </c>
      <c r="X46" s="90">
        <v>4.5063137138648397</v>
      </c>
      <c r="Y46" s="90">
        <v>4.5354937001621698</v>
      </c>
      <c r="Z46" s="90">
        <v>4.0378526675898598</v>
      </c>
      <c r="AA46" s="90">
        <v>4.0653127907911797</v>
      </c>
      <c r="AB46" s="90">
        <v>4.0312106518407802</v>
      </c>
      <c r="AC46" s="90">
        <v>4.0527954418261398</v>
      </c>
      <c r="AD46" s="90">
        <v>3.95490337195471</v>
      </c>
      <c r="AE46" s="90">
        <v>4.5305651550990103</v>
      </c>
      <c r="AF46" s="90">
        <v>5.55131113149241</v>
      </c>
      <c r="AG46" s="90">
        <v>4.7761063353944202</v>
      </c>
      <c r="AH46" s="90">
        <v>5.61148096233297</v>
      </c>
      <c r="AI46" s="90">
        <v>2.8843062173752498</v>
      </c>
      <c r="AJ46" s="90">
        <v>2.77981357383706</v>
      </c>
      <c r="AK46" s="90">
        <v>4.1369502534838896</v>
      </c>
      <c r="AL46" s="90">
        <v>4.7156135831590804</v>
      </c>
      <c r="AM46" s="90">
        <v>4.4002378850461197</v>
      </c>
      <c r="AN46" s="90">
        <v>4.0071357664727403</v>
      </c>
      <c r="AO46" s="90">
        <v>4.1023161799821297</v>
      </c>
      <c r="AP46" s="90">
        <v>7.6247496884874302</v>
      </c>
      <c r="AQ46" s="90">
        <v>4.0024517285407999</v>
      </c>
      <c r="AR46" s="90">
        <v>4.2726994683250403</v>
      </c>
    </row>
    <row r="47" spans="1:46" x14ac:dyDescent="0.25">
      <c r="A47" s="1"/>
      <c r="B47" s="1" t="s">
        <v>271</v>
      </c>
      <c r="C47" s="90">
        <v>1.73873126567258</v>
      </c>
      <c r="D47" s="90">
        <v>1.5811131094361901</v>
      </c>
      <c r="E47" s="90">
        <v>1.77349801252878</v>
      </c>
      <c r="F47" s="90">
        <v>1.76833264245868</v>
      </c>
      <c r="G47" s="90">
        <v>1.82164509727478</v>
      </c>
      <c r="H47" s="90">
        <v>1.7860761063582999</v>
      </c>
      <c r="I47" s="90">
        <v>1.80231198366398</v>
      </c>
      <c r="J47" s="90">
        <v>1.23832027984655</v>
      </c>
      <c r="K47" s="90">
        <v>1.8305943952966699</v>
      </c>
      <c r="L47" s="90">
        <v>5.0477421862301499</v>
      </c>
      <c r="M47" s="90">
        <v>1.7681328492413</v>
      </c>
      <c r="N47" s="90">
        <v>1.7827385808612699</v>
      </c>
      <c r="O47" s="90">
        <v>1.1689156601939901</v>
      </c>
      <c r="P47" s="90">
        <v>1.3657362687132399</v>
      </c>
      <c r="Q47" s="90">
        <v>1.4617791056931599</v>
      </c>
      <c r="R47" s="90">
        <v>1.7176253082930899</v>
      </c>
      <c r="S47" s="90">
        <v>1.7176517561193601</v>
      </c>
      <c r="T47" s="90">
        <v>1.4971165378754001</v>
      </c>
      <c r="U47" s="90">
        <v>1.16606466016466</v>
      </c>
      <c r="V47" s="90">
        <v>-30.389948633630599</v>
      </c>
      <c r="W47" s="90">
        <v>1.17799117128438</v>
      </c>
      <c r="X47" s="90">
        <v>1.9142109132468601</v>
      </c>
      <c r="Y47" s="90">
        <v>1.8430397713445099</v>
      </c>
      <c r="Z47" s="90">
        <v>1.80121446191158</v>
      </c>
      <c r="AA47" s="90">
        <v>1.81804550956869</v>
      </c>
      <c r="AB47" s="90">
        <v>1.8016180553054</v>
      </c>
      <c r="AC47" s="90">
        <v>1.8167652745812399</v>
      </c>
      <c r="AD47" s="90">
        <v>1.7234348952634799</v>
      </c>
      <c r="AE47" s="90">
        <v>1.8001079255268999</v>
      </c>
      <c r="AF47" s="90">
        <v>1.6588003651163501</v>
      </c>
      <c r="AG47" s="90">
        <v>1.7740515894162301</v>
      </c>
      <c r="AH47" s="90">
        <v>1.51906768718521</v>
      </c>
      <c r="AI47" s="90">
        <v>1.25750542885866</v>
      </c>
      <c r="AJ47" s="90">
        <v>1.20803605984715</v>
      </c>
      <c r="AK47" s="90">
        <v>1.2511766068396799</v>
      </c>
      <c r="AL47" s="90">
        <v>1.35155621373489</v>
      </c>
      <c r="AM47" s="90">
        <v>1.74175851437116</v>
      </c>
      <c r="AN47" s="90">
        <v>1.76982158516542</v>
      </c>
      <c r="AO47" s="90">
        <v>1.2564662088602501</v>
      </c>
      <c r="AP47" s="90">
        <v>1.6508832899903101</v>
      </c>
      <c r="AQ47" s="90">
        <v>1.74167066751582</v>
      </c>
      <c r="AR47" s="90">
        <v>1.80255195975575</v>
      </c>
    </row>
    <row r="48" spans="1:46" x14ac:dyDescent="0.25">
      <c r="A48" s="1"/>
      <c r="B48" s="1" t="s">
        <v>272</v>
      </c>
      <c r="C48" s="90">
        <v>3.1231527852056402</v>
      </c>
      <c r="D48" s="90">
        <v>2.71662310795594</v>
      </c>
      <c r="E48" s="90">
        <v>3.1681874513947901</v>
      </c>
      <c r="F48" s="90">
        <v>3.1433709007861301</v>
      </c>
      <c r="G48" s="90">
        <v>3.0450778907629998</v>
      </c>
      <c r="H48" s="90">
        <v>3.1920982445180202</v>
      </c>
      <c r="I48" s="90">
        <v>3.17023127764354</v>
      </c>
      <c r="J48" s="90">
        <v>1.77574468748831</v>
      </c>
      <c r="K48" s="90">
        <v>3.2932964654988899</v>
      </c>
      <c r="L48" s="90">
        <v>7.9268284480340503</v>
      </c>
      <c r="M48" s="90">
        <v>3.21159003858414</v>
      </c>
      <c r="N48" s="90">
        <v>3.2253918425086501</v>
      </c>
      <c r="O48" s="90">
        <v>1.37229792842043</v>
      </c>
      <c r="P48" s="90">
        <v>2.01856147198147</v>
      </c>
      <c r="Q48" s="90">
        <v>2.3931715282507899</v>
      </c>
      <c r="R48" s="90">
        <v>3.1112692760458698</v>
      </c>
      <c r="S48" s="90">
        <v>3.08756768405636</v>
      </c>
      <c r="T48" s="90">
        <v>2.4449534955157599</v>
      </c>
      <c r="U48" s="90">
        <v>1.08440823994546</v>
      </c>
      <c r="V48" s="90">
        <v>6.9477621595492103</v>
      </c>
      <c r="W48" s="90">
        <v>1.4297586791178301</v>
      </c>
      <c r="X48" s="90">
        <v>3.3258787121713098</v>
      </c>
      <c r="Y48" s="90">
        <v>3.3277076615786401</v>
      </c>
      <c r="Z48" s="90">
        <v>3.2029969579044502</v>
      </c>
      <c r="AA48" s="90">
        <v>3.2306068812734599</v>
      </c>
      <c r="AB48" s="90">
        <v>3.1966151215635099</v>
      </c>
      <c r="AC48" s="90">
        <v>3.2237138091730801</v>
      </c>
      <c r="AD48" s="90">
        <v>3.0584839346145598</v>
      </c>
      <c r="AE48" s="90">
        <v>3.2473296164427299</v>
      </c>
      <c r="AF48" s="90">
        <v>3.0172530376612698</v>
      </c>
      <c r="AG48" s="90">
        <v>3.2246957413151698</v>
      </c>
      <c r="AH48" s="90">
        <v>2.6119170245498999</v>
      </c>
      <c r="AI48" s="90">
        <v>1.8156658532435299</v>
      </c>
      <c r="AJ48" s="90">
        <v>1.60354150199403</v>
      </c>
      <c r="AK48" s="90">
        <v>1.73568343440485</v>
      </c>
      <c r="AL48" s="90">
        <v>1.94698023638905</v>
      </c>
      <c r="AM48" s="90">
        <v>3.1239959524004002</v>
      </c>
      <c r="AN48" s="90">
        <v>3.1531290920326298</v>
      </c>
      <c r="AO48" s="90">
        <v>1.7770236735653899</v>
      </c>
      <c r="AP48" s="90">
        <v>2.8626217347976</v>
      </c>
      <c r="AQ48" s="90">
        <v>3.0987686374340901</v>
      </c>
      <c r="AR48" s="90">
        <v>3.2264612153981398</v>
      </c>
    </row>
    <row r="49" spans="1:44" x14ac:dyDescent="0.25">
      <c r="A49" s="1"/>
      <c r="B49" s="1" t="s">
        <v>273</v>
      </c>
      <c r="C49" s="111">
        <v>0</v>
      </c>
      <c r="D49" s="111">
        <v>0</v>
      </c>
      <c r="E49" s="111">
        <v>0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  <c r="K49" s="111">
        <v>0</v>
      </c>
      <c r="L49" s="111">
        <v>0</v>
      </c>
      <c r="M49" s="111">
        <v>0</v>
      </c>
      <c r="N49" s="111">
        <v>0</v>
      </c>
      <c r="O49" s="111">
        <v>0</v>
      </c>
      <c r="P49" s="111">
        <v>0</v>
      </c>
      <c r="Q49" s="111">
        <v>0</v>
      </c>
      <c r="R49" s="111">
        <v>0</v>
      </c>
      <c r="S49" s="111">
        <v>0</v>
      </c>
      <c r="T49" s="111">
        <v>0</v>
      </c>
      <c r="U49" s="111">
        <v>0</v>
      </c>
      <c r="V49" s="111">
        <v>0</v>
      </c>
      <c r="W49" s="111">
        <v>0</v>
      </c>
      <c r="X49" s="111">
        <v>0</v>
      </c>
      <c r="Y49" s="111">
        <v>0</v>
      </c>
      <c r="Z49" s="111">
        <v>0</v>
      </c>
      <c r="AA49" s="111">
        <v>0</v>
      </c>
      <c r="AB49" s="111">
        <v>0</v>
      </c>
      <c r="AC49" s="111">
        <v>0</v>
      </c>
      <c r="AD49" s="111">
        <v>0</v>
      </c>
      <c r="AE49" s="111">
        <v>0</v>
      </c>
      <c r="AF49" s="111">
        <v>0</v>
      </c>
      <c r="AG49" s="111">
        <v>0</v>
      </c>
      <c r="AH49" s="111">
        <v>0</v>
      </c>
      <c r="AI49" s="111">
        <v>0</v>
      </c>
      <c r="AJ49" s="111">
        <v>0</v>
      </c>
      <c r="AK49" s="111">
        <v>0</v>
      </c>
      <c r="AL49" s="111">
        <v>0</v>
      </c>
      <c r="AM49" s="111">
        <v>0</v>
      </c>
      <c r="AN49" s="111">
        <v>0</v>
      </c>
      <c r="AO49" s="111">
        <v>0</v>
      </c>
      <c r="AP49" s="111">
        <v>0</v>
      </c>
      <c r="AQ49" s="111">
        <v>0</v>
      </c>
      <c r="AR49" s="111">
        <v>0</v>
      </c>
    </row>
    <row r="50" spans="1:44" x14ac:dyDescent="0.25">
      <c r="A50" s="1"/>
      <c r="B50" s="1" t="s">
        <v>274</v>
      </c>
      <c r="C50" s="111">
        <v>0.18714784581108801</v>
      </c>
      <c r="D50" s="111">
        <v>0.156634610081019</v>
      </c>
      <c r="E50" s="111">
        <v>0.21901722535138199</v>
      </c>
      <c r="F50" s="111">
        <v>0.22037336916160699</v>
      </c>
      <c r="G50" s="111">
        <v>0.39461137731541801</v>
      </c>
      <c r="H50" s="111">
        <v>0.229510232022959</v>
      </c>
      <c r="I50" s="111">
        <v>0.269160330614379</v>
      </c>
      <c r="J50" s="111">
        <v>1.6951797627815901E-2</v>
      </c>
      <c r="K50" s="111">
        <v>0.26235938250476099</v>
      </c>
      <c r="L50" s="111">
        <v>0.31802022905849198</v>
      </c>
      <c r="M50" s="111">
        <v>0.19731892438777701</v>
      </c>
      <c r="N50" s="111">
        <v>0.21223650630025601</v>
      </c>
      <c r="O50" s="111">
        <v>0</v>
      </c>
      <c r="P50" s="111">
        <v>0.124765230540725</v>
      </c>
      <c r="Q50" s="111">
        <v>0.13358016530719</v>
      </c>
      <c r="R50" s="111">
        <v>0.168839904373047</v>
      </c>
      <c r="S50" s="111">
        <v>0.172908335803723</v>
      </c>
      <c r="T50" s="111">
        <v>0.137648596737865</v>
      </c>
      <c r="U50" s="111">
        <v>0.10374500148223401</v>
      </c>
      <c r="V50" s="111">
        <v>0.58570454336525002</v>
      </c>
      <c r="W50" s="111">
        <v>0</v>
      </c>
      <c r="X50" s="111">
        <v>0.39661912157061802</v>
      </c>
      <c r="Y50" s="111">
        <v>0.26914010155588702</v>
      </c>
      <c r="Z50" s="111">
        <v>0.25085238917633801</v>
      </c>
      <c r="AA50" s="111">
        <v>0.26976997108881601</v>
      </c>
      <c r="AB50" s="111">
        <v>0.25459889251212597</v>
      </c>
      <c r="AC50" s="111">
        <v>0.27080418680415402</v>
      </c>
      <c r="AD50" s="111">
        <v>0.18714784581108801</v>
      </c>
      <c r="AE50" s="111">
        <v>0.23018830392807099</v>
      </c>
      <c r="AF50" s="111">
        <v>0.160024969606582</v>
      </c>
      <c r="AG50" s="111">
        <v>0.20103121200822799</v>
      </c>
      <c r="AH50" s="111">
        <v>0.14442931578899201</v>
      </c>
      <c r="AI50" s="111">
        <v>2.7800948109618102E-2</v>
      </c>
      <c r="AJ50" s="111">
        <v>6.7807190511263698E-3</v>
      </c>
      <c r="AK50" s="111">
        <v>4.94992490732225E-2</v>
      </c>
      <c r="AL50" s="111">
        <v>0.124765230540725</v>
      </c>
      <c r="AM50" s="111">
        <v>0.190538205336651</v>
      </c>
      <c r="AN50" s="111">
        <v>0.21901722535138199</v>
      </c>
      <c r="AO50" s="111">
        <v>4.94992490732225E-2</v>
      </c>
      <c r="AP50" s="111">
        <v>0.19821777909531901</v>
      </c>
      <c r="AQ50" s="111">
        <v>0.19799699629289</v>
      </c>
      <c r="AR50" s="111">
        <v>0.24274974203032401</v>
      </c>
    </row>
    <row r="51" spans="1:44" x14ac:dyDescent="0.25">
      <c r="A51" s="1"/>
      <c r="B51" s="1" t="s">
        <v>275</v>
      </c>
      <c r="C51" s="111">
        <v>0.81285215418891199</v>
      </c>
      <c r="D51" s="111">
        <v>0.84336538991898102</v>
      </c>
      <c r="E51" s="111">
        <v>0.78098277464861798</v>
      </c>
      <c r="F51" s="111">
        <v>0.77962663083839301</v>
      </c>
      <c r="G51" s="111">
        <v>0.60538862268458205</v>
      </c>
      <c r="H51" s="111">
        <v>0.77048976797704105</v>
      </c>
      <c r="I51" s="111">
        <v>0.73083966938562095</v>
      </c>
      <c r="J51" s="111">
        <v>0.98304820237218404</v>
      </c>
      <c r="K51" s="111">
        <v>0.73764061749523901</v>
      </c>
      <c r="L51" s="111">
        <v>0.68197977094150797</v>
      </c>
      <c r="M51" s="111">
        <v>0.80268107561222202</v>
      </c>
      <c r="N51" s="111">
        <v>0.78776349369974397</v>
      </c>
      <c r="O51" s="111">
        <v>1</v>
      </c>
      <c r="P51" s="111">
        <v>0.87523476945927503</v>
      </c>
      <c r="Q51" s="111">
        <v>0.86641983469281003</v>
      </c>
      <c r="R51" s="111">
        <v>0.83116009562695303</v>
      </c>
      <c r="S51" s="111">
        <v>0.827091664196277</v>
      </c>
      <c r="T51" s="111">
        <v>0.862351403262135</v>
      </c>
      <c r="U51" s="111">
        <v>0.89625499851776702</v>
      </c>
      <c r="V51" s="111">
        <v>0.41429545663474998</v>
      </c>
      <c r="W51" s="111">
        <v>1</v>
      </c>
      <c r="X51" s="111">
        <v>0.60338087842938204</v>
      </c>
      <c r="Y51" s="111">
        <v>0.73085989844411303</v>
      </c>
      <c r="Z51" s="111">
        <v>0.74914761082366199</v>
      </c>
      <c r="AA51" s="111">
        <v>0.73023002891118405</v>
      </c>
      <c r="AB51" s="111">
        <v>0.74540110748787403</v>
      </c>
      <c r="AC51" s="111">
        <v>0.72919581319584603</v>
      </c>
      <c r="AD51" s="111">
        <v>0.81285215418891199</v>
      </c>
      <c r="AE51" s="111">
        <v>0.76981169607192901</v>
      </c>
      <c r="AF51" s="111">
        <v>0.83997503039341803</v>
      </c>
      <c r="AG51" s="111">
        <v>0.79896878799177196</v>
      </c>
      <c r="AH51" s="111">
        <v>0.85557068421100801</v>
      </c>
      <c r="AI51" s="111">
        <v>0.97219905189038203</v>
      </c>
      <c r="AJ51" s="111">
        <v>0.99321928094887402</v>
      </c>
      <c r="AK51" s="111">
        <v>0.95050075092677699</v>
      </c>
      <c r="AL51" s="111">
        <v>0.87523476945927503</v>
      </c>
      <c r="AM51" s="111">
        <v>0.809461794663349</v>
      </c>
      <c r="AN51" s="111">
        <v>0.78098277464861798</v>
      </c>
      <c r="AO51" s="111">
        <v>0.95050075092677699</v>
      </c>
      <c r="AP51" s="111">
        <v>0.80178222090468099</v>
      </c>
      <c r="AQ51" s="111">
        <v>0.80200300370710997</v>
      </c>
      <c r="AR51" s="111">
        <v>0.75725025796967604</v>
      </c>
    </row>
    <row r="52" spans="1:44" x14ac:dyDescent="0.25">
      <c r="A52" s="1"/>
      <c r="B52" s="1" t="s">
        <v>276</v>
      </c>
      <c r="C52" s="111">
        <v>0</v>
      </c>
      <c r="D52" s="111">
        <v>0</v>
      </c>
      <c r="E52" s="111">
        <v>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</v>
      </c>
      <c r="S52" s="111">
        <v>0</v>
      </c>
      <c r="T52" s="111">
        <v>0</v>
      </c>
      <c r="U52" s="111">
        <v>0</v>
      </c>
      <c r="V52" s="111">
        <v>0</v>
      </c>
      <c r="W52" s="111">
        <v>0</v>
      </c>
      <c r="X52" s="111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1">
        <v>0</v>
      </c>
      <c r="AN52" s="111">
        <v>0</v>
      </c>
      <c r="AO52" s="111">
        <v>0</v>
      </c>
      <c r="AP52" s="111">
        <v>0</v>
      </c>
      <c r="AQ52" s="111">
        <v>0</v>
      </c>
      <c r="AR52" s="111">
        <v>0</v>
      </c>
    </row>
    <row r="53" spans="1:44" x14ac:dyDescent="0.25">
      <c r="A53" s="1"/>
      <c r="B53" s="1" t="s">
        <v>277</v>
      </c>
      <c r="C53" s="111">
        <v>0</v>
      </c>
      <c r="D53" s="111">
        <v>0</v>
      </c>
      <c r="E53" s="111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111">
        <v>0</v>
      </c>
      <c r="O53" s="111">
        <v>0</v>
      </c>
      <c r="P53" s="111">
        <v>0</v>
      </c>
      <c r="Q53" s="111">
        <v>0</v>
      </c>
      <c r="R53" s="111">
        <v>0</v>
      </c>
      <c r="S53" s="111">
        <v>0</v>
      </c>
      <c r="T53" s="111">
        <v>0</v>
      </c>
      <c r="U53" s="111">
        <v>0</v>
      </c>
      <c r="V53" s="111">
        <v>0</v>
      </c>
      <c r="W53" s="111">
        <v>0</v>
      </c>
      <c r="X53" s="111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11">
        <v>0</v>
      </c>
      <c r="AM53" s="111">
        <v>0</v>
      </c>
      <c r="AN53" s="111">
        <v>0</v>
      </c>
      <c r="AO53" s="111">
        <v>0</v>
      </c>
      <c r="AP53" s="111">
        <v>0</v>
      </c>
      <c r="AQ53" s="111">
        <v>0</v>
      </c>
      <c r="AR53" s="111">
        <v>0</v>
      </c>
    </row>
    <row r="54" spans="1:44" x14ac:dyDescent="0.25">
      <c r="A54" s="1"/>
      <c r="B54" s="1" t="s">
        <v>278</v>
      </c>
      <c r="C54" s="111">
        <v>0</v>
      </c>
      <c r="D54" s="111">
        <v>0</v>
      </c>
      <c r="E54" s="111">
        <v>0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1">
        <v>0</v>
      </c>
      <c r="L54" s="111">
        <v>0</v>
      </c>
      <c r="M54" s="111">
        <v>0</v>
      </c>
      <c r="N54" s="111">
        <v>0</v>
      </c>
      <c r="O54" s="111">
        <v>0</v>
      </c>
      <c r="P54" s="111">
        <v>0</v>
      </c>
      <c r="Q54" s="111">
        <v>0</v>
      </c>
      <c r="R54" s="111">
        <v>0</v>
      </c>
      <c r="S54" s="111">
        <v>0</v>
      </c>
      <c r="T54" s="111">
        <v>0</v>
      </c>
      <c r="U54" s="111">
        <v>0</v>
      </c>
      <c r="V54" s="111">
        <v>0</v>
      </c>
      <c r="W54" s="111">
        <v>0</v>
      </c>
      <c r="X54" s="111">
        <v>0</v>
      </c>
      <c r="Y54" s="111">
        <v>0</v>
      </c>
      <c r="Z54" s="111">
        <v>0</v>
      </c>
      <c r="AA54" s="111">
        <v>0</v>
      </c>
      <c r="AB54" s="111">
        <v>0</v>
      </c>
      <c r="AC54" s="111">
        <v>0</v>
      </c>
      <c r="AD54" s="111">
        <v>0</v>
      </c>
      <c r="AE54" s="111">
        <v>0</v>
      </c>
      <c r="AF54" s="111">
        <v>0</v>
      </c>
      <c r="AG54" s="111">
        <v>0</v>
      </c>
      <c r="AH54" s="111">
        <v>0</v>
      </c>
      <c r="AI54" s="111">
        <v>0</v>
      </c>
      <c r="AJ54" s="111">
        <v>0</v>
      </c>
      <c r="AK54" s="111">
        <v>0</v>
      </c>
      <c r="AL54" s="111">
        <v>0</v>
      </c>
      <c r="AM54" s="111">
        <v>0</v>
      </c>
      <c r="AN54" s="111">
        <v>0</v>
      </c>
      <c r="AO54" s="111">
        <v>0</v>
      </c>
      <c r="AP54" s="111">
        <v>0</v>
      </c>
      <c r="AQ54" s="111">
        <v>0</v>
      </c>
      <c r="AR54" s="111">
        <v>0</v>
      </c>
    </row>
    <row r="55" spans="1:44" x14ac:dyDescent="0.25">
      <c r="A55" s="1"/>
      <c r="B55" s="1" t="s">
        <v>279</v>
      </c>
      <c r="C55" s="111">
        <v>0</v>
      </c>
      <c r="D55" s="111">
        <v>0</v>
      </c>
      <c r="E55" s="111">
        <v>0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1">
        <v>0</v>
      </c>
      <c r="L55" s="111">
        <v>0</v>
      </c>
      <c r="M55" s="111">
        <v>0</v>
      </c>
      <c r="N55" s="111">
        <v>0</v>
      </c>
      <c r="O55" s="111">
        <v>0</v>
      </c>
      <c r="P55" s="111">
        <v>0</v>
      </c>
      <c r="Q55" s="111">
        <v>0</v>
      </c>
      <c r="R55" s="111">
        <v>0</v>
      </c>
      <c r="S55" s="111">
        <v>0</v>
      </c>
      <c r="T55" s="111">
        <v>0</v>
      </c>
      <c r="U55" s="111">
        <v>0</v>
      </c>
      <c r="V55" s="111">
        <v>0</v>
      </c>
      <c r="W55" s="111">
        <v>0</v>
      </c>
      <c r="X55" s="111">
        <v>0</v>
      </c>
      <c r="Y55" s="111">
        <v>0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0</v>
      </c>
      <c r="AF55" s="111">
        <v>0</v>
      </c>
      <c r="AG55" s="111">
        <v>0</v>
      </c>
      <c r="AH55" s="111">
        <v>0</v>
      </c>
      <c r="AI55" s="111">
        <v>0</v>
      </c>
      <c r="AJ55" s="111">
        <v>0</v>
      </c>
      <c r="AK55" s="111">
        <v>0</v>
      </c>
      <c r="AL55" s="111">
        <v>0</v>
      </c>
      <c r="AM55" s="111">
        <v>0</v>
      </c>
      <c r="AN55" s="111">
        <v>0</v>
      </c>
      <c r="AO55" s="111">
        <v>0</v>
      </c>
      <c r="AP55" s="111">
        <v>0</v>
      </c>
      <c r="AQ55" s="111">
        <v>0</v>
      </c>
      <c r="AR55" s="111">
        <v>0</v>
      </c>
    </row>
    <row r="56" spans="1:44" x14ac:dyDescent="0.25">
      <c r="A56" s="1"/>
      <c r="B56" s="1" t="s">
        <v>280</v>
      </c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1">
        <v>0</v>
      </c>
      <c r="L56" s="111">
        <v>0</v>
      </c>
      <c r="M56" s="111">
        <v>0</v>
      </c>
      <c r="N56" s="111">
        <v>0</v>
      </c>
      <c r="O56" s="111">
        <v>0</v>
      </c>
      <c r="P56" s="111">
        <v>0</v>
      </c>
      <c r="Q56" s="111">
        <v>0</v>
      </c>
      <c r="R56" s="111">
        <v>0</v>
      </c>
      <c r="S56" s="111">
        <v>0</v>
      </c>
      <c r="T56" s="111">
        <v>0</v>
      </c>
      <c r="U56" s="111">
        <v>0</v>
      </c>
      <c r="V56" s="111">
        <v>0</v>
      </c>
      <c r="W56" s="111">
        <v>0</v>
      </c>
      <c r="X56" s="111">
        <v>0</v>
      </c>
      <c r="Y56" s="111">
        <v>0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1">
        <v>0</v>
      </c>
      <c r="AF56" s="111">
        <v>0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11">
        <v>0</v>
      </c>
      <c r="AM56" s="111">
        <v>0</v>
      </c>
      <c r="AN56" s="111">
        <v>0</v>
      </c>
      <c r="AO56" s="111">
        <v>0</v>
      </c>
      <c r="AP56" s="111">
        <v>0</v>
      </c>
      <c r="AQ56" s="111">
        <v>0</v>
      </c>
      <c r="AR56" s="111">
        <v>0</v>
      </c>
    </row>
    <row r="57" spans="1:44" x14ac:dyDescent="0.25">
      <c r="A57" s="1"/>
      <c r="B57" s="1" t="s">
        <v>281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2.9999999999999701E-3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0.33400000000000002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0</v>
      </c>
      <c r="AH57" s="111">
        <v>0</v>
      </c>
      <c r="AI57" s="111">
        <v>0</v>
      </c>
      <c r="AJ57" s="111">
        <v>0</v>
      </c>
      <c r="AK57" s="111">
        <v>0</v>
      </c>
      <c r="AL57" s="111">
        <v>0</v>
      </c>
      <c r="AM57" s="111">
        <v>0</v>
      </c>
      <c r="AN57" s="111">
        <v>0</v>
      </c>
      <c r="AO57" s="111">
        <v>0</v>
      </c>
      <c r="AP57" s="111">
        <v>0.10100000000000001</v>
      </c>
      <c r="AQ57" s="111">
        <v>0</v>
      </c>
      <c r="AR57" s="111">
        <v>0</v>
      </c>
    </row>
    <row r="58" spans="1:44" x14ac:dyDescent="0.25">
      <c r="A58" s="1"/>
      <c r="B58" s="1" t="s">
        <v>282</v>
      </c>
      <c r="C58" s="111">
        <v>0</v>
      </c>
      <c r="D58" s="111">
        <v>0</v>
      </c>
      <c r="E58" s="111">
        <v>0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  <c r="K58" s="111">
        <v>0</v>
      </c>
      <c r="L58" s="111">
        <v>1.7000000000000001E-2</v>
      </c>
      <c r="M58" s="111">
        <v>0</v>
      </c>
      <c r="N58" s="111">
        <v>0</v>
      </c>
      <c r="O58" s="111">
        <v>0</v>
      </c>
      <c r="P58" s="111">
        <v>0</v>
      </c>
      <c r="Q58" s="111">
        <v>0</v>
      </c>
      <c r="R58" s="111">
        <v>0</v>
      </c>
      <c r="S58" s="111">
        <v>0</v>
      </c>
      <c r="T58" s="111">
        <v>0</v>
      </c>
      <c r="U58" s="111">
        <v>0</v>
      </c>
      <c r="V58" s="111">
        <v>0.185</v>
      </c>
      <c r="W58" s="111">
        <v>0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0</v>
      </c>
      <c r="AJ58" s="111">
        <v>0</v>
      </c>
      <c r="AK58" s="111">
        <v>0</v>
      </c>
      <c r="AL58" s="111">
        <v>0</v>
      </c>
      <c r="AM58" s="111">
        <v>0</v>
      </c>
      <c r="AN58" s="111">
        <v>0</v>
      </c>
      <c r="AO58" s="111">
        <v>0</v>
      </c>
      <c r="AP58" s="111">
        <v>5.0000000000000001E-3</v>
      </c>
      <c r="AQ58" s="111">
        <v>0</v>
      </c>
      <c r="AR58" s="111">
        <v>0</v>
      </c>
    </row>
    <row r="59" spans="1:44" x14ac:dyDescent="0.25">
      <c r="A59" s="1"/>
      <c r="B59" s="1" t="s">
        <v>283</v>
      </c>
      <c r="C59" s="111">
        <v>0</v>
      </c>
      <c r="D59" s="111">
        <v>0</v>
      </c>
      <c r="E59" s="111">
        <v>0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0</v>
      </c>
      <c r="L59" s="111">
        <v>0.24</v>
      </c>
      <c r="M59" s="111">
        <v>0</v>
      </c>
      <c r="N59" s="111">
        <v>0</v>
      </c>
      <c r="O59" s="111">
        <v>0</v>
      </c>
      <c r="P59" s="111">
        <v>0</v>
      </c>
      <c r="Q59" s="111">
        <v>0</v>
      </c>
      <c r="R59" s="111">
        <v>0</v>
      </c>
      <c r="S59" s="111">
        <v>0</v>
      </c>
      <c r="T59" s="111">
        <v>0</v>
      </c>
      <c r="U59" s="111">
        <v>0</v>
      </c>
      <c r="V59" s="111">
        <v>5.0000000000000001E-3</v>
      </c>
      <c r="W59" s="111">
        <v>0</v>
      </c>
      <c r="X59" s="111">
        <v>1.2E-2</v>
      </c>
      <c r="Y59" s="111">
        <v>0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0</v>
      </c>
      <c r="AN59" s="111">
        <v>0</v>
      </c>
      <c r="AO59" s="111">
        <v>0</v>
      </c>
      <c r="AP59" s="111">
        <v>0</v>
      </c>
      <c r="AQ59" s="111">
        <v>0</v>
      </c>
      <c r="AR59" s="111">
        <v>0</v>
      </c>
    </row>
    <row r="60" spans="1:44" x14ac:dyDescent="0.25">
      <c r="A60" s="1"/>
      <c r="B60" s="1" t="s">
        <v>284</v>
      </c>
      <c r="C60" s="111">
        <v>0</v>
      </c>
      <c r="D60" s="111">
        <v>0</v>
      </c>
      <c r="E60" s="111">
        <v>0</v>
      </c>
      <c r="F60" s="111">
        <v>0</v>
      </c>
      <c r="G60" s="111">
        <v>4.61447186393278E-2</v>
      </c>
      <c r="H60" s="111">
        <v>7.5647079736598701E-4</v>
      </c>
      <c r="I60" s="111">
        <v>1.5129415947320801E-3</v>
      </c>
      <c r="J60" s="111">
        <v>0</v>
      </c>
      <c r="K60" s="111">
        <v>1.73988283394187E-2</v>
      </c>
      <c r="L60" s="111">
        <v>2.7989419502543099E-2</v>
      </c>
      <c r="M60" s="111">
        <v>0</v>
      </c>
      <c r="N60" s="111">
        <v>0</v>
      </c>
      <c r="O60" s="111">
        <v>0</v>
      </c>
      <c r="P60" s="111">
        <v>0</v>
      </c>
      <c r="Q60" s="111">
        <v>0</v>
      </c>
      <c r="R60" s="111">
        <v>0</v>
      </c>
      <c r="S60" s="111">
        <v>0</v>
      </c>
      <c r="T60" s="111">
        <v>0</v>
      </c>
      <c r="U60" s="111">
        <v>0</v>
      </c>
      <c r="V60" s="111">
        <v>0</v>
      </c>
      <c r="W60" s="111">
        <v>0</v>
      </c>
      <c r="X60" s="111">
        <v>8.3211787710263302E-2</v>
      </c>
      <c r="Y60" s="111">
        <v>1.73988283394187E-2</v>
      </c>
      <c r="Z60" s="111">
        <v>1.5129415947320801E-3</v>
      </c>
      <c r="AA60" s="111">
        <v>4.5388247841961398E-3</v>
      </c>
      <c r="AB60" s="111">
        <v>7.5647079736598701E-4</v>
      </c>
      <c r="AC60" s="111">
        <v>3.7823539868301502E-3</v>
      </c>
      <c r="AD60" s="111">
        <v>0</v>
      </c>
      <c r="AE60" s="111">
        <v>7.5647079736598701E-4</v>
      </c>
      <c r="AF60" s="111">
        <v>0</v>
      </c>
      <c r="AG60" s="111">
        <v>7.5647079736598701E-4</v>
      </c>
      <c r="AH60" s="111">
        <v>0</v>
      </c>
      <c r="AI60" s="111">
        <v>0</v>
      </c>
      <c r="AJ60" s="111">
        <v>0</v>
      </c>
      <c r="AK60" s="111">
        <v>0</v>
      </c>
      <c r="AL60" s="111">
        <v>0</v>
      </c>
      <c r="AM60" s="111">
        <v>0</v>
      </c>
      <c r="AN60" s="111">
        <v>0</v>
      </c>
      <c r="AO60" s="111">
        <v>0</v>
      </c>
      <c r="AP60" s="111">
        <v>0</v>
      </c>
      <c r="AQ60" s="111">
        <v>0</v>
      </c>
      <c r="AR60" s="111">
        <v>0</v>
      </c>
    </row>
    <row r="61" spans="1:44" x14ac:dyDescent="0.25">
      <c r="A61" s="1"/>
      <c r="B61" s="1" t="s">
        <v>285</v>
      </c>
      <c r="C61" s="111">
        <v>0.18714784581108801</v>
      </c>
      <c r="D61" s="111">
        <v>0.156634610081019</v>
      </c>
      <c r="E61" s="111">
        <v>0.21901722535138199</v>
      </c>
      <c r="F61" s="111">
        <v>0.22037336916160699</v>
      </c>
      <c r="G61" s="111">
        <v>0.34846665867609</v>
      </c>
      <c r="H61" s="111">
        <v>0.22875376122559299</v>
      </c>
      <c r="I61" s="111">
        <v>0.26764738901964702</v>
      </c>
      <c r="J61" s="111">
        <v>1.6951797627815901E-2</v>
      </c>
      <c r="K61" s="111">
        <v>0.24496055416534199</v>
      </c>
      <c r="L61" s="111">
        <v>3.0030809555948602E-2</v>
      </c>
      <c r="M61" s="111">
        <v>0.19731892438777701</v>
      </c>
      <c r="N61" s="111">
        <v>0.21223650630025601</v>
      </c>
      <c r="O61" s="111">
        <v>0</v>
      </c>
      <c r="P61" s="111">
        <v>0.124765230540725</v>
      </c>
      <c r="Q61" s="111">
        <v>0.13358016530719</v>
      </c>
      <c r="R61" s="111">
        <v>0.168839904373047</v>
      </c>
      <c r="S61" s="111">
        <v>0.172908335803723</v>
      </c>
      <c r="T61" s="111">
        <v>0.137648596737865</v>
      </c>
      <c r="U61" s="111">
        <v>0.10374500148223401</v>
      </c>
      <c r="V61" s="111">
        <v>6.1704543365249997E-2</v>
      </c>
      <c r="W61" s="111">
        <v>0</v>
      </c>
      <c r="X61" s="111">
        <v>0.30140733386035501</v>
      </c>
      <c r="Y61" s="111">
        <v>0.251741273216469</v>
      </c>
      <c r="Z61" s="111">
        <v>0.24933944758160601</v>
      </c>
      <c r="AA61" s="111">
        <v>0.26523114630462002</v>
      </c>
      <c r="AB61" s="111">
        <v>0.25384242171476001</v>
      </c>
      <c r="AC61" s="111">
        <v>0.267021832817324</v>
      </c>
      <c r="AD61" s="111">
        <v>0.18714784581108801</v>
      </c>
      <c r="AE61" s="111">
        <v>0.229431833130705</v>
      </c>
      <c r="AF61" s="111">
        <v>0.160024969606582</v>
      </c>
      <c r="AG61" s="111">
        <v>0.200274741210862</v>
      </c>
      <c r="AH61" s="111">
        <v>0.14442931578899201</v>
      </c>
      <c r="AI61" s="111">
        <v>2.7800948109618102E-2</v>
      </c>
      <c r="AJ61" s="111">
        <v>6.7807190511263698E-3</v>
      </c>
      <c r="AK61" s="111">
        <v>4.94992490732225E-2</v>
      </c>
      <c r="AL61" s="111">
        <v>0.124765230540725</v>
      </c>
      <c r="AM61" s="111">
        <v>0.190538205336651</v>
      </c>
      <c r="AN61" s="111">
        <v>0.21901722535138199</v>
      </c>
      <c r="AO61" s="111">
        <v>4.94992490732225E-2</v>
      </c>
      <c r="AP61" s="111">
        <v>9.2217779095318697E-2</v>
      </c>
      <c r="AQ61" s="111">
        <v>0.19799699629289</v>
      </c>
      <c r="AR61" s="111">
        <v>0.24274974203032401</v>
      </c>
    </row>
    <row r="62" spans="1:44" x14ac:dyDescent="0.25">
      <c r="A62" s="1"/>
      <c r="B62" s="1" t="s">
        <v>286</v>
      </c>
      <c r="C62" s="111">
        <v>0.14200155489698499</v>
      </c>
      <c r="D62" s="111">
        <v>0.11086909919650299</v>
      </c>
      <c r="E62" s="111">
        <v>0.157132175356691</v>
      </c>
      <c r="F62" s="111">
        <v>0.16215647665976801</v>
      </c>
      <c r="G62" s="111">
        <v>0.208617726650453</v>
      </c>
      <c r="H62" s="111">
        <v>0.16193119835933401</v>
      </c>
      <c r="I62" s="111">
        <v>0.18320139651011499</v>
      </c>
      <c r="J62" s="111">
        <v>1.5056914553468401E-2</v>
      </c>
      <c r="K62" s="111">
        <v>0.15072838612120201</v>
      </c>
      <c r="L62" s="111">
        <v>1.11478896383889E-2</v>
      </c>
      <c r="M62" s="111">
        <v>0.13894567511635</v>
      </c>
      <c r="N62" s="111">
        <v>0.153328835059377</v>
      </c>
      <c r="O62" s="111">
        <v>0</v>
      </c>
      <c r="P62" s="111">
        <v>9.6614567759457703E-2</v>
      </c>
      <c r="Q62" s="111">
        <v>0.105180078106296</v>
      </c>
      <c r="R62" s="111">
        <v>0.13009716991860401</v>
      </c>
      <c r="S62" s="111">
        <v>0.130568590116827</v>
      </c>
      <c r="T62" s="111">
        <v>0.118792833644427</v>
      </c>
      <c r="U62" s="111">
        <v>7.9042025288224696E-2</v>
      </c>
      <c r="V62" s="111">
        <v>6.3462928518510903E-2</v>
      </c>
      <c r="W62" s="111">
        <v>0</v>
      </c>
      <c r="X62" s="111">
        <v>0.17214112184286701</v>
      </c>
      <c r="Y62" s="111">
        <v>0.15920420120603901</v>
      </c>
      <c r="Z62" s="111">
        <v>0.172173100554395</v>
      </c>
      <c r="AA62" s="111">
        <v>0.17662725157393599</v>
      </c>
      <c r="AB62" s="111">
        <v>0.17530268624126699</v>
      </c>
      <c r="AC62" s="111">
        <v>0.17759303585859801</v>
      </c>
      <c r="AD62" s="111">
        <v>0.147550118707168</v>
      </c>
      <c r="AE62" s="111">
        <v>0.158456740689359</v>
      </c>
      <c r="AF62" s="111">
        <v>0.11277076934516</v>
      </c>
      <c r="AG62" s="111">
        <v>0.14140150619278</v>
      </c>
      <c r="AH62" s="111">
        <v>0.10390627479165</v>
      </c>
      <c r="AI62" s="111">
        <v>2.75085059271706E-2</v>
      </c>
      <c r="AJ62" s="111">
        <v>7.3076963879561497E-3</v>
      </c>
      <c r="AK62" s="111">
        <v>4.1898620402648697E-2</v>
      </c>
      <c r="AL62" s="111">
        <v>9.6030508411017304E-2</v>
      </c>
      <c r="AM62" s="111">
        <v>0.144195254719862</v>
      </c>
      <c r="AN62" s="111">
        <v>0.160636531447333</v>
      </c>
      <c r="AO62" s="111">
        <v>4.0730501705768002E-2</v>
      </c>
      <c r="AP62" s="111">
        <v>0.115037461414405</v>
      </c>
      <c r="AQ62" s="111">
        <v>0.152700968225366</v>
      </c>
      <c r="AR62" s="111">
        <v>0.16810762900352799</v>
      </c>
    </row>
    <row r="63" spans="1:44" x14ac:dyDescent="0.25">
      <c r="A63" s="1"/>
      <c r="B63" s="1" t="s">
        <v>287</v>
      </c>
      <c r="C63" s="111">
        <v>7.8383133569357596E-2</v>
      </c>
      <c r="D63" s="111">
        <v>5.3834569759174201E-2</v>
      </c>
      <c r="E63" s="111">
        <v>7.8383133569357596E-2</v>
      </c>
      <c r="F63" s="111">
        <v>8.4843281940458398E-2</v>
      </c>
      <c r="G63" s="111">
        <v>7.4076367988623701E-2</v>
      </c>
      <c r="H63" s="111">
        <v>7.8813810127430994E-2</v>
      </c>
      <c r="I63" s="111">
        <v>8.3120575708164807E-2</v>
      </c>
      <c r="J63" s="111">
        <v>1.0336237393761501E-2</v>
      </c>
      <c r="K63" s="111">
        <v>5.46959228753209E-2</v>
      </c>
      <c r="L63" s="111">
        <v>1.72270623229359E-3</v>
      </c>
      <c r="M63" s="111">
        <v>6.6754866501375895E-2</v>
      </c>
      <c r="N63" s="111">
        <v>7.7521780453210801E-2</v>
      </c>
      <c r="O63" s="111">
        <v>0</v>
      </c>
      <c r="P63" s="111">
        <v>5.5126599433394298E-2</v>
      </c>
      <c r="Q63" s="111">
        <v>6.1586747804495197E-2</v>
      </c>
      <c r="R63" s="111">
        <v>7.3645691430550206E-2</v>
      </c>
      <c r="S63" s="111">
        <v>7.1492308640183203E-2</v>
      </c>
      <c r="T63" s="111">
        <v>7.8813810127430994E-2</v>
      </c>
      <c r="U63" s="111">
        <v>4.3929008923486099E-2</v>
      </c>
      <c r="V63" s="111">
        <v>5.0389157294587102E-2</v>
      </c>
      <c r="W63" s="111">
        <v>0</v>
      </c>
      <c r="X63" s="111">
        <v>6.1586747804495197E-2</v>
      </c>
      <c r="Y63" s="111">
        <v>6.2448100920642E-2</v>
      </c>
      <c r="Z63" s="111">
        <v>7.9675163243577707E-2</v>
      </c>
      <c r="AA63" s="111">
        <v>7.5799074220917195E-2</v>
      </c>
      <c r="AB63" s="111">
        <v>8.0967192917797901E-2</v>
      </c>
      <c r="AC63" s="111">
        <v>7.5799074220917195E-2</v>
      </c>
      <c r="AD63" s="111">
        <v>8.6565988172752101E-2</v>
      </c>
      <c r="AE63" s="111">
        <v>7.3215014872476794E-2</v>
      </c>
      <c r="AF63" s="111">
        <v>5.4265246317247599E-2</v>
      </c>
      <c r="AG63" s="111">
        <v>6.8477572733669501E-2</v>
      </c>
      <c r="AH63" s="111">
        <v>5.2111863526880603E-2</v>
      </c>
      <c r="AI63" s="111">
        <v>2.1103151345596299E-2</v>
      </c>
      <c r="AJ63" s="111">
        <v>6.0294718130275296E-3</v>
      </c>
      <c r="AK63" s="111">
        <v>2.71326231586238E-2</v>
      </c>
      <c r="AL63" s="111">
        <v>5.4265246317247502E-2</v>
      </c>
      <c r="AM63" s="111">
        <v>7.9244486685504295E-2</v>
      </c>
      <c r="AN63" s="111">
        <v>8.3551252266238302E-2</v>
      </c>
      <c r="AO63" s="111">
        <v>2.5409916926330201E-2</v>
      </c>
      <c r="AP63" s="111">
        <v>0.105085080169908</v>
      </c>
      <c r="AQ63" s="111">
        <v>8.6565988172752004E-2</v>
      </c>
      <c r="AR63" s="111">
        <v>7.7952457011284199E-2</v>
      </c>
    </row>
    <row r="64" spans="1:44" x14ac:dyDescent="0.25">
      <c r="A64" s="1"/>
      <c r="B64" s="1" t="s">
        <v>288</v>
      </c>
      <c r="C64" s="111">
        <v>0.19755485934560901</v>
      </c>
      <c r="D64" s="111">
        <v>0.22234950895202399</v>
      </c>
      <c r="E64" s="111">
        <v>0.19114427076155399</v>
      </c>
      <c r="F64" s="111">
        <v>0.192098382985123</v>
      </c>
      <c r="G64" s="111">
        <v>0.130676035827995</v>
      </c>
      <c r="H64" s="111">
        <v>0.18465483213497999</v>
      </c>
      <c r="I64" s="111">
        <v>0.17353816121325799</v>
      </c>
      <c r="J64" s="111">
        <v>9.5334859171047906E-2</v>
      </c>
      <c r="K64" s="111">
        <v>0.17838612020927699</v>
      </c>
      <c r="L64" s="111">
        <v>1.4653188810510201E-3</v>
      </c>
      <c r="M64" s="111">
        <v>0.18757492094595801</v>
      </c>
      <c r="N64" s="111">
        <v>0.180261512729608</v>
      </c>
      <c r="O64" s="111">
        <v>2.67107857668957E-2</v>
      </c>
      <c r="P64" s="111">
        <v>0.21000406927680801</v>
      </c>
      <c r="Q64" s="111">
        <v>0.19635628528113999</v>
      </c>
      <c r="R64" s="111">
        <v>0.193792340280387</v>
      </c>
      <c r="S64" s="111">
        <v>0.20309018574861401</v>
      </c>
      <c r="T64" s="111">
        <v>0.23095352746426601</v>
      </c>
      <c r="U64" s="111">
        <v>0.20991730752094601</v>
      </c>
      <c r="V64" s="111">
        <v>0.11008272145076201</v>
      </c>
      <c r="W64" s="111">
        <v>4.06003943656814E-2</v>
      </c>
      <c r="X64" s="111">
        <v>0.12868896133833799</v>
      </c>
      <c r="Y64" s="111">
        <v>0.16378949846560301</v>
      </c>
      <c r="Z64" s="111">
        <v>0.176661968224986</v>
      </c>
      <c r="AA64" s="111">
        <v>0.16775573573157301</v>
      </c>
      <c r="AB64" s="111">
        <v>0.17535698666675401</v>
      </c>
      <c r="AC64" s="111">
        <v>0.16846802335202399</v>
      </c>
      <c r="AD64" s="111">
        <v>0.20709716665473399</v>
      </c>
      <c r="AE64" s="111">
        <v>0.176776287432093</v>
      </c>
      <c r="AF64" s="111">
        <v>0.17988954549269701</v>
      </c>
      <c r="AG64" s="111">
        <v>0.184766514104306</v>
      </c>
      <c r="AH64" s="111">
        <v>0.18170837094619199</v>
      </c>
      <c r="AI64" s="111">
        <v>0.15355191203614799</v>
      </c>
      <c r="AJ64" s="111">
        <v>7.7247737654296794E-2</v>
      </c>
      <c r="AK64" s="111">
        <v>0.16989905814192299</v>
      </c>
      <c r="AL64" s="111">
        <v>0.22120222747882901</v>
      </c>
      <c r="AM64" s="111">
        <v>0.197753303070796</v>
      </c>
      <c r="AN64" s="111">
        <v>0.19091035787177801</v>
      </c>
      <c r="AO64" s="111">
        <v>0.163803869727943</v>
      </c>
      <c r="AP64" s="111">
        <v>0.22008923009678599</v>
      </c>
      <c r="AQ64" s="111">
        <v>0.20033043426045399</v>
      </c>
      <c r="AR64" s="111">
        <v>0.17484050553371</v>
      </c>
    </row>
    <row r="65" spans="1:44" x14ac:dyDescent="0.25">
      <c r="A65" s="1"/>
      <c r="B65" s="1" t="s">
        <v>289</v>
      </c>
      <c r="C65" s="111">
        <v>0.28554560354393299</v>
      </c>
      <c r="D65" s="111">
        <v>0.35710461569384799</v>
      </c>
      <c r="E65" s="111">
        <v>0.26966147399771301</v>
      </c>
      <c r="F65" s="111">
        <v>0.26263970596680403</v>
      </c>
      <c r="G65" s="111">
        <v>0.156460569412923</v>
      </c>
      <c r="H65" s="111">
        <v>0.25788835476309402</v>
      </c>
      <c r="I65" s="111">
        <v>0.22832986244123801</v>
      </c>
      <c r="J65" s="111">
        <v>0.26201298126720401</v>
      </c>
      <c r="K65" s="111">
        <v>0.27324817058393402</v>
      </c>
      <c r="L65" s="111">
        <v>6.6905221628303702E-2</v>
      </c>
      <c r="M65" s="111">
        <v>0.28364611765174802</v>
      </c>
      <c r="N65" s="111">
        <v>0.257124956108924</v>
      </c>
      <c r="O65" s="111">
        <v>0.17805105488355699</v>
      </c>
      <c r="P65" s="111">
        <v>0.34570594269190702</v>
      </c>
      <c r="Q65" s="111">
        <v>0.31320636762243698</v>
      </c>
      <c r="R65" s="111">
        <v>0.28993305440796102</v>
      </c>
      <c r="S65" s="111">
        <v>0.30495402197092802</v>
      </c>
      <c r="T65" s="111">
        <v>0.34235657338564301</v>
      </c>
      <c r="U65" s="111">
        <v>0.36425822973097899</v>
      </c>
      <c r="V65" s="111">
        <v>0.14802978888923801</v>
      </c>
      <c r="W65" s="111">
        <v>0.19794643141229401</v>
      </c>
      <c r="X65" s="111">
        <v>0.17308128788267099</v>
      </c>
      <c r="Y65" s="111">
        <v>0.241824032695865</v>
      </c>
      <c r="Z65" s="111">
        <v>0.24105536109519801</v>
      </c>
      <c r="AA65" s="111">
        <v>0.22961933246961999</v>
      </c>
      <c r="AB65" s="111">
        <v>0.23673207558544801</v>
      </c>
      <c r="AC65" s="111">
        <v>0.23029351368770101</v>
      </c>
      <c r="AD65" s="111">
        <v>0.28867039411022</v>
      </c>
      <c r="AE65" s="111">
        <v>0.25353650187387</v>
      </c>
      <c r="AF65" s="111">
        <v>0.29027190266583403</v>
      </c>
      <c r="AG65" s="111">
        <v>0.27687046514496</v>
      </c>
      <c r="AH65" s="111">
        <v>0.29821396743894402</v>
      </c>
      <c r="AI65" s="111">
        <v>0.33080055729751801</v>
      </c>
      <c r="AJ65" s="111">
        <v>0.24368351531927601</v>
      </c>
      <c r="AK65" s="111">
        <v>0.34167843187174401</v>
      </c>
      <c r="AL65" s="111">
        <v>0.36219833045309702</v>
      </c>
      <c r="AM65" s="111">
        <v>0.28413483340232298</v>
      </c>
      <c r="AN65" s="111">
        <v>0.26291614651923201</v>
      </c>
      <c r="AO65" s="111">
        <v>0.33496518707040202</v>
      </c>
      <c r="AP65" s="111">
        <v>0.288761369195141</v>
      </c>
      <c r="AQ65" s="111">
        <v>0.27689727487560201</v>
      </c>
      <c r="AR65" s="111">
        <v>0.24237515615188701</v>
      </c>
    </row>
    <row r="66" spans="1:44" x14ac:dyDescent="0.25">
      <c r="A66" s="1"/>
      <c r="B66" s="1" t="s">
        <v>290</v>
      </c>
      <c r="C66" s="111">
        <v>5.5126599433394298E-2</v>
      </c>
      <c r="D66" s="111">
        <v>4.99584807365136E-2</v>
      </c>
      <c r="E66" s="111">
        <v>4.3067655807339199E-2</v>
      </c>
      <c r="F66" s="111">
        <v>3.9622243342752203E-2</v>
      </c>
      <c r="G66" s="111">
        <v>1.8088415439082399E-2</v>
      </c>
      <c r="H66" s="111">
        <v>4.4359685481559601E-2</v>
      </c>
      <c r="I66" s="111">
        <v>3.1870065297430999E-2</v>
      </c>
      <c r="J66" s="111">
        <v>0.28553855800265898</v>
      </c>
      <c r="K66" s="111">
        <v>4.0483596458898999E-2</v>
      </c>
      <c r="L66" s="111">
        <v>0.186052273087706</v>
      </c>
      <c r="M66" s="111">
        <v>6.2448100920642E-2</v>
      </c>
      <c r="N66" s="111">
        <v>6.0294718130275003E-2</v>
      </c>
      <c r="O66" s="111">
        <v>0.36435236813008998</v>
      </c>
      <c r="P66" s="111">
        <v>8.4843281940458398E-2</v>
      </c>
      <c r="Q66" s="111">
        <v>8.3981928824311797E-2</v>
      </c>
      <c r="R66" s="111">
        <v>7.1061632082109902E-2</v>
      </c>
      <c r="S66" s="111">
        <v>5.9002688456054803E-2</v>
      </c>
      <c r="T66" s="111">
        <v>4.6513068271926403E-2</v>
      </c>
      <c r="U66" s="111">
        <v>0.100778314589174</v>
      </c>
      <c r="V66" s="111">
        <v>2.1533827903669599E-2</v>
      </c>
      <c r="W66" s="111">
        <v>0.34970936515559498</v>
      </c>
      <c r="X66" s="111">
        <v>3.4023448087798003E-2</v>
      </c>
      <c r="Y66" s="111">
        <v>5.1681186968807101E-2</v>
      </c>
      <c r="Z66" s="111">
        <v>4.0483596458898999E-2</v>
      </c>
      <c r="AA66" s="111">
        <v>4.0914273016972397E-2</v>
      </c>
      <c r="AB66" s="111">
        <v>3.9191566784678701E-2</v>
      </c>
      <c r="AC66" s="111">
        <v>3.9191566784678701E-2</v>
      </c>
      <c r="AD66" s="111">
        <v>4.2206302691192403E-2</v>
      </c>
      <c r="AE66" s="111">
        <v>5.3834569759174097E-2</v>
      </c>
      <c r="AF66" s="111">
        <v>7.9244486685504406E-2</v>
      </c>
      <c r="AG66" s="111">
        <v>6.3309454036788795E-2</v>
      </c>
      <c r="AH66" s="111">
        <v>8.5273958498531796E-2</v>
      </c>
      <c r="AI66" s="111">
        <v>0.21835301494320999</v>
      </c>
      <c r="AJ66" s="111">
        <v>0.31180982804513702</v>
      </c>
      <c r="AK66" s="111">
        <v>0.185621596529632</v>
      </c>
      <c r="AL66" s="111">
        <v>7.1492308640183105E-2</v>
      </c>
      <c r="AM66" s="111">
        <v>5.2973216643027302E-2</v>
      </c>
      <c r="AN66" s="111">
        <v>4.2206302691192403E-2</v>
      </c>
      <c r="AO66" s="111">
        <v>0.19208174490073299</v>
      </c>
      <c r="AP66" s="111">
        <v>3.7038183994311698E-2</v>
      </c>
      <c r="AQ66" s="111">
        <v>4.3498332365412701E-2</v>
      </c>
      <c r="AR66" s="111">
        <v>4.7805097946146603E-2</v>
      </c>
    </row>
    <row r="67" spans="1:44" x14ac:dyDescent="0.25">
      <c r="A67" s="1"/>
      <c r="B67" s="1" t="s">
        <v>291</v>
      </c>
      <c r="C67" s="111">
        <v>5.4240403399634103E-2</v>
      </c>
      <c r="D67" s="111">
        <v>4.92491155809184E-2</v>
      </c>
      <c r="E67" s="111">
        <v>4.1594065155964199E-2</v>
      </c>
      <c r="F67" s="111">
        <v>3.8266539943486999E-2</v>
      </c>
      <c r="G67" s="111">
        <v>1.7469507365505E-2</v>
      </c>
      <c r="H67" s="111">
        <v>4.28418871106429E-2</v>
      </c>
      <c r="I67" s="111">
        <v>3.07796082154135E-2</v>
      </c>
      <c r="J67" s="111">
        <v>0.31476865198404302</v>
      </c>
      <c r="K67" s="111">
        <v>4.0098421246606203E-2</v>
      </c>
      <c r="L67" s="111">
        <v>0.41468636147376498</v>
      </c>
      <c r="M67" s="111">
        <v>6.3311394476147906E-2</v>
      </c>
      <c r="N67" s="111">
        <v>5.9231691218349702E-2</v>
      </c>
      <c r="O67" s="111">
        <v>0.43088579121945703</v>
      </c>
      <c r="P67" s="111">
        <v>8.2940308357249401E-2</v>
      </c>
      <c r="Q67" s="111">
        <v>0.10610842705413</v>
      </c>
      <c r="R67" s="111">
        <v>7.2630207507340894E-2</v>
      </c>
      <c r="S67" s="111">
        <v>5.7983869263670898E-2</v>
      </c>
      <c r="T67" s="111">
        <v>4.4921590368441101E-2</v>
      </c>
      <c r="U67" s="111">
        <v>9.8330112464956196E-2</v>
      </c>
      <c r="V67" s="111">
        <v>2.07970325779822E-2</v>
      </c>
      <c r="W67" s="111">
        <v>0.41174380906642899</v>
      </c>
      <c r="X67" s="111">
        <v>3.3859311473211702E-2</v>
      </c>
      <c r="Y67" s="111">
        <v>5.1912878187157098E-2</v>
      </c>
      <c r="Z67" s="111">
        <v>3.9098421246606299E-2</v>
      </c>
      <c r="AA67" s="111">
        <v>3.9514361898165901E-2</v>
      </c>
      <c r="AB67" s="111">
        <v>3.7850599291927398E-2</v>
      </c>
      <c r="AC67" s="111">
        <v>3.7850599291927398E-2</v>
      </c>
      <c r="AD67" s="111">
        <v>4.0762183852844899E-2</v>
      </c>
      <c r="AE67" s="111">
        <v>5.39925814449553E-2</v>
      </c>
      <c r="AF67" s="111">
        <v>0.123533079886974</v>
      </c>
      <c r="AG67" s="111">
        <v>6.4143275779267303E-2</v>
      </c>
      <c r="AH67" s="111">
        <v>0.13435624900880899</v>
      </c>
      <c r="AI67" s="111">
        <v>0.22088191034073801</v>
      </c>
      <c r="AJ67" s="111">
        <v>0.34714103172917998</v>
      </c>
      <c r="AK67" s="111">
        <v>0.18427042082220599</v>
      </c>
      <c r="AL67" s="111">
        <v>7.0046148158900506E-2</v>
      </c>
      <c r="AM67" s="111">
        <v>5.1160700141835901E-2</v>
      </c>
      <c r="AN67" s="111">
        <v>4.0762183852844899E-2</v>
      </c>
      <c r="AO67" s="111">
        <v>0.1935095305956</v>
      </c>
      <c r="AP67" s="111">
        <v>3.5770896034129203E-2</v>
      </c>
      <c r="AQ67" s="111">
        <v>4.2010005807523801E-2</v>
      </c>
      <c r="AR67" s="111">
        <v>4.6169412323120197E-2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tabSelected="1" zoomScale="70" zoomScaleNormal="70" workbookViewId="0">
      <selection activeCell="F12" sqref="F12"/>
    </sheetView>
  </sheetViews>
  <sheetFormatPr defaultColWidth="8.85546875" defaultRowHeight="15" x14ac:dyDescent="0.25"/>
  <cols>
    <col min="2" max="2" width="16.42578125" customWidth="1"/>
    <col min="4" max="4" width="11" customWidth="1"/>
    <col min="5" max="14" width="8.85546875" style="3"/>
    <col min="22" max="22" width="17.140625" customWidth="1"/>
    <col min="23" max="23" width="10.140625" customWidth="1"/>
    <col min="32" max="32" width="18" customWidth="1"/>
  </cols>
  <sheetData>
    <row r="1" spans="1:39" s="1" customFormat="1" ht="39" customHeight="1" x14ac:dyDescent="0.25">
      <c r="A1" s="123" t="s">
        <v>21</v>
      </c>
      <c r="B1" s="123" t="s">
        <v>15</v>
      </c>
      <c r="C1" s="123" t="s">
        <v>102</v>
      </c>
      <c r="D1" s="123" t="s">
        <v>103</v>
      </c>
      <c r="E1" s="123" t="s">
        <v>104</v>
      </c>
      <c r="F1" s="123" t="s">
        <v>105</v>
      </c>
      <c r="G1" s="124" t="s">
        <v>106</v>
      </c>
      <c r="H1" s="124" t="s">
        <v>107</v>
      </c>
      <c r="I1" s="124" t="s">
        <v>108</v>
      </c>
      <c r="J1" s="123" t="s">
        <v>109</v>
      </c>
      <c r="K1" s="123" t="s">
        <v>110</v>
      </c>
      <c r="L1" s="123" t="s">
        <v>25</v>
      </c>
      <c r="M1" s="121" t="s">
        <v>26</v>
      </c>
      <c r="N1" s="121" t="s">
        <v>27</v>
      </c>
      <c r="O1" s="121" t="s">
        <v>28</v>
      </c>
      <c r="P1" s="121" t="s">
        <v>29</v>
      </c>
      <c r="Q1" s="121" t="s">
        <v>30</v>
      </c>
      <c r="R1" s="121" t="s">
        <v>31</v>
      </c>
      <c r="S1" s="121" t="s">
        <v>5</v>
      </c>
      <c r="T1" s="121" t="s">
        <v>32</v>
      </c>
      <c r="U1" s="122" t="s">
        <v>111</v>
      </c>
      <c r="V1" s="121" t="s">
        <v>112</v>
      </c>
      <c r="W1" s="125" t="s">
        <v>123</v>
      </c>
      <c r="X1" s="125"/>
      <c r="Y1" s="125"/>
      <c r="Z1" s="125"/>
      <c r="AA1" s="125"/>
      <c r="AB1" s="125"/>
      <c r="AC1" s="125"/>
      <c r="AD1" s="125"/>
      <c r="AE1" s="125"/>
      <c r="AF1" s="120" t="s">
        <v>101</v>
      </c>
    </row>
    <row r="2" spans="1:39" s="1" customFormat="1" x14ac:dyDescent="0.25">
      <c r="A2" s="123"/>
      <c r="B2" s="123"/>
      <c r="C2" s="123"/>
      <c r="D2" s="123"/>
      <c r="E2" s="123"/>
      <c r="F2" s="123"/>
      <c r="G2" s="124"/>
      <c r="H2" s="124"/>
      <c r="I2" s="124"/>
      <c r="J2" s="123"/>
      <c r="K2" s="123"/>
      <c r="L2" s="123"/>
      <c r="M2" s="121"/>
      <c r="N2" s="121"/>
      <c r="O2" s="121"/>
      <c r="P2" s="121"/>
      <c r="Q2" s="121"/>
      <c r="R2" s="121"/>
      <c r="S2" s="121"/>
      <c r="T2" s="121"/>
      <c r="U2" s="122"/>
      <c r="V2" s="121"/>
      <c r="W2" s="83" t="s">
        <v>25</v>
      </c>
      <c r="X2" s="84" t="s">
        <v>26</v>
      </c>
      <c r="Y2" s="84" t="s">
        <v>27</v>
      </c>
      <c r="Z2" s="84" t="s">
        <v>28</v>
      </c>
      <c r="AA2" s="84" t="s">
        <v>29</v>
      </c>
      <c r="AB2" s="84" t="s">
        <v>30</v>
      </c>
      <c r="AC2" s="84" t="s">
        <v>31</v>
      </c>
      <c r="AD2" s="84" t="s">
        <v>5</v>
      </c>
      <c r="AE2" s="84" t="s">
        <v>32</v>
      </c>
      <c r="AF2" s="120"/>
    </row>
    <row r="3" spans="1:39" s="1" customFormat="1" x14ac:dyDescent="0.25">
      <c r="A3" s="123"/>
      <c r="B3" s="123"/>
      <c r="C3" s="123"/>
      <c r="D3" s="123"/>
      <c r="E3" s="123"/>
      <c r="F3" s="123"/>
      <c r="G3" s="124"/>
      <c r="H3" s="124"/>
      <c r="I3" s="124"/>
      <c r="J3" s="123"/>
      <c r="K3" s="123"/>
      <c r="L3" s="123"/>
      <c r="M3" s="121"/>
      <c r="N3" s="121"/>
      <c r="O3" s="121"/>
      <c r="P3" s="121"/>
      <c r="Q3" s="121"/>
      <c r="R3" s="121"/>
      <c r="S3" s="121"/>
      <c r="T3" s="121"/>
      <c r="U3" s="122"/>
      <c r="V3" s="121"/>
      <c r="W3" s="44">
        <v>15</v>
      </c>
      <c r="X3" s="45" t="s">
        <v>115</v>
      </c>
      <c r="Y3" s="45" t="s">
        <v>116</v>
      </c>
      <c r="Z3" s="45" t="s">
        <v>117</v>
      </c>
      <c r="AA3" s="45" t="s">
        <v>118</v>
      </c>
      <c r="AB3" s="45" t="s">
        <v>119</v>
      </c>
      <c r="AC3" s="45" t="s">
        <v>120</v>
      </c>
      <c r="AD3" s="45" t="s">
        <v>121</v>
      </c>
      <c r="AE3" s="45" t="s">
        <v>122</v>
      </c>
      <c r="AF3" s="120"/>
      <c r="AG3" s="1" t="s">
        <v>138</v>
      </c>
      <c r="AH3" s="1" t="s">
        <v>139</v>
      </c>
      <c r="AI3" s="1" t="s">
        <v>140</v>
      </c>
      <c r="AJ3" s="1" t="s">
        <v>141</v>
      </c>
      <c r="AK3" s="1" t="s">
        <v>142</v>
      </c>
      <c r="AL3" s="1" t="s">
        <v>143</v>
      </c>
      <c r="AM3" s="1" t="s">
        <v>144</v>
      </c>
    </row>
    <row r="4" spans="1:39" s="1" customFormat="1" x14ac:dyDescent="0.25">
      <c r="A4" s="1">
        <v>1</v>
      </c>
      <c r="B4" s="39">
        <v>42539.666666666664</v>
      </c>
      <c r="C4" s="69">
        <v>46</v>
      </c>
      <c r="D4" s="69">
        <f>135</f>
        <v>135</v>
      </c>
      <c r="E4" s="65">
        <v>500</v>
      </c>
      <c r="F4" s="65"/>
      <c r="G4" s="65">
        <v>38.770000000000003</v>
      </c>
      <c r="H4" s="65" t="s">
        <v>113</v>
      </c>
      <c r="I4" s="70">
        <f>(G4*0.887/D4)*(E4/25)</f>
        <v>5.0946651851851854</v>
      </c>
      <c r="J4" s="70">
        <f>(G4*0.887/(D4*60))*(E4/25)</f>
        <v>8.491108641975309E-2</v>
      </c>
      <c r="K4" s="70">
        <f>(G4*1000*0.887/(D4*60))*(E4/25)</f>
        <v>84.91108641975309</v>
      </c>
      <c r="L4" s="1">
        <v>5</v>
      </c>
      <c r="M4" s="1">
        <v>10</v>
      </c>
      <c r="N4" s="1">
        <v>20</v>
      </c>
      <c r="O4" s="1">
        <v>40</v>
      </c>
      <c r="P4" s="1">
        <v>130</v>
      </c>
      <c r="Q4" s="1">
        <v>500</v>
      </c>
      <c r="R4" s="1">
        <v>200</v>
      </c>
      <c r="S4" s="1">
        <v>200</v>
      </c>
      <c r="T4" s="1">
        <v>50</v>
      </c>
      <c r="U4" s="46">
        <f t="shared" ref="U4:U9" si="0">SUM(L4:T4)</f>
        <v>1155</v>
      </c>
      <c r="V4" s="1" t="s">
        <v>22</v>
      </c>
      <c r="W4" s="80">
        <f>(L4*100)/$U$4</f>
        <v>0.4329004329004329</v>
      </c>
      <c r="X4" s="80">
        <f>(M4*100)/$U$4</f>
        <v>0.86580086580086579</v>
      </c>
      <c r="Y4" s="80">
        <f t="shared" ref="Y4:AE19" si="1">(N4*100)/$U$4</f>
        <v>1.7316017316017316</v>
      </c>
      <c r="Z4" s="80">
        <f t="shared" si="1"/>
        <v>3.4632034632034632</v>
      </c>
      <c r="AA4" s="80">
        <f t="shared" si="1"/>
        <v>11.255411255411255</v>
      </c>
      <c r="AB4" s="80">
        <f t="shared" si="1"/>
        <v>43.290043290043293</v>
      </c>
      <c r="AC4" s="80">
        <f t="shared" si="1"/>
        <v>17.316017316017316</v>
      </c>
      <c r="AD4" s="80">
        <f t="shared" si="1"/>
        <v>17.316017316017316</v>
      </c>
      <c r="AE4" s="80">
        <f t="shared" si="1"/>
        <v>4.329004329004329</v>
      </c>
      <c r="AF4" s="81">
        <f>(W4*$W$3+X4*$X$3+Y4*$Y$3+Z4*$Z$3+AA4*$AA$3+AB4*$AB$3+AC4*$AC$3+AD4*$AD$3+AE4*$AE$3)/100</f>
        <v>1.3820346320346319</v>
      </c>
      <c r="AG4" s="89">
        <v>0.31370925563513496</v>
      </c>
      <c r="AH4" s="89">
        <v>1.1933357430317202</v>
      </c>
      <c r="AI4" s="89">
        <v>2.64400367698989</v>
      </c>
      <c r="AJ4" s="90">
        <v>8.4281978599479099E-3</v>
      </c>
      <c r="AK4" s="89">
        <v>2.3302944213547598</v>
      </c>
      <c r="AL4" s="90">
        <v>3.1139591094961898E-3</v>
      </c>
      <c r="AM4" s="89">
        <v>1.2089021457893401</v>
      </c>
    </row>
    <row r="5" spans="1:39" s="1" customFormat="1" x14ac:dyDescent="0.25">
      <c r="A5" s="1">
        <v>2</v>
      </c>
      <c r="B5" s="39">
        <v>42540.791666666664</v>
      </c>
      <c r="C5" s="69">
        <v>46</v>
      </c>
      <c r="D5" s="69">
        <v>20</v>
      </c>
      <c r="E5" s="69">
        <v>500</v>
      </c>
      <c r="F5" s="69"/>
      <c r="G5" s="1">
        <v>9.15</v>
      </c>
      <c r="H5" s="1" t="s">
        <v>113</v>
      </c>
      <c r="I5" s="70">
        <f>(G5*0.887/D5)*(E5/25)</f>
        <v>8.1160499999999995</v>
      </c>
      <c r="J5" s="70">
        <f t="shared" ref="J5:J6" si="2">(G5*0.887/(D5*60))*(E5/25)</f>
        <v>0.13526749999999998</v>
      </c>
      <c r="K5" s="70">
        <f>(G5*1000*0.887/(D5*60))*(E5/25)</f>
        <v>135.26749999999998</v>
      </c>
      <c r="L5" s="1">
        <v>0</v>
      </c>
      <c r="M5" s="1">
        <v>10</v>
      </c>
      <c r="N5" s="1">
        <v>20</v>
      </c>
      <c r="O5" s="1">
        <v>120</v>
      </c>
      <c r="P5" s="1">
        <v>270</v>
      </c>
      <c r="Q5" s="46">
        <v>640</v>
      </c>
      <c r="R5" s="1">
        <v>70</v>
      </c>
      <c r="S5" s="1">
        <v>40</v>
      </c>
      <c r="T5" s="1">
        <v>5</v>
      </c>
      <c r="U5" s="46">
        <f t="shared" si="0"/>
        <v>1175</v>
      </c>
      <c r="V5" s="1" t="s">
        <v>22</v>
      </c>
      <c r="W5" s="80">
        <f t="shared" ref="W5:W20" si="3">(L5*100)/$U$4</f>
        <v>0</v>
      </c>
      <c r="X5" s="80">
        <f t="shared" ref="X5:AE20" si="4">(M5*100)/$U$4</f>
        <v>0.86580086580086579</v>
      </c>
      <c r="Y5" s="80">
        <f t="shared" si="1"/>
        <v>1.7316017316017316</v>
      </c>
      <c r="Z5" s="80">
        <f t="shared" si="1"/>
        <v>10.38961038961039</v>
      </c>
      <c r="AA5" s="80">
        <f t="shared" si="1"/>
        <v>23.376623376623378</v>
      </c>
      <c r="AB5" s="80">
        <f t="shared" si="1"/>
        <v>55.411255411255411</v>
      </c>
      <c r="AC5" s="80">
        <f t="shared" si="1"/>
        <v>6.0606060606060606</v>
      </c>
      <c r="AD5" s="80">
        <f t="shared" si="1"/>
        <v>3.4632034632034632</v>
      </c>
      <c r="AE5" s="80">
        <f t="shared" si="1"/>
        <v>0.4329004329004329</v>
      </c>
      <c r="AF5" s="81">
        <f t="shared" ref="AF5:AF20" si="5">(W5*$W$3+X5*$X$3+Y5*$Y$3+Z5*$Z$3+AA5*$AA$3+AB5*$AB$3+AC5*$AC$3+AD5*$AD$3+AE5*$AE$3)/100</f>
        <v>1.9014069264069264</v>
      </c>
      <c r="AG5" s="89">
        <v>1.0027112750502001</v>
      </c>
      <c r="AH5" s="89">
        <v>1.66818726513058</v>
      </c>
      <c r="AI5" s="89">
        <v>3.4451274351086698</v>
      </c>
      <c r="AJ5" s="90">
        <v>3.4358120037457297E-3</v>
      </c>
      <c r="AK5" s="89">
        <v>2.4424161600584697</v>
      </c>
      <c r="AL5" s="90">
        <v>1.9920132688721597E-3</v>
      </c>
      <c r="AM5" s="89">
        <v>1.2039105444995399</v>
      </c>
    </row>
    <row r="6" spans="1:39" s="1" customFormat="1" x14ac:dyDescent="0.25">
      <c r="A6" s="1">
        <v>3</v>
      </c>
      <c r="B6" s="39">
        <v>42541.5</v>
      </c>
      <c r="C6" s="69">
        <v>43</v>
      </c>
      <c r="D6" s="69">
        <v>10</v>
      </c>
      <c r="E6" s="69">
        <v>490</v>
      </c>
      <c r="F6" s="69"/>
      <c r="G6" s="1">
        <v>1.1000000000000001</v>
      </c>
      <c r="H6" s="1" t="s">
        <v>113</v>
      </c>
      <c r="I6" s="70">
        <f>(G6*0.887/D6)*(E6/25)</f>
        <v>1.9123720000000004</v>
      </c>
      <c r="J6" s="70">
        <f t="shared" si="2"/>
        <v>3.1872866666666673E-2</v>
      </c>
      <c r="K6" s="70">
        <f>(G6*1000*0.887/(D6*60))*(E6/25)</f>
        <v>31.87286666666667</v>
      </c>
      <c r="L6" s="1">
        <v>20</v>
      </c>
      <c r="M6" s="1">
        <v>40</v>
      </c>
      <c r="N6" s="1">
        <v>10</v>
      </c>
      <c r="O6" s="1">
        <v>150</v>
      </c>
      <c r="P6" s="1">
        <v>350</v>
      </c>
      <c r="Q6" s="1">
        <v>520</v>
      </c>
      <c r="R6" s="1">
        <v>10</v>
      </c>
      <c r="S6" s="1">
        <v>10</v>
      </c>
      <c r="T6" s="1">
        <v>5</v>
      </c>
      <c r="U6" s="46">
        <f t="shared" si="0"/>
        <v>1115</v>
      </c>
      <c r="V6" s="1" t="s">
        <v>22</v>
      </c>
      <c r="W6" s="80">
        <f t="shared" si="3"/>
        <v>1.7316017316017316</v>
      </c>
      <c r="X6" s="80">
        <f t="shared" si="4"/>
        <v>3.4632034632034632</v>
      </c>
      <c r="Y6" s="80">
        <f t="shared" si="1"/>
        <v>0.86580086580086579</v>
      </c>
      <c r="Z6" s="80">
        <f t="shared" si="1"/>
        <v>12.987012987012987</v>
      </c>
      <c r="AA6" s="80">
        <f t="shared" si="1"/>
        <v>30.303030303030305</v>
      </c>
      <c r="AB6" s="80">
        <f t="shared" si="1"/>
        <v>45.021645021645021</v>
      </c>
      <c r="AC6" s="80">
        <f t="shared" si="1"/>
        <v>0.86580086580086579</v>
      </c>
      <c r="AD6" s="80">
        <f t="shared" si="1"/>
        <v>0.86580086580086579</v>
      </c>
      <c r="AE6" s="80">
        <f t="shared" si="1"/>
        <v>0.4329004329004329</v>
      </c>
      <c r="AF6" s="81">
        <f t="shared" si="5"/>
        <v>2.4336580086580089</v>
      </c>
      <c r="AG6" s="89">
        <v>1.1222127069677899</v>
      </c>
      <c r="AH6" s="89">
        <v>2.0291725056782401</v>
      </c>
      <c r="AI6" s="89">
        <v>4.3410206351721996</v>
      </c>
      <c r="AJ6" s="90">
        <v>3.8682690083786499E-3</v>
      </c>
      <c r="AK6" s="89">
        <v>3.21880792820442</v>
      </c>
      <c r="AL6" s="90">
        <v>1.9983254997254702E-3</v>
      </c>
      <c r="AM6" s="89">
        <v>1.4001321017220401</v>
      </c>
    </row>
    <row r="7" spans="1:39" s="1" customFormat="1" x14ac:dyDescent="0.25">
      <c r="A7" s="1">
        <v>4</v>
      </c>
      <c r="B7" s="39">
        <v>42541.75</v>
      </c>
      <c r="C7" s="71">
        <v>43</v>
      </c>
      <c r="D7" s="69">
        <v>10</v>
      </c>
      <c r="E7" s="69">
        <v>490</v>
      </c>
      <c r="F7" s="69"/>
      <c r="G7" s="1" t="s">
        <v>113</v>
      </c>
      <c r="H7" s="1">
        <f>U7/1000</f>
        <v>0.58499999999999996</v>
      </c>
      <c r="I7" s="70">
        <f t="shared" ref="I7:I15" si="6">(H7/D7)*(E7/25)</f>
        <v>1.1466000000000001</v>
      </c>
      <c r="J7" s="70">
        <f>(H7/(D7*60))*(E7/25)</f>
        <v>1.9110000000000002E-2</v>
      </c>
      <c r="K7" s="70">
        <f t="shared" ref="K7:K15" si="7">(H7*1000/(D7*60))*(E7/25)</f>
        <v>19.11</v>
      </c>
      <c r="L7" s="1">
        <v>40</v>
      </c>
      <c r="M7" s="1">
        <v>20</v>
      </c>
      <c r="N7" s="1">
        <v>20</v>
      </c>
      <c r="O7" s="1">
        <v>70</v>
      </c>
      <c r="P7" s="1">
        <v>190</v>
      </c>
      <c r="Q7" s="1">
        <v>210</v>
      </c>
      <c r="R7" s="1">
        <v>10</v>
      </c>
      <c r="S7" s="1">
        <v>20</v>
      </c>
      <c r="T7" s="1">
        <v>5</v>
      </c>
      <c r="U7" s="46">
        <f t="shared" si="0"/>
        <v>585</v>
      </c>
      <c r="V7" s="1" t="s">
        <v>22</v>
      </c>
      <c r="W7" s="80">
        <f t="shared" si="3"/>
        <v>3.4632034632034632</v>
      </c>
      <c r="X7" s="80">
        <f t="shared" si="4"/>
        <v>1.7316017316017316</v>
      </c>
      <c r="Y7" s="80">
        <f t="shared" si="1"/>
        <v>1.7316017316017316</v>
      </c>
      <c r="Z7" s="80">
        <f t="shared" si="1"/>
        <v>6.0606060606060606</v>
      </c>
      <c r="AA7" s="80">
        <f t="shared" si="1"/>
        <v>16.450216450216452</v>
      </c>
      <c r="AB7" s="80">
        <f t="shared" si="1"/>
        <v>18.181818181818183</v>
      </c>
      <c r="AC7" s="80">
        <f t="shared" si="1"/>
        <v>0.86580086580086579</v>
      </c>
      <c r="AD7" s="80">
        <f t="shared" si="1"/>
        <v>1.7316017316017316</v>
      </c>
      <c r="AE7" s="80">
        <f t="shared" si="1"/>
        <v>0.4329004329004329</v>
      </c>
      <c r="AF7" s="81">
        <f t="shared" si="5"/>
        <v>1.6559523809523811</v>
      </c>
      <c r="AG7" s="89">
        <v>1.08065406136885</v>
      </c>
      <c r="AH7" s="89">
        <v>2.2133638394006399</v>
      </c>
      <c r="AI7" s="89">
        <v>7.1897814137894498</v>
      </c>
      <c r="AJ7" s="90">
        <v>6.6531757671666799E-3</v>
      </c>
      <c r="AK7" s="89">
        <v>6.1091273524206002</v>
      </c>
      <c r="AL7" s="90">
        <v>2.1356583855104798E-3</v>
      </c>
      <c r="AM7" s="89">
        <v>1.6395396951454999</v>
      </c>
    </row>
    <row r="8" spans="1:39" s="1" customFormat="1" x14ac:dyDescent="0.25">
      <c r="A8" s="1">
        <v>5</v>
      </c>
      <c r="B8" s="39">
        <v>42542.75</v>
      </c>
      <c r="C8" s="71">
        <v>47</v>
      </c>
      <c r="D8" s="71">
        <v>5</v>
      </c>
      <c r="E8" s="71">
        <v>510</v>
      </c>
      <c r="F8" s="71"/>
      <c r="G8" s="1" t="s">
        <v>113</v>
      </c>
      <c r="H8" s="1">
        <f>U8/1000</f>
        <v>1.45</v>
      </c>
      <c r="I8" s="70">
        <f>(H8/D8)*(E8/25)</f>
        <v>5.9159999999999995</v>
      </c>
      <c r="J8" s="70">
        <f t="shared" ref="J8:J20" si="8">(H8/(D8*60))*(E8/25)</f>
        <v>9.8599999999999993E-2</v>
      </c>
      <c r="K8" s="70">
        <f t="shared" si="7"/>
        <v>98.59999999999998</v>
      </c>
      <c r="L8" s="1">
        <v>60</v>
      </c>
      <c r="M8" s="1">
        <v>20</v>
      </c>
      <c r="N8" s="1">
        <v>90</v>
      </c>
      <c r="O8" s="1">
        <v>220</v>
      </c>
      <c r="P8" s="1">
        <v>470</v>
      </c>
      <c r="Q8" s="3">
        <v>520</v>
      </c>
      <c r="R8" s="1">
        <v>40</v>
      </c>
      <c r="S8" s="1">
        <v>20</v>
      </c>
      <c r="T8" s="1">
        <v>10</v>
      </c>
      <c r="U8" s="46">
        <f t="shared" si="0"/>
        <v>1450</v>
      </c>
      <c r="V8" s="1" t="s">
        <v>22</v>
      </c>
      <c r="W8" s="80">
        <f t="shared" si="3"/>
        <v>5.1948051948051948</v>
      </c>
      <c r="X8" s="80">
        <f t="shared" si="4"/>
        <v>1.7316017316017316</v>
      </c>
      <c r="Y8" s="80">
        <f t="shared" si="1"/>
        <v>7.7922077922077921</v>
      </c>
      <c r="Z8" s="80">
        <f t="shared" si="1"/>
        <v>19.047619047619047</v>
      </c>
      <c r="AA8" s="80">
        <f t="shared" si="1"/>
        <v>40.692640692640694</v>
      </c>
      <c r="AB8" s="80">
        <f t="shared" si="1"/>
        <v>45.021645021645021</v>
      </c>
      <c r="AC8" s="80">
        <f t="shared" si="1"/>
        <v>3.4632034632034632</v>
      </c>
      <c r="AD8" s="80">
        <f t="shared" si="1"/>
        <v>1.7316017316017316</v>
      </c>
      <c r="AE8" s="80">
        <f t="shared" si="1"/>
        <v>0.86580086580086579</v>
      </c>
      <c r="AF8" s="81">
        <f t="shared" si="5"/>
        <v>3.7469696969696975</v>
      </c>
      <c r="AG8" s="89">
        <v>1.10514124578675</v>
      </c>
      <c r="AH8" s="89">
        <v>2.2470327378441599</v>
      </c>
      <c r="AI8" s="89">
        <v>5.4898581791296905</v>
      </c>
      <c r="AJ8" s="90">
        <v>4.9675624722715405E-3</v>
      </c>
      <c r="AK8" s="89">
        <v>4.3847169333429399</v>
      </c>
      <c r="AL8" s="90">
        <v>2.1653244303294697E-3</v>
      </c>
      <c r="AM8" s="89">
        <v>1.7209815872126202</v>
      </c>
    </row>
    <row r="9" spans="1:39" s="1" customFormat="1" x14ac:dyDescent="0.25">
      <c r="A9" s="1">
        <v>7</v>
      </c>
      <c r="B9" s="117">
        <v>42543.583333333336</v>
      </c>
      <c r="C9" s="71">
        <v>46</v>
      </c>
      <c r="D9" s="71">
        <v>5</v>
      </c>
      <c r="E9" s="71">
        <v>500</v>
      </c>
      <c r="F9" s="72">
        <v>144</v>
      </c>
      <c r="G9" s="1" t="s">
        <v>113</v>
      </c>
      <c r="H9" s="71">
        <v>0.78</v>
      </c>
      <c r="I9" s="70">
        <f t="shared" si="6"/>
        <v>3.12</v>
      </c>
      <c r="J9" s="70">
        <f t="shared" si="8"/>
        <v>5.1999999999999998E-2</v>
      </c>
      <c r="K9" s="70">
        <f t="shared" si="7"/>
        <v>52</v>
      </c>
      <c r="L9" s="1">
        <v>40</v>
      </c>
      <c r="M9" s="1">
        <v>20</v>
      </c>
      <c r="N9" s="1">
        <v>20</v>
      </c>
      <c r="O9" s="1">
        <v>130</v>
      </c>
      <c r="P9" s="1">
        <v>290</v>
      </c>
      <c r="Q9" s="1">
        <v>370</v>
      </c>
      <c r="R9" s="1">
        <v>10</v>
      </c>
      <c r="S9" s="1">
        <v>5</v>
      </c>
      <c r="T9" s="1">
        <v>2</v>
      </c>
      <c r="U9" s="37">
        <f t="shared" si="0"/>
        <v>887</v>
      </c>
      <c r="V9" s="46" t="s">
        <v>22</v>
      </c>
      <c r="W9" s="80">
        <f t="shared" si="3"/>
        <v>3.4632034632034632</v>
      </c>
      <c r="X9" s="80">
        <f t="shared" si="4"/>
        <v>1.7316017316017316</v>
      </c>
      <c r="Y9" s="80">
        <f t="shared" si="1"/>
        <v>1.7316017316017316</v>
      </c>
      <c r="Z9" s="80">
        <f t="shared" si="1"/>
        <v>11.255411255411255</v>
      </c>
      <c r="AA9" s="80">
        <f t="shared" si="1"/>
        <v>25.10822510822511</v>
      </c>
      <c r="AB9" s="80">
        <f t="shared" si="1"/>
        <v>32.034632034632033</v>
      </c>
      <c r="AC9" s="80">
        <f t="shared" si="1"/>
        <v>0.86580086580086579</v>
      </c>
      <c r="AD9" s="80">
        <f t="shared" si="1"/>
        <v>0.4329004329004329</v>
      </c>
      <c r="AE9" s="80">
        <f t="shared" si="1"/>
        <v>0.17316017316017315</v>
      </c>
      <c r="AF9" s="81">
        <f t="shared" si="5"/>
        <v>2.241233766233766</v>
      </c>
      <c r="AG9" s="89">
        <v>1.1437595455032599</v>
      </c>
      <c r="AH9" s="89">
        <v>2.16439952832823</v>
      </c>
      <c r="AI9" s="89">
        <v>4.8319585864971693</v>
      </c>
      <c r="AJ9" s="90">
        <v>4.2246279871448701E-3</v>
      </c>
      <c r="AK9" s="89">
        <v>3.68819904099391</v>
      </c>
      <c r="AL9" s="90">
        <v>2.0109581464290201E-3</v>
      </c>
      <c r="AM9" s="89">
        <v>1.483599461621</v>
      </c>
    </row>
    <row r="10" spans="1:39" s="1" customFormat="1" x14ac:dyDescent="0.25">
      <c r="A10" s="1">
        <v>8</v>
      </c>
      <c r="B10" s="117">
        <v>42545.666666666664</v>
      </c>
      <c r="C10" s="71">
        <v>50</v>
      </c>
      <c r="D10" s="71">
        <v>5</v>
      </c>
      <c r="E10" s="71">
        <v>510</v>
      </c>
      <c r="F10" s="72">
        <v>243</v>
      </c>
      <c r="H10" s="1">
        <v>3.1309999999999998</v>
      </c>
      <c r="I10" s="70">
        <f t="shared" si="6"/>
        <v>12.774479999999999</v>
      </c>
      <c r="J10" s="70">
        <f>(H10/(D10*60))*(E10/25)</f>
        <v>0.21290799999999996</v>
      </c>
      <c r="K10" s="70">
        <f t="shared" si="7"/>
        <v>212.90799999999999</v>
      </c>
      <c r="L10" s="1">
        <v>50</v>
      </c>
      <c r="M10" s="1">
        <v>50</v>
      </c>
      <c r="N10" s="1">
        <v>130</v>
      </c>
      <c r="O10" s="1">
        <v>340</v>
      </c>
      <c r="P10" s="1">
        <v>791</v>
      </c>
      <c r="Q10" s="1">
        <v>1510</v>
      </c>
      <c r="R10" s="1">
        <v>140</v>
      </c>
      <c r="S10" s="1">
        <v>60</v>
      </c>
      <c r="T10" s="1">
        <v>60</v>
      </c>
      <c r="U10" s="37">
        <f t="shared" ref="U10:U15" si="9">SUM(L10:T10)</f>
        <v>3131</v>
      </c>
      <c r="V10" s="46" t="s">
        <v>22</v>
      </c>
      <c r="W10" s="80">
        <f t="shared" si="3"/>
        <v>4.329004329004329</v>
      </c>
      <c r="X10" s="80">
        <f t="shared" si="4"/>
        <v>4.329004329004329</v>
      </c>
      <c r="Y10" s="80">
        <f t="shared" si="1"/>
        <v>11.255411255411255</v>
      </c>
      <c r="Z10" s="80">
        <f t="shared" si="1"/>
        <v>29.437229437229437</v>
      </c>
      <c r="AA10" s="80">
        <f t="shared" si="1"/>
        <v>68.484848484848484</v>
      </c>
      <c r="AB10" s="80">
        <f t="shared" si="1"/>
        <v>130.73593073593074</v>
      </c>
      <c r="AC10" s="80">
        <f t="shared" si="1"/>
        <v>12.121212121212121</v>
      </c>
      <c r="AD10" s="80">
        <f t="shared" si="1"/>
        <v>5.1948051948051948</v>
      </c>
      <c r="AE10" s="80">
        <f t="shared" si="1"/>
        <v>5.1948051948051948</v>
      </c>
      <c r="AF10" s="81">
        <f t="shared" si="5"/>
        <v>6.2679653679653669</v>
      </c>
      <c r="AG10" s="89">
        <v>1.02467440737453</v>
      </c>
      <c r="AH10" s="89">
        <v>1.8207963067300399</v>
      </c>
      <c r="AI10" s="89">
        <v>4.4131385261782299</v>
      </c>
      <c r="AJ10" s="90">
        <v>4.3068690838934604E-3</v>
      </c>
      <c r="AK10" s="89">
        <v>3.3884641188036997</v>
      </c>
      <c r="AL10" s="90">
        <v>2.1161427935152601E-3</v>
      </c>
      <c r="AM10" s="89">
        <v>1.4188417253801799</v>
      </c>
    </row>
    <row r="11" spans="1:39" s="1" customFormat="1" x14ac:dyDescent="0.25">
      <c r="A11" s="1">
        <v>11</v>
      </c>
      <c r="B11" s="117">
        <v>42546.833333333336</v>
      </c>
      <c r="C11" s="1">
        <v>50</v>
      </c>
      <c r="D11" s="71">
        <v>3.5</v>
      </c>
      <c r="E11" s="71">
        <v>540</v>
      </c>
      <c r="F11" s="37">
        <f>AVERAGE(235,242,237)</f>
        <v>238</v>
      </c>
      <c r="H11" s="1">
        <v>5.2169999999999996</v>
      </c>
      <c r="I11" s="70">
        <f t="shared" si="6"/>
        <v>32.196342857142859</v>
      </c>
      <c r="J11" s="70">
        <f t="shared" si="8"/>
        <v>0.53660571428571435</v>
      </c>
      <c r="K11" s="70">
        <f t="shared" si="7"/>
        <v>536.60571428571427</v>
      </c>
      <c r="L11" s="1">
        <v>60</v>
      </c>
      <c r="M11" s="1">
        <v>80</v>
      </c>
      <c r="N11" s="1">
        <v>150</v>
      </c>
      <c r="O11" s="1">
        <v>650</v>
      </c>
      <c r="P11" s="1">
        <v>1240</v>
      </c>
      <c r="Q11" s="1">
        <v>2560</v>
      </c>
      <c r="R11" s="1">
        <v>320</v>
      </c>
      <c r="S11" s="1">
        <v>150</v>
      </c>
      <c r="T11" s="1">
        <v>7</v>
      </c>
      <c r="U11" s="37">
        <f t="shared" si="9"/>
        <v>5217</v>
      </c>
      <c r="V11" s="1" t="s">
        <v>22</v>
      </c>
      <c r="W11" s="80">
        <f t="shared" si="3"/>
        <v>5.1948051948051948</v>
      </c>
      <c r="X11" s="80">
        <f t="shared" si="4"/>
        <v>6.9264069264069263</v>
      </c>
      <c r="Y11" s="80">
        <f t="shared" si="1"/>
        <v>12.987012987012987</v>
      </c>
      <c r="Z11" s="80">
        <f t="shared" si="1"/>
        <v>56.277056277056275</v>
      </c>
      <c r="AA11" s="80">
        <f t="shared" si="1"/>
        <v>107.35930735930737</v>
      </c>
      <c r="AB11" s="80">
        <f t="shared" si="1"/>
        <v>221.64502164502164</v>
      </c>
      <c r="AC11" s="80">
        <f t="shared" si="1"/>
        <v>27.705627705627705</v>
      </c>
      <c r="AD11" s="80">
        <f t="shared" si="1"/>
        <v>12.987012987012987</v>
      </c>
      <c r="AE11" s="80">
        <f t="shared" si="1"/>
        <v>0.60606060606060608</v>
      </c>
      <c r="AF11" s="81">
        <f t="shared" si="5"/>
        <v>9.9992424242424232</v>
      </c>
      <c r="AG11" s="89">
        <v>1.0121765372737199</v>
      </c>
      <c r="AH11" s="89">
        <v>1.7809131813829</v>
      </c>
      <c r="AI11" s="89">
        <v>4.1676328997685994</v>
      </c>
      <c r="AJ11" s="90">
        <v>4.1174960555735197E-3</v>
      </c>
      <c r="AK11" s="89">
        <v>3.1554563624948799</v>
      </c>
      <c r="AL11" s="90">
        <v>2.1287185786414199E-3</v>
      </c>
      <c r="AM11" s="89">
        <v>1.4120883512289299</v>
      </c>
    </row>
    <row r="12" spans="1:39" s="1" customFormat="1" x14ac:dyDescent="0.25">
      <c r="A12" s="1">
        <v>12</v>
      </c>
      <c r="B12" s="39">
        <v>42549.541666666664</v>
      </c>
      <c r="C12" s="1">
        <v>54</v>
      </c>
      <c r="D12" s="71">
        <v>4</v>
      </c>
      <c r="E12" s="71">
        <v>530</v>
      </c>
      <c r="F12" s="73">
        <v>250</v>
      </c>
      <c r="H12" s="1">
        <v>0.28799999999999998</v>
      </c>
      <c r="I12" s="70">
        <f t="shared" si="6"/>
        <v>1.5263999999999998</v>
      </c>
      <c r="J12" s="70">
        <f t="shared" si="8"/>
        <v>2.5439999999999997E-2</v>
      </c>
      <c r="K12" s="70">
        <f t="shared" si="7"/>
        <v>25.439999999999998</v>
      </c>
      <c r="L12" s="1">
        <v>0</v>
      </c>
      <c r="M12" s="1">
        <v>7</v>
      </c>
      <c r="N12" s="1">
        <v>6</v>
      </c>
      <c r="O12" s="1">
        <v>40</v>
      </c>
      <c r="P12" s="1">
        <v>100</v>
      </c>
      <c r="Q12" s="1">
        <v>110</v>
      </c>
      <c r="R12" s="1">
        <v>10</v>
      </c>
      <c r="S12" s="1">
        <v>10</v>
      </c>
      <c r="T12" s="1">
        <v>5</v>
      </c>
      <c r="U12" s="37">
        <f t="shared" si="9"/>
        <v>288</v>
      </c>
      <c r="V12" s="1" t="s">
        <v>22</v>
      </c>
      <c r="W12" s="80">
        <f t="shared" si="3"/>
        <v>0</v>
      </c>
      <c r="X12" s="80">
        <f t="shared" si="4"/>
        <v>0.60606060606060608</v>
      </c>
      <c r="Y12" s="80">
        <f t="shared" si="1"/>
        <v>0.51948051948051943</v>
      </c>
      <c r="Z12" s="80">
        <f t="shared" si="1"/>
        <v>3.4632034632034632</v>
      </c>
      <c r="AA12" s="80">
        <f t="shared" si="1"/>
        <v>8.6580086580086579</v>
      </c>
      <c r="AB12" s="80">
        <f t="shared" si="1"/>
        <v>9.5238095238095237</v>
      </c>
      <c r="AC12" s="80">
        <f t="shared" si="1"/>
        <v>0.86580086580086579</v>
      </c>
      <c r="AD12" s="80">
        <f t="shared" si="1"/>
        <v>0.86580086580086579</v>
      </c>
      <c r="AE12" s="80">
        <f t="shared" si="1"/>
        <v>0.4329004329004329</v>
      </c>
      <c r="AF12" s="81">
        <f t="shared" si="5"/>
        <v>0.5622294372294373</v>
      </c>
      <c r="AG12" s="89">
        <v>1.0242340699375099</v>
      </c>
      <c r="AH12" s="89">
        <v>2.0743317223459297</v>
      </c>
      <c r="AI12" s="89">
        <v>4.0863893924976304</v>
      </c>
      <c r="AJ12" s="90">
        <v>3.9897026592241097E-3</v>
      </c>
      <c r="AK12" s="89">
        <v>3.0621553225601099</v>
      </c>
      <c r="AL12" s="90">
        <v>2.0655799447285399E-3</v>
      </c>
      <c r="AM12" s="89">
        <v>1.4328738118253801</v>
      </c>
    </row>
    <row r="13" spans="1:39" s="1" customFormat="1" x14ac:dyDescent="0.25">
      <c r="A13" s="1">
        <v>14</v>
      </c>
      <c r="B13" s="117">
        <v>42551.708333333336</v>
      </c>
      <c r="C13" s="1">
        <v>56</v>
      </c>
      <c r="D13" s="71">
        <v>5</v>
      </c>
      <c r="E13" s="71">
        <v>540</v>
      </c>
      <c r="F13" s="37">
        <v>127</v>
      </c>
      <c r="H13" s="1">
        <v>1.25</v>
      </c>
      <c r="I13" s="70">
        <f t="shared" si="6"/>
        <v>5.4</v>
      </c>
      <c r="J13" s="70">
        <f t="shared" si="8"/>
        <v>9.0000000000000011E-2</v>
      </c>
      <c r="K13" s="70">
        <f t="shared" si="7"/>
        <v>90.000000000000014</v>
      </c>
      <c r="L13" s="1">
        <v>300</v>
      </c>
      <c r="M13" s="1">
        <v>130</v>
      </c>
      <c r="N13" s="1">
        <v>160</v>
      </c>
      <c r="O13" s="1">
        <v>270</v>
      </c>
      <c r="P13" s="1">
        <v>240</v>
      </c>
      <c r="Q13" s="1">
        <v>120</v>
      </c>
      <c r="R13" s="1">
        <v>10</v>
      </c>
      <c r="S13" s="1">
        <v>10</v>
      </c>
      <c r="T13" s="1">
        <v>10</v>
      </c>
      <c r="U13" s="37">
        <f t="shared" si="9"/>
        <v>1250</v>
      </c>
      <c r="V13" s="1" t="s">
        <v>22</v>
      </c>
      <c r="W13" s="80">
        <f t="shared" si="3"/>
        <v>25.974025974025974</v>
      </c>
      <c r="X13" s="80">
        <f t="shared" si="4"/>
        <v>11.255411255411255</v>
      </c>
      <c r="Y13" s="80">
        <f t="shared" si="1"/>
        <v>13.852813852813853</v>
      </c>
      <c r="Z13" s="80">
        <f t="shared" si="1"/>
        <v>23.376623376623378</v>
      </c>
      <c r="AA13" s="80">
        <f t="shared" si="1"/>
        <v>20.779220779220779</v>
      </c>
      <c r="AB13" s="80">
        <f t="shared" si="1"/>
        <v>10.38961038961039</v>
      </c>
      <c r="AC13" s="80">
        <f t="shared" si="1"/>
        <v>0.86580086580086579</v>
      </c>
      <c r="AD13" s="80">
        <f t="shared" si="1"/>
        <v>0.86580086580086579</v>
      </c>
      <c r="AE13" s="80">
        <f t="shared" si="1"/>
        <v>0.86580086580086579</v>
      </c>
      <c r="AF13" s="81">
        <f t="shared" si="5"/>
        <v>7.2740259740259727</v>
      </c>
      <c r="AG13" s="89">
        <v>1.7310731220122899</v>
      </c>
      <c r="AH13" s="89">
        <v>4.6796334116615697</v>
      </c>
      <c r="AI13" s="89">
        <v>14.2200030141271</v>
      </c>
      <c r="AJ13" s="90">
        <v>8.2145594159518005E-3</v>
      </c>
      <c r="AK13" s="89">
        <v>12.4889298921148</v>
      </c>
      <c r="AL13" s="90">
        <v>3.6715303997416899E-3</v>
      </c>
      <c r="AM13" s="89">
        <v>7.0310238767561408</v>
      </c>
    </row>
    <row r="14" spans="1:39" s="1" customFormat="1" x14ac:dyDescent="0.25">
      <c r="A14" s="1">
        <v>15</v>
      </c>
      <c r="B14" s="39">
        <v>42552.541666666664</v>
      </c>
      <c r="C14" s="1">
        <v>58</v>
      </c>
      <c r="D14" s="71">
        <v>5</v>
      </c>
      <c r="E14" s="1">
        <v>530</v>
      </c>
      <c r="H14" s="1">
        <v>0.81499999999999995</v>
      </c>
      <c r="I14" s="70">
        <f t="shared" si="6"/>
        <v>3.4555999999999996</v>
      </c>
      <c r="J14" s="70">
        <f t="shared" si="8"/>
        <v>5.7593333333333323E-2</v>
      </c>
      <c r="K14" s="70">
        <f t="shared" si="7"/>
        <v>57.593333333333334</v>
      </c>
      <c r="L14" s="1">
        <v>20</v>
      </c>
      <c r="M14" s="1">
        <v>40</v>
      </c>
      <c r="N14" s="1">
        <v>60</v>
      </c>
      <c r="O14" s="1">
        <v>180</v>
      </c>
      <c r="P14" s="1">
        <v>210</v>
      </c>
      <c r="Q14" s="1">
        <v>260</v>
      </c>
      <c r="R14" s="1">
        <v>20</v>
      </c>
      <c r="S14" s="1">
        <v>20</v>
      </c>
      <c r="T14" s="1">
        <v>5</v>
      </c>
      <c r="U14" s="37">
        <f t="shared" si="9"/>
        <v>815</v>
      </c>
      <c r="V14" s="1" t="s">
        <v>22</v>
      </c>
      <c r="W14" s="80">
        <f t="shared" si="3"/>
        <v>1.7316017316017316</v>
      </c>
      <c r="X14" s="80">
        <f t="shared" si="4"/>
        <v>3.4632034632034632</v>
      </c>
      <c r="Y14" s="80">
        <f t="shared" si="1"/>
        <v>5.1948051948051948</v>
      </c>
      <c r="Z14" s="80">
        <f t="shared" si="1"/>
        <v>15.584415584415584</v>
      </c>
      <c r="AA14" s="80">
        <f t="shared" si="1"/>
        <v>18.181818181818183</v>
      </c>
      <c r="AB14" s="80">
        <f t="shared" si="1"/>
        <v>22.510822510822511</v>
      </c>
      <c r="AC14" s="80">
        <f t="shared" si="1"/>
        <v>1.7316017316017316</v>
      </c>
      <c r="AD14" s="80">
        <f t="shared" si="1"/>
        <v>1.7316017316017316</v>
      </c>
      <c r="AE14" s="80">
        <f t="shared" si="1"/>
        <v>0.4329004329004329</v>
      </c>
      <c r="AF14" s="81">
        <f t="shared" si="5"/>
        <v>2.2338744588744586</v>
      </c>
      <c r="AG14" s="89">
        <v>1.1021989175087898</v>
      </c>
      <c r="AH14" s="89">
        <v>2.43769463032669</v>
      </c>
      <c r="AI14" s="89">
        <v>6.2049101043246502</v>
      </c>
      <c r="AJ14" s="90">
        <v>5.6295737600151902E-3</v>
      </c>
      <c r="AK14" s="89">
        <v>5.1027111868158599</v>
      </c>
      <c r="AL14" s="90">
        <v>2.5819435483013403E-3</v>
      </c>
      <c r="AM14" s="89">
        <v>2.4154216247901301</v>
      </c>
    </row>
    <row r="15" spans="1:39" s="1" customFormat="1" x14ac:dyDescent="0.25">
      <c r="A15" s="1">
        <v>16</v>
      </c>
      <c r="B15" s="39">
        <v>42556.666666666664</v>
      </c>
      <c r="C15" s="1">
        <v>50</v>
      </c>
      <c r="D15" s="1">
        <v>6</v>
      </c>
      <c r="E15" s="1">
        <v>540</v>
      </c>
      <c r="H15" s="1">
        <v>0.83499999999999996</v>
      </c>
      <c r="I15" s="70">
        <f t="shared" si="6"/>
        <v>3.0060000000000002</v>
      </c>
      <c r="J15" s="70">
        <f t="shared" si="8"/>
        <v>5.0099999999999999E-2</v>
      </c>
      <c r="K15" s="70">
        <f t="shared" si="7"/>
        <v>50.100000000000009</v>
      </c>
      <c r="L15" s="1">
        <v>0</v>
      </c>
      <c r="M15" s="1">
        <v>5</v>
      </c>
      <c r="N15" s="1">
        <v>10</v>
      </c>
      <c r="O15" s="1">
        <v>50</v>
      </c>
      <c r="P15" s="1">
        <v>120</v>
      </c>
      <c r="Q15" s="1">
        <v>470</v>
      </c>
      <c r="R15" s="1">
        <v>60</v>
      </c>
      <c r="S15" s="1">
        <v>60</v>
      </c>
      <c r="T15" s="1">
        <v>60</v>
      </c>
      <c r="U15" s="37">
        <f t="shared" si="9"/>
        <v>835</v>
      </c>
      <c r="V15" s="1" t="s">
        <v>22</v>
      </c>
      <c r="W15" s="80">
        <f t="shared" si="3"/>
        <v>0</v>
      </c>
      <c r="X15" s="80">
        <f t="shared" si="4"/>
        <v>0.4329004329004329</v>
      </c>
      <c r="Y15" s="80">
        <f t="shared" si="1"/>
        <v>0.86580086580086579</v>
      </c>
      <c r="Z15" s="80">
        <f t="shared" si="1"/>
        <v>4.329004329004329</v>
      </c>
      <c r="AA15" s="80">
        <f t="shared" si="1"/>
        <v>10.38961038961039</v>
      </c>
      <c r="AB15" s="80">
        <f t="shared" si="1"/>
        <v>40.692640692640694</v>
      </c>
      <c r="AC15" s="80">
        <f t="shared" si="1"/>
        <v>5.1948051948051948</v>
      </c>
      <c r="AD15" s="80">
        <f t="shared" si="1"/>
        <v>5.1948051948051948</v>
      </c>
      <c r="AE15" s="80">
        <f t="shared" si="1"/>
        <v>5.1948051948051948</v>
      </c>
      <c r="AF15" s="81">
        <f t="shared" si="5"/>
        <v>1.074891774891775</v>
      </c>
      <c r="AG15" s="89">
        <v>0.32797702610936197</v>
      </c>
      <c r="AH15" s="89">
        <v>1.41943732540122</v>
      </c>
      <c r="AI15" s="89">
        <v>2.8182132490165799</v>
      </c>
      <c r="AJ15" s="90">
        <v>8.5927154180514605E-3</v>
      </c>
      <c r="AK15" s="89">
        <v>2.4902362229072201</v>
      </c>
      <c r="AL15" s="90">
        <v>1.8509909895738398E-3</v>
      </c>
      <c r="AM15" s="89">
        <v>0.8878488379654621</v>
      </c>
    </row>
    <row r="16" spans="1:39" s="1" customFormat="1" x14ac:dyDescent="0.25">
      <c r="J16" s="70"/>
      <c r="W16" s="80"/>
      <c r="X16" s="80"/>
      <c r="Y16" s="80"/>
      <c r="Z16" s="80"/>
      <c r="AA16" s="80"/>
      <c r="AB16" s="80"/>
      <c r="AC16" s="80"/>
      <c r="AD16" s="80"/>
      <c r="AE16" s="80"/>
      <c r="AF16" s="81">
        <f t="shared" si="5"/>
        <v>0</v>
      </c>
    </row>
    <row r="17" spans="1:57" s="1" customFormat="1" x14ac:dyDescent="0.25">
      <c r="A17" s="74">
        <v>6</v>
      </c>
      <c r="B17" s="117">
        <v>42543.583333333336</v>
      </c>
      <c r="C17" s="74" t="s">
        <v>113</v>
      </c>
      <c r="D17" s="75">
        <v>5</v>
      </c>
      <c r="E17" s="75">
        <v>540</v>
      </c>
      <c r="F17" s="76">
        <v>70</v>
      </c>
      <c r="G17" s="74" t="s">
        <v>113</v>
      </c>
      <c r="H17" s="74">
        <v>0.14000000000000001</v>
      </c>
      <c r="I17" s="77">
        <f>(H17/D17)*(E17/25)</f>
        <v>0.60480000000000012</v>
      </c>
      <c r="J17" s="70">
        <f t="shared" si="8"/>
        <v>1.0080000000000002E-2</v>
      </c>
      <c r="K17" s="77">
        <f>(H17*1000/(D17*60))*(E17/25)</f>
        <v>10.08</v>
      </c>
      <c r="L17" s="74">
        <v>40</v>
      </c>
      <c r="M17" s="74">
        <v>20</v>
      </c>
      <c r="N17" s="74">
        <v>20</v>
      </c>
      <c r="O17" s="74">
        <v>130</v>
      </c>
      <c r="P17" s="74">
        <v>29</v>
      </c>
      <c r="Q17" s="74">
        <v>370</v>
      </c>
      <c r="R17" s="74">
        <v>10</v>
      </c>
      <c r="S17" s="74">
        <v>5</v>
      </c>
      <c r="T17" s="74">
        <v>0</v>
      </c>
      <c r="U17" s="78">
        <f>SUM(L17:T17)</f>
        <v>624</v>
      </c>
      <c r="V17" s="74" t="s">
        <v>114</v>
      </c>
      <c r="W17" s="80">
        <f t="shared" si="3"/>
        <v>3.4632034632034632</v>
      </c>
      <c r="X17" s="80">
        <f t="shared" si="4"/>
        <v>1.7316017316017316</v>
      </c>
      <c r="Y17" s="80">
        <f t="shared" si="1"/>
        <v>1.7316017316017316</v>
      </c>
      <c r="Z17" s="80">
        <f t="shared" si="1"/>
        <v>11.255411255411255</v>
      </c>
      <c r="AA17" s="80">
        <f t="shared" si="1"/>
        <v>2.5108225108225106</v>
      </c>
      <c r="AB17" s="80">
        <f t="shared" si="1"/>
        <v>32.034632034632033</v>
      </c>
      <c r="AC17" s="80">
        <f t="shared" si="1"/>
        <v>0.86580086580086579</v>
      </c>
      <c r="AD17" s="80">
        <f t="shared" si="1"/>
        <v>0.4329004329004329</v>
      </c>
      <c r="AE17" s="80">
        <f t="shared" si="1"/>
        <v>0</v>
      </c>
      <c r="AF17" s="81">
        <f t="shared" si="5"/>
        <v>1.6760822510822511</v>
      </c>
      <c r="AG17" s="89">
        <v>1.0928596292836001</v>
      </c>
      <c r="AH17" s="89">
        <v>1.7443659116516101</v>
      </c>
      <c r="AI17" s="89">
        <v>6.7229932580033003</v>
      </c>
      <c r="AJ17" s="90">
        <v>6.15174454052295E-3</v>
      </c>
      <c r="AK17" s="89">
        <v>5.6301336287197001</v>
      </c>
      <c r="AL17" s="90">
        <v>2.8481114257907099E-3</v>
      </c>
      <c r="AM17" s="89">
        <v>2.4068276285260799</v>
      </c>
    </row>
    <row r="18" spans="1:57" s="1" customFormat="1" x14ac:dyDescent="0.25">
      <c r="A18" s="74">
        <v>9</v>
      </c>
      <c r="B18" s="117">
        <v>42545.666666666664</v>
      </c>
      <c r="C18" s="74" t="s">
        <v>113</v>
      </c>
      <c r="D18" s="75">
        <v>5</v>
      </c>
      <c r="E18" s="75">
        <v>580</v>
      </c>
      <c r="F18" s="76">
        <v>199</v>
      </c>
      <c r="G18" s="74"/>
      <c r="H18" s="74">
        <v>0.51500000000000001</v>
      </c>
      <c r="I18" s="77">
        <f>(H18/D18)*(E18/25)</f>
        <v>2.3896000000000002</v>
      </c>
      <c r="J18" s="70">
        <f t="shared" si="8"/>
        <v>3.9826666666666663E-2</v>
      </c>
      <c r="K18" s="77">
        <f>(H18*1000/(D18*60))*(E18/25)</f>
        <v>39.826666666666661</v>
      </c>
      <c r="L18" s="74">
        <v>220</v>
      </c>
      <c r="M18" s="74">
        <v>60</v>
      </c>
      <c r="N18" s="74">
        <v>30</v>
      </c>
      <c r="O18" s="74">
        <v>60</v>
      </c>
      <c r="P18" s="74">
        <v>60</v>
      </c>
      <c r="Q18" s="74">
        <v>50</v>
      </c>
      <c r="R18" s="74">
        <v>20</v>
      </c>
      <c r="S18" s="74">
        <v>10</v>
      </c>
      <c r="T18" s="74">
        <v>5</v>
      </c>
      <c r="U18" s="79">
        <f>SUM(L18:T18)</f>
        <v>515</v>
      </c>
      <c r="V18" s="74" t="s">
        <v>114</v>
      </c>
      <c r="W18" s="80">
        <f t="shared" si="3"/>
        <v>19.047619047619047</v>
      </c>
      <c r="X18" s="80">
        <f t="shared" si="4"/>
        <v>5.1948051948051948</v>
      </c>
      <c r="Y18" s="80">
        <f t="shared" si="1"/>
        <v>2.5974025974025974</v>
      </c>
      <c r="Z18" s="80">
        <f t="shared" si="1"/>
        <v>5.1948051948051948</v>
      </c>
      <c r="AA18" s="80">
        <f t="shared" si="1"/>
        <v>5.1948051948051948</v>
      </c>
      <c r="AB18" s="80">
        <f t="shared" si="1"/>
        <v>4.329004329004329</v>
      </c>
      <c r="AC18" s="80">
        <f t="shared" si="1"/>
        <v>1.7316017316017316</v>
      </c>
      <c r="AD18" s="80">
        <f t="shared" si="1"/>
        <v>0.86580086580086579</v>
      </c>
      <c r="AE18" s="80">
        <f t="shared" si="1"/>
        <v>0.4329004329004329</v>
      </c>
      <c r="AF18" s="81">
        <f t="shared" si="5"/>
        <v>3.8609307359307361</v>
      </c>
      <c r="AG18" s="89">
        <v>1.2570133745218299</v>
      </c>
      <c r="AH18" s="89">
        <v>8.0017738874582403</v>
      </c>
      <c r="AI18" s="89">
        <v>44.471002839238096</v>
      </c>
      <c r="AJ18" s="65">
        <v>3.53783052277825E-2</v>
      </c>
      <c r="AK18" s="89">
        <v>43.213989464716299</v>
      </c>
      <c r="AL18" s="90">
        <v>1.43151993628221E-3</v>
      </c>
      <c r="AM18" s="89">
        <v>1.15992721172797</v>
      </c>
    </row>
    <row r="19" spans="1:57" s="1" customFormat="1" x14ac:dyDescent="0.25">
      <c r="A19" s="74">
        <v>10</v>
      </c>
      <c r="B19" s="117">
        <v>42546.833333333336</v>
      </c>
      <c r="C19" s="74" t="s">
        <v>113</v>
      </c>
      <c r="D19" s="75">
        <v>3.5</v>
      </c>
      <c r="E19" s="75">
        <v>600</v>
      </c>
      <c r="F19" s="76">
        <v>322</v>
      </c>
      <c r="G19" s="74"/>
      <c r="H19" s="74">
        <v>0.51800000000000002</v>
      </c>
      <c r="I19" s="77">
        <f>(H19/D19)*(E19/25)</f>
        <v>3.5519999999999996</v>
      </c>
      <c r="J19" s="70">
        <f t="shared" si="8"/>
        <v>5.9200000000000003E-2</v>
      </c>
      <c r="K19" s="77">
        <f>(H19*1000/(D19*60))*(E19/25)</f>
        <v>59.2</v>
      </c>
      <c r="L19" s="74">
        <v>140</v>
      </c>
      <c r="M19" s="74">
        <v>10</v>
      </c>
      <c r="N19" s="74">
        <v>10</v>
      </c>
      <c r="O19" s="74">
        <v>30</v>
      </c>
      <c r="P19" s="74">
        <v>13</v>
      </c>
      <c r="Q19" s="74">
        <v>290</v>
      </c>
      <c r="R19" s="74">
        <v>10</v>
      </c>
      <c r="S19" s="74">
        <v>10</v>
      </c>
      <c r="T19" s="74">
        <v>5</v>
      </c>
      <c r="U19" s="79">
        <f>SUM(L19:T19)</f>
        <v>518</v>
      </c>
      <c r="V19" s="74" t="s">
        <v>114</v>
      </c>
      <c r="W19" s="80">
        <f t="shared" si="3"/>
        <v>12.121212121212121</v>
      </c>
      <c r="X19" s="80">
        <f t="shared" si="4"/>
        <v>0.86580086580086579</v>
      </c>
      <c r="Y19" s="80">
        <f t="shared" si="1"/>
        <v>0.86580086580086579</v>
      </c>
      <c r="Z19" s="80">
        <f t="shared" si="1"/>
        <v>2.5974025974025974</v>
      </c>
      <c r="AA19" s="80">
        <f t="shared" si="1"/>
        <v>1.1255411255411256</v>
      </c>
      <c r="AB19" s="80">
        <f t="shared" si="1"/>
        <v>25.10822510822511</v>
      </c>
      <c r="AC19" s="80">
        <f t="shared" si="1"/>
        <v>0.86580086580086579</v>
      </c>
      <c r="AD19" s="80">
        <f t="shared" si="1"/>
        <v>0.86580086580086579</v>
      </c>
      <c r="AE19" s="80">
        <f t="shared" si="1"/>
        <v>0.4329004329004329</v>
      </c>
      <c r="AF19" s="81">
        <f t="shared" si="5"/>
        <v>2.3873376623376625</v>
      </c>
      <c r="AG19" s="89">
        <v>1.0661524855657301</v>
      </c>
      <c r="AH19" s="89">
        <v>1.74944408163483</v>
      </c>
      <c r="AI19" s="89">
        <v>95.182696935793999</v>
      </c>
      <c r="AJ19" s="65">
        <v>8.9276813799563995E-2</v>
      </c>
      <c r="AK19" s="89">
        <v>94.116544450228204</v>
      </c>
      <c r="AL19" s="90">
        <v>6.55428615042689E-3</v>
      </c>
      <c r="AM19" s="89">
        <v>7.13021872255608</v>
      </c>
    </row>
    <row r="20" spans="1:57" x14ac:dyDescent="0.25">
      <c r="A20" s="74">
        <v>13</v>
      </c>
      <c r="B20" s="117">
        <v>42551.708333333336</v>
      </c>
      <c r="C20" s="74">
        <v>59</v>
      </c>
      <c r="D20" s="75">
        <v>5</v>
      </c>
      <c r="E20" s="75">
        <v>590</v>
      </c>
      <c r="F20" s="79">
        <v>125</v>
      </c>
      <c r="G20" s="74"/>
      <c r="H20" s="74">
        <v>0.249</v>
      </c>
      <c r="I20" s="77">
        <f>(H20/D20)*(E20/25)</f>
        <v>1.1752800000000001</v>
      </c>
      <c r="J20" s="70">
        <f t="shared" si="8"/>
        <v>1.9588000000000001E-2</v>
      </c>
      <c r="K20" s="77">
        <f>(H20*1000/(D20*60))*(E20/25)</f>
        <v>19.588000000000001</v>
      </c>
      <c r="L20" s="74">
        <v>0</v>
      </c>
      <c r="M20" s="74">
        <v>7</v>
      </c>
      <c r="N20" s="74">
        <v>10</v>
      </c>
      <c r="O20" s="74">
        <v>30</v>
      </c>
      <c r="P20" s="74">
        <v>80</v>
      </c>
      <c r="Q20" s="74">
        <v>100</v>
      </c>
      <c r="R20" s="74">
        <v>10</v>
      </c>
      <c r="S20" s="74">
        <v>7</v>
      </c>
      <c r="T20" s="74">
        <v>5</v>
      </c>
      <c r="U20" s="79">
        <f>SUM(L20:T20)</f>
        <v>249</v>
      </c>
      <c r="V20" s="74" t="s">
        <v>114</v>
      </c>
      <c r="W20" s="80">
        <f t="shared" si="3"/>
        <v>0</v>
      </c>
      <c r="X20" s="80">
        <f t="shared" si="4"/>
        <v>0.60606060606060608</v>
      </c>
      <c r="Y20" s="80">
        <f t="shared" si="4"/>
        <v>0.86580086580086579</v>
      </c>
      <c r="Z20" s="80">
        <f t="shared" si="4"/>
        <v>2.5974025974025974</v>
      </c>
      <c r="AA20" s="80">
        <f t="shared" si="4"/>
        <v>6.9264069264069263</v>
      </c>
      <c r="AB20" s="80">
        <f t="shared" si="4"/>
        <v>8.6580086580086579</v>
      </c>
      <c r="AC20" s="80">
        <f t="shared" si="4"/>
        <v>0.86580086580086579</v>
      </c>
      <c r="AD20" s="80">
        <f t="shared" si="4"/>
        <v>0.60606060606060608</v>
      </c>
      <c r="AE20" s="80">
        <f t="shared" si="4"/>
        <v>0.4329004329004329</v>
      </c>
      <c r="AF20" s="81">
        <f t="shared" si="5"/>
        <v>0.49372294372294379</v>
      </c>
      <c r="AG20" s="89">
        <v>1.0203046592484599</v>
      </c>
      <c r="AH20" s="89">
        <v>2.0255027982863201</v>
      </c>
      <c r="AI20" s="89">
        <v>4.37068828142512</v>
      </c>
      <c r="AJ20" s="90">
        <v>4.2837090292663204E-3</v>
      </c>
      <c r="AK20" s="89">
        <v>3.3503836221766603</v>
      </c>
      <c r="AL20" s="90">
        <v>2.1008221377025503E-3</v>
      </c>
      <c r="AM20" s="89">
        <v>1.45506276729649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D21" s="39"/>
      <c r="E21" s="48"/>
      <c r="F21" s="48"/>
      <c r="G21" s="48"/>
      <c r="H21" s="48"/>
      <c r="I21" s="48"/>
      <c r="J21" s="48"/>
      <c r="K21" s="48"/>
      <c r="L21" s="48"/>
      <c r="M21" s="48"/>
      <c r="AF21" s="82"/>
    </row>
    <row r="22" spans="1:57" x14ac:dyDescent="0.25">
      <c r="D22" s="39"/>
      <c r="E22" s="48"/>
      <c r="F22" s="48"/>
      <c r="G22" s="48"/>
      <c r="H22" s="48"/>
      <c r="I22" s="48"/>
      <c r="J22" s="48"/>
      <c r="K22" s="48"/>
      <c r="L22" s="48"/>
      <c r="M22" s="48"/>
      <c r="AF22" s="82"/>
    </row>
    <row r="23" spans="1:57" x14ac:dyDescent="0.25">
      <c r="D23" s="39"/>
      <c r="E23" s="48"/>
      <c r="F23" s="48"/>
      <c r="G23" s="48"/>
      <c r="H23" s="48"/>
      <c r="I23" s="48"/>
      <c r="J23" s="48"/>
      <c r="K23" s="48"/>
      <c r="L23" s="48"/>
      <c r="M23" s="48"/>
      <c r="AF23" s="82"/>
    </row>
    <row r="24" spans="1:57" x14ac:dyDescent="0.25">
      <c r="D24" s="39"/>
      <c r="E24" s="48"/>
      <c r="F24" s="48"/>
      <c r="G24" s="48"/>
      <c r="H24" s="48"/>
      <c r="I24" s="48"/>
      <c r="J24" s="48"/>
      <c r="K24" s="48"/>
      <c r="L24" s="48"/>
      <c r="M24" s="48"/>
    </row>
    <row r="25" spans="1:57" x14ac:dyDescent="0.25">
      <c r="D25" s="39"/>
      <c r="E25" s="48"/>
      <c r="F25" s="48"/>
      <c r="G25" s="48"/>
      <c r="H25" s="48"/>
      <c r="I25" s="48"/>
      <c r="J25" s="48"/>
      <c r="K25" s="48"/>
      <c r="L25" s="48"/>
      <c r="M25" s="48"/>
    </row>
    <row r="26" spans="1:57" x14ac:dyDescent="0.25">
      <c r="D26" s="39"/>
      <c r="E26" s="48"/>
      <c r="F26" s="48"/>
      <c r="G26" s="48"/>
      <c r="H26" s="48"/>
      <c r="I26" s="48"/>
      <c r="J26" s="48"/>
      <c r="K26" s="48"/>
      <c r="L26" s="48"/>
      <c r="M26" s="48"/>
    </row>
    <row r="27" spans="1:57" x14ac:dyDescent="0.25">
      <c r="D27" s="39"/>
      <c r="E27" s="48"/>
      <c r="F27" s="48"/>
      <c r="G27" s="48"/>
      <c r="H27" s="48"/>
      <c r="I27" s="48"/>
      <c r="J27" s="48"/>
      <c r="K27" s="48"/>
      <c r="L27" s="48"/>
      <c r="M27" s="48"/>
    </row>
    <row r="28" spans="1:57" x14ac:dyDescent="0.25">
      <c r="D28" s="39"/>
      <c r="E28" s="48"/>
      <c r="F28" s="48"/>
      <c r="G28" s="48"/>
      <c r="H28" s="48"/>
      <c r="I28" s="48"/>
      <c r="J28" s="48"/>
      <c r="K28" s="48"/>
      <c r="L28" s="48"/>
      <c r="M28" s="48"/>
    </row>
    <row r="29" spans="1:57" x14ac:dyDescent="0.25">
      <c r="D29" s="47"/>
      <c r="E29" s="48"/>
      <c r="F29" s="48"/>
      <c r="G29" s="48"/>
      <c r="H29" s="48"/>
      <c r="I29" s="48"/>
      <c r="J29" s="48"/>
      <c r="K29" s="48"/>
      <c r="L29" s="48"/>
      <c r="M29" s="48"/>
    </row>
    <row r="30" spans="1:57" x14ac:dyDescent="0.25">
      <c r="D30" s="39"/>
      <c r="E30" s="48"/>
      <c r="F30" s="48"/>
      <c r="G30" s="48"/>
      <c r="H30" s="48"/>
      <c r="I30" s="48"/>
      <c r="J30" s="48"/>
      <c r="K30" s="48"/>
      <c r="L30" s="48"/>
      <c r="M30" s="48"/>
    </row>
    <row r="31" spans="1:57" x14ac:dyDescent="0.25">
      <c r="D31" s="39"/>
      <c r="E31" s="48"/>
      <c r="F31" s="48"/>
      <c r="G31" s="48"/>
      <c r="H31" s="48"/>
      <c r="I31" s="48"/>
      <c r="J31" s="48"/>
      <c r="K31" s="48"/>
      <c r="L31" s="48"/>
      <c r="M31" s="48"/>
    </row>
    <row r="32" spans="1:57" x14ac:dyDescent="0.25">
      <c r="D32" s="39"/>
      <c r="E32" s="48"/>
      <c r="F32" s="48"/>
      <c r="G32" s="48"/>
      <c r="H32" s="48"/>
      <c r="I32" s="48"/>
      <c r="J32" s="48"/>
      <c r="K32" s="48"/>
      <c r="L32" s="48"/>
      <c r="M32" s="48"/>
    </row>
  </sheetData>
  <mergeCells count="24">
    <mergeCell ref="M1:M3"/>
    <mergeCell ref="L1:L3"/>
    <mergeCell ref="K1:K3"/>
    <mergeCell ref="A1:A3"/>
    <mergeCell ref="B1:B3"/>
    <mergeCell ref="C1:C3"/>
    <mergeCell ref="D1:D3"/>
    <mergeCell ref="E1:E3"/>
    <mergeCell ref="AF1:AF3"/>
    <mergeCell ref="V1:V3"/>
    <mergeCell ref="U1:U3"/>
    <mergeCell ref="T1:T3"/>
    <mergeCell ref="F1:F3"/>
    <mergeCell ref="G1:G3"/>
    <mergeCell ref="S1:S3"/>
    <mergeCell ref="R1:R3"/>
    <mergeCell ref="Q1:Q3"/>
    <mergeCell ref="P1:P3"/>
    <mergeCell ref="O1:O3"/>
    <mergeCell ref="N1:N3"/>
    <mergeCell ref="W1:AE1"/>
    <mergeCell ref="H1:H3"/>
    <mergeCell ref="I1:I3"/>
    <mergeCell ref="J1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zoomScale="55" zoomScaleNormal="55" workbookViewId="0">
      <selection activeCell="Z1" sqref="Z1:Z1048576"/>
    </sheetView>
  </sheetViews>
  <sheetFormatPr defaultColWidth="11.42578125" defaultRowHeight="15" x14ac:dyDescent="0.25"/>
  <cols>
    <col min="4" max="4" width="40.5703125" style="1" customWidth="1"/>
    <col min="27" max="27" width="11.42578125" style="1"/>
    <col min="34" max="34" width="23" customWidth="1"/>
  </cols>
  <sheetData>
    <row r="1" spans="1:35" s="1" customFormat="1" x14ac:dyDescent="0.25">
      <c r="A1" s="128" t="s">
        <v>54</v>
      </c>
      <c r="B1" s="128" t="s">
        <v>15</v>
      </c>
      <c r="C1" s="128" t="s">
        <v>16</v>
      </c>
      <c r="D1" s="128" t="s">
        <v>292</v>
      </c>
      <c r="E1" s="128" t="s">
        <v>55</v>
      </c>
      <c r="F1" s="128" t="s">
        <v>56</v>
      </c>
      <c r="G1" s="128" t="s">
        <v>57</v>
      </c>
      <c r="H1" s="128" t="s">
        <v>58</v>
      </c>
      <c r="I1" s="128" t="s">
        <v>59</v>
      </c>
      <c r="J1" s="128" t="s">
        <v>60</v>
      </c>
      <c r="K1" s="128" t="s">
        <v>61</v>
      </c>
      <c r="L1" s="126" t="s">
        <v>62</v>
      </c>
      <c r="M1" s="128" t="s">
        <v>63</v>
      </c>
      <c r="N1" s="128"/>
      <c r="O1" s="128"/>
      <c r="P1" s="128"/>
      <c r="Q1" s="128"/>
      <c r="R1" s="128"/>
      <c r="S1" s="130" t="s">
        <v>64</v>
      </c>
      <c r="T1" s="130"/>
      <c r="U1" s="130"/>
      <c r="V1" s="130"/>
      <c r="W1" s="130"/>
      <c r="X1" s="130"/>
      <c r="Y1" s="130" t="s">
        <v>65</v>
      </c>
      <c r="Z1" s="132" t="s">
        <v>66</v>
      </c>
      <c r="AA1" s="123" t="s">
        <v>109</v>
      </c>
      <c r="AB1" s="125" t="s">
        <v>123</v>
      </c>
      <c r="AC1" s="125"/>
      <c r="AD1" s="125"/>
      <c r="AE1" s="125"/>
      <c r="AF1" s="125"/>
      <c r="AG1" s="125"/>
      <c r="AH1" s="134" t="s">
        <v>101</v>
      </c>
      <c r="AI1" s="1" t="s">
        <v>293</v>
      </c>
    </row>
    <row r="2" spans="1:35" ht="15.95" customHeight="1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6"/>
      <c r="M2" s="129"/>
      <c r="N2" s="129"/>
      <c r="O2" s="129"/>
      <c r="P2" s="129"/>
      <c r="Q2" s="129"/>
      <c r="R2" s="129"/>
      <c r="S2" s="131"/>
      <c r="T2" s="131"/>
      <c r="U2" s="131"/>
      <c r="V2" s="131"/>
      <c r="W2" s="131"/>
      <c r="X2" s="131"/>
      <c r="Y2" s="130"/>
      <c r="Z2" s="132"/>
      <c r="AA2" s="123"/>
      <c r="AB2" s="66" t="s">
        <v>25</v>
      </c>
      <c r="AC2" s="66" t="s">
        <v>67</v>
      </c>
      <c r="AD2" s="66" t="s">
        <v>68</v>
      </c>
      <c r="AE2" s="66" t="s">
        <v>69</v>
      </c>
      <c r="AF2" s="66" t="s">
        <v>70</v>
      </c>
      <c r="AG2" s="66" t="s">
        <v>71</v>
      </c>
      <c r="AH2" s="134"/>
    </row>
    <row r="3" spans="1:35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7"/>
      <c r="M3" s="49" t="s">
        <v>25</v>
      </c>
      <c r="N3" s="49" t="s">
        <v>67</v>
      </c>
      <c r="O3" s="49" t="s">
        <v>68</v>
      </c>
      <c r="P3" s="49" t="s">
        <v>69</v>
      </c>
      <c r="Q3" s="49" t="s">
        <v>70</v>
      </c>
      <c r="R3" s="49" t="s">
        <v>71</v>
      </c>
      <c r="S3" s="50" t="s">
        <v>25</v>
      </c>
      <c r="T3" s="50" t="s">
        <v>67</v>
      </c>
      <c r="U3" s="50" t="s">
        <v>68</v>
      </c>
      <c r="V3" s="50" t="s">
        <v>69</v>
      </c>
      <c r="W3" s="50" t="s">
        <v>70</v>
      </c>
      <c r="X3" s="50" t="s">
        <v>71</v>
      </c>
      <c r="Y3" s="131"/>
      <c r="Z3" s="133"/>
      <c r="AA3" s="123"/>
      <c r="AB3">
        <v>15</v>
      </c>
      <c r="AC3">
        <v>7.5</v>
      </c>
      <c r="AD3">
        <v>3.5</v>
      </c>
      <c r="AE3">
        <v>1.25</v>
      </c>
      <c r="AF3">
        <v>0.75</v>
      </c>
      <c r="AG3">
        <v>0.5</v>
      </c>
      <c r="AH3" s="134"/>
    </row>
    <row r="4" spans="1:35" x14ac:dyDescent="0.25">
      <c r="A4" s="51" t="s">
        <v>72</v>
      </c>
      <c r="B4" s="52">
        <v>42915</v>
      </c>
      <c r="C4" s="53">
        <v>0.75</v>
      </c>
      <c r="D4" s="116">
        <f>B4+C4</f>
        <v>42915.75</v>
      </c>
      <c r="E4" s="51">
        <v>2</v>
      </c>
      <c r="F4" s="51">
        <v>43</v>
      </c>
      <c r="G4" s="51">
        <f>AVERAGE(409,412)</f>
        <v>410.5</v>
      </c>
      <c r="H4" s="51"/>
      <c r="I4" s="51">
        <f>J4*0.01</f>
        <v>6.3</v>
      </c>
      <c r="J4" s="51">
        <v>630</v>
      </c>
      <c r="K4" s="54"/>
      <c r="L4" s="55"/>
      <c r="M4" s="49"/>
      <c r="N4" s="49"/>
      <c r="O4" s="49"/>
      <c r="P4" s="49"/>
      <c r="Q4" s="49"/>
      <c r="R4" s="49"/>
      <c r="S4" s="56"/>
      <c r="T4" s="56"/>
      <c r="U4" s="56"/>
      <c r="V4" s="56"/>
      <c r="W4" s="56"/>
      <c r="X4" s="56"/>
      <c r="Y4" s="57"/>
      <c r="Z4" s="58">
        <v>10.71</v>
      </c>
      <c r="AA4" s="139"/>
      <c r="AH4" s="67">
        <f>(AB4*$AB$3+AC4*$AC$3+AD4*$AD$3+AE4*$AE$3+AF4*$AF$3+AG4*$AG$3)/100</f>
        <v>0</v>
      </c>
    </row>
    <row r="5" spans="1:35" x14ac:dyDescent="0.25">
      <c r="A5" s="51" t="s">
        <v>73</v>
      </c>
      <c r="B5" s="52">
        <v>42916</v>
      </c>
      <c r="C5" s="53">
        <v>0.41666666666666669</v>
      </c>
      <c r="D5" s="116">
        <f t="shared" ref="D5:D31" si="0">B5+C5</f>
        <v>42916.416666666664</v>
      </c>
      <c r="E5" s="51">
        <v>2</v>
      </c>
      <c r="F5" s="51">
        <v>39</v>
      </c>
      <c r="G5" s="51">
        <f>AVERAGE(62.1,59.4)</f>
        <v>60.75</v>
      </c>
      <c r="H5" s="51"/>
      <c r="I5" s="51">
        <f>J5*0.01</f>
        <v>6.2</v>
      </c>
      <c r="J5" s="51">
        <v>620</v>
      </c>
      <c r="K5" s="54"/>
      <c r="L5" s="55">
        <v>1380</v>
      </c>
      <c r="M5" s="49"/>
      <c r="N5" s="49"/>
      <c r="O5" s="49"/>
      <c r="P5" s="49"/>
      <c r="Q5" s="49"/>
      <c r="R5" s="49"/>
      <c r="S5" s="59">
        <v>150</v>
      </c>
      <c r="T5" s="59">
        <v>80</v>
      </c>
      <c r="U5" s="59">
        <v>100</v>
      </c>
      <c r="V5" s="59">
        <v>510</v>
      </c>
      <c r="W5" s="59">
        <v>530</v>
      </c>
      <c r="X5" s="59">
        <v>10</v>
      </c>
      <c r="Y5" s="57"/>
      <c r="Z5" s="58">
        <v>16.864000000000001</v>
      </c>
      <c r="AA5" s="139"/>
      <c r="AB5" s="65">
        <f>(S5*100)/$L$5</f>
        <v>10.869565217391305</v>
      </c>
      <c r="AC5" s="65">
        <f>(T5*100)/$L$5</f>
        <v>5.7971014492753623</v>
      </c>
      <c r="AD5" s="65">
        <f>(U5*100)/$L$5</f>
        <v>7.2463768115942031</v>
      </c>
      <c r="AE5" s="65">
        <f>(V5*100)/$L$5</f>
        <v>36.956521739130437</v>
      </c>
      <c r="AF5" s="65">
        <f>(W5*100)/$L$5</f>
        <v>38.405797101449274</v>
      </c>
      <c r="AG5" s="65">
        <f>(X5*100)/$L$5</f>
        <v>0.72463768115942029</v>
      </c>
      <c r="AH5" s="68">
        <f>(AB5*$AB$3+AC5*$AC$3+AD5*$AD$3+AE5*$AE$3+AF5*$AF$3+AG5*$AG$3)/100</f>
        <v>3.0724637681159419</v>
      </c>
      <c r="AI5" s="1" t="s">
        <v>294</v>
      </c>
    </row>
    <row r="6" spans="1:35" x14ac:dyDescent="0.25">
      <c r="A6" s="51" t="s">
        <v>74</v>
      </c>
      <c r="B6" s="52">
        <v>42917</v>
      </c>
      <c r="C6" s="53">
        <v>0.41666666666666669</v>
      </c>
      <c r="D6" s="116">
        <f t="shared" si="0"/>
        <v>42917.416666666664</v>
      </c>
      <c r="E6" s="51">
        <v>1.5</v>
      </c>
      <c r="F6" s="51">
        <v>37</v>
      </c>
      <c r="G6" s="51"/>
      <c r="H6" s="51"/>
      <c r="I6" s="51">
        <f>J6*0.01</f>
        <v>6.1000000000000005</v>
      </c>
      <c r="J6" s="51">
        <v>610</v>
      </c>
      <c r="K6" s="54"/>
      <c r="L6" s="55">
        <v>492</v>
      </c>
      <c r="M6" s="49"/>
      <c r="N6" s="49"/>
      <c r="O6" s="49"/>
      <c r="P6" s="49"/>
      <c r="Q6" s="49"/>
      <c r="R6" s="49"/>
      <c r="S6" s="56"/>
      <c r="T6" s="56"/>
      <c r="U6" s="56"/>
      <c r="V6" s="56"/>
      <c r="W6" s="56"/>
      <c r="X6" s="56"/>
      <c r="Y6" s="57"/>
      <c r="Z6" s="58">
        <v>3.3346666666666667</v>
      </c>
      <c r="AA6" s="139"/>
      <c r="AB6" s="65">
        <f>(S6*100)/$L$5</f>
        <v>0</v>
      </c>
      <c r="AC6" s="65">
        <f>(T6*100)/$L$5</f>
        <v>0</v>
      </c>
      <c r="AD6" s="65">
        <f>(U6*100)/$L$5</f>
        <v>0</v>
      </c>
      <c r="AE6" s="65">
        <f>(V6*100)/$L$5</f>
        <v>0</v>
      </c>
      <c r="AF6" s="65">
        <f>(W6*100)/$L$5</f>
        <v>0</v>
      </c>
      <c r="AG6" s="65">
        <f t="shared" ref="AG6:AG31" si="1">(X6*100)/$L$5</f>
        <v>0</v>
      </c>
      <c r="AH6" s="67">
        <f t="shared" ref="AH6:AH31" si="2">(AB6*$AB$3+AC6*$AC$3+AD6*$AD$3+AE6*$AE$3+AF6*$AF$3+AG6*$AG$3)/100</f>
        <v>0</v>
      </c>
      <c r="AI6" s="1" t="s">
        <v>294</v>
      </c>
    </row>
    <row r="7" spans="1:35" x14ac:dyDescent="0.25">
      <c r="A7" s="51" t="s">
        <v>75</v>
      </c>
      <c r="B7" s="52">
        <v>42922</v>
      </c>
      <c r="C7" s="53">
        <v>0.75</v>
      </c>
      <c r="D7" s="116">
        <f t="shared" si="0"/>
        <v>42922.75</v>
      </c>
      <c r="E7" s="51">
        <v>1.5</v>
      </c>
      <c r="F7" s="51">
        <v>48</v>
      </c>
      <c r="G7" s="51">
        <f>AVERAGE(196,179)</f>
        <v>187.5</v>
      </c>
      <c r="H7" s="51">
        <v>48</v>
      </c>
      <c r="I7" s="51">
        <v>6.5</v>
      </c>
      <c r="J7" s="51"/>
      <c r="K7" s="54"/>
      <c r="L7" s="55">
        <f>1580+920</f>
        <v>2500</v>
      </c>
      <c r="M7" s="49"/>
      <c r="N7" s="49"/>
      <c r="O7" s="49"/>
      <c r="P7" s="49"/>
      <c r="Q7" s="49"/>
      <c r="R7" s="49"/>
      <c r="S7" s="56">
        <v>0</v>
      </c>
      <c r="T7" s="56">
        <v>5</v>
      </c>
      <c r="U7" s="56">
        <v>40</v>
      </c>
      <c r="V7" s="56">
        <v>830</v>
      </c>
      <c r="W7" s="56">
        <v>690</v>
      </c>
      <c r="X7" s="56">
        <v>15</v>
      </c>
      <c r="Y7" s="57"/>
      <c r="Z7" s="58">
        <f>(L7/E7)*(I7/0.25)/1000</f>
        <v>43.333333333333336</v>
      </c>
      <c r="AA7" s="139"/>
      <c r="AB7" s="65">
        <f>(S7*100)/$L$5</f>
        <v>0</v>
      </c>
      <c r="AC7" s="65">
        <f>(T7*100)/$L$5</f>
        <v>0.36231884057971014</v>
      </c>
      <c r="AD7" s="65">
        <f>(U7*100)/$L$5</f>
        <v>2.8985507246376812</v>
      </c>
      <c r="AE7" s="65">
        <f>(V7*100)/$L$5</f>
        <v>60.144927536231883</v>
      </c>
      <c r="AF7" s="65">
        <f>(W7*100)/$L$5</f>
        <v>50</v>
      </c>
      <c r="AG7" s="65">
        <f t="shared" si="1"/>
        <v>1.0869565217391304</v>
      </c>
      <c r="AH7" s="68">
        <f t="shared" si="2"/>
        <v>1.2608695652173914</v>
      </c>
      <c r="AI7" s="1" t="s">
        <v>294</v>
      </c>
    </row>
    <row r="8" spans="1:35" x14ac:dyDescent="0.25">
      <c r="A8" s="51" t="s">
        <v>76</v>
      </c>
      <c r="B8" s="52">
        <v>42927</v>
      </c>
      <c r="C8" s="53">
        <v>0.375</v>
      </c>
      <c r="D8" s="116">
        <f t="shared" si="0"/>
        <v>42927.375</v>
      </c>
      <c r="E8" s="51">
        <v>3</v>
      </c>
      <c r="F8" s="51">
        <v>41.5</v>
      </c>
      <c r="G8" s="51">
        <v>63.5</v>
      </c>
      <c r="H8" s="51">
        <v>25</v>
      </c>
      <c r="I8" s="51">
        <v>6.15</v>
      </c>
      <c r="J8" s="51"/>
      <c r="K8" s="54"/>
      <c r="L8" s="55">
        <v>130</v>
      </c>
      <c r="M8" s="49"/>
      <c r="N8" s="49"/>
      <c r="O8" s="49"/>
      <c r="P8" s="49"/>
      <c r="Q8" s="49"/>
      <c r="R8" s="49"/>
      <c r="S8" s="56"/>
      <c r="T8" s="56"/>
      <c r="U8" s="56"/>
      <c r="V8" s="56"/>
      <c r="W8" s="56"/>
      <c r="X8" s="56"/>
      <c r="Y8" s="57"/>
      <c r="Z8" s="58">
        <f t="shared" ref="Z8:Z31" si="3">(L8/E8)*(I8/0.25)/1000</f>
        <v>1.0660000000000003</v>
      </c>
      <c r="AA8" s="139"/>
      <c r="AB8" s="65">
        <f>(S8*100)/$L$5</f>
        <v>0</v>
      </c>
      <c r="AC8" s="65">
        <f>(T8*100)/$L$5</f>
        <v>0</v>
      </c>
      <c r="AD8" s="65">
        <f>(U8*100)/$L$5</f>
        <v>0</v>
      </c>
      <c r="AE8" s="65">
        <f>(V8*100)/$L$5</f>
        <v>0</v>
      </c>
      <c r="AF8" s="65">
        <f>(W8*100)/$L$5</f>
        <v>0</v>
      </c>
      <c r="AG8" s="65">
        <f t="shared" si="1"/>
        <v>0</v>
      </c>
      <c r="AH8" s="67">
        <f t="shared" si="2"/>
        <v>0</v>
      </c>
      <c r="AI8" s="1" t="s">
        <v>294</v>
      </c>
    </row>
    <row r="9" spans="1:35" x14ac:dyDescent="0.25">
      <c r="A9" s="51" t="s">
        <v>77</v>
      </c>
      <c r="B9" s="52">
        <v>42928</v>
      </c>
      <c r="C9" s="53">
        <v>0.75</v>
      </c>
      <c r="D9" s="116">
        <f t="shared" si="0"/>
        <v>42928.75</v>
      </c>
      <c r="E9" s="51">
        <v>1.5</v>
      </c>
      <c r="F9" s="51">
        <v>46</v>
      </c>
      <c r="G9" s="51"/>
      <c r="H9" s="51">
        <v>32</v>
      </c>
      <c r="I9" s="51">
        <v>6.3</v>
      </c>
      <c r="J9" s="51"/>
      <c r="K9" s="54"/>
      <c r="L9" s="55">
        <v>260</v>
      </c>
      <c r="M9" s="49"/>
      <c r="N9" s="49"/>
      <c r="O9" s="49"/>
      <c r="P9" s="49"/>
      <c r="Q9" s="49"/>
      <c r="R9" s="49"/>
      <c r="S9" s="56">
        <v>0</v>
      </c>
      <c r="T9" s="56">
        <v>1</v>
      </c>
      <c r="U9" s="56">
        <v>5</v>
      </c>
      <c r="V9" s="56">
        <v>130</v>
      </c>
      <c r="W9" s="56">
        <v>130</v>
      </c>
      <c r="X9" s="56">
        <v>2</v>
      </c>
      <c r="Y9" s="57"/>
      <c r="Z9" s="58">
        <f t="shared" si="3"/>
        <v>4.3680000000000003</v>
      </c>
      <c r="AA9" s="139"/>
      <c r="AB9" s="65">
        <f>(S9*100)/$L$5</f>
        <v>0</v>
      </c>
      <c r="AC9" s="65">
        <f>(T9*100)/$L$5</f>
        <v>7.2463768115942032E-2</v>
      </c>
      <c r="AD9" s="65">
        <f>(U9*100)/$L$5</f>
        <v>0.36231884057971014</v>
      </c>
      <c r="AE9" s="65">
        <f>(V9*100)/$L$5</f>
        <v>9.420289855072463</v>
      </c>
      <c r="AF9" s="65">
        <f>(W9*100)/$L$5</f>
        <v>9.420289855072463</v>
      </c>
      <c r="AG9" s="65">
        <f t="shared" si="1"/>
        <v>0.14492753623188406</v>
      </c>
      <c r="AH9" s="68">
        <f t="shared" si="2"/>
        <v>0.20724637681159419</v>
      </c>
      <c r="AI9" s="1" t="s">
        <v>294</v>
      </c>
    </row>
    <row r="10" spans="1:35" x14ac:dyDescent="0.25">
      <c r="A10" s="51" t="s">
        <v>78</v>
      </c>
      <c r="B10" s="52">
        <v>42931</v>
      </c>
      <c r="C10" s="53">
        <v>0.58333333333333337</v>
      </c>
      <c r="D10" s="116">
        <f t="shared" si="0"/>
        <v>42931.583333333336</v>
      </c>
      <c r="E10" s="51">
        <v>3</v>
      </c>
      <c r="F10" s="51">
        <v>45</v>
      </c>
      <c r="G10" s="51">
        <v>111</v>
      </c>
      <c r="H10" s="51">
        <v>25</v>
      </c>
      <c r="I10" s="51">
        <v>6.4</v>
      </c>
      <c r="J10" s="51"/>
      <c r="K10" s="54"/>
      <c r="L10" s="55">
        <v>840</v>
      </c>
      <c r="M10" s="49"/>
      <c r="N10" s="49"/>
      <c r="O10" s="49"/>
      <c r="P10" s="49"/>
      <c r="Q10" s="49"/>
      <c r="R10" s="49"/>
      <c r="S10" s="56">
        <v>1</v>
      </c>
      <c r="T10" s="56">
        <v>5</v>
      </c>
      <c r="U10" s="56">
        <v>25</v>
      </c>
      <c r="V10" s="56">
        <v>390</v>
      </c>
      <c r="W10" s="56">
        <v>390</v>
      </c>
      <c r="X10" s="56">
        <v>5</v>
      </c>
      <c r="Y10" s="57"/>
      <c r="Z10" s="58">
        <f t="shared" si="3"/>
        <v>7.1680000000000001</v>
      </c>
      <c r="AA10" s="139"/>
      <c r="AB10" s="65">
        <f>(S10*100)/$L$5</f>
        <v>7.2463768115942032E-2</v>
      </c>
      <c r="AC10" s="65">
        <f>(T10*100)/$L$5</f>
        <v>0.36231884057971014</v>
      </c>
      <c r="AD10" s="65">
        <f>(U10*100)/$L$5</f>
        <v>1.8115942028985508</v>
      </c>
      <c r="AE10" s="65">
        <f>(V10*100)/$L$5</f>
        <v>28.260869565217391</v>
      </c>
      <c r="AF10" s="65">
        <f>(W10*100)/$L$5</f>
        <v>28.260869565217391</v>
      </c>
      <c r="AG10" s="65">
        <f t="shared" si="1"/>
        <v>0.36231884057971014</v>
      </c>
      <c r="AH10" s="68">
        <f t="shared" si="2"/>
        <v>0.66847826086956519</v>
      </c>
      <c r="AI10" s="1" t="s">
        <v>294</v>
      </c>
    </row>
    <row r="11" spans="1:35" x14ac:dyDescent="0.25">
      <c r="A11" s="51" t="s">
        <v>79</v>
      </c>
      <c r="B11" s="52">
        <v>42931</v>
      </c>
      <c r="C11" s="53">
        <v>0.79166666666666663</v>
      </c>
      <c r="D11" s="116">
        <f t="shared" si="0"/>
        <v>42931.791666666664</v>
      </c>
      <c r="E11" s="51">
        <v>1.5</v>
      </c>
      <c r="F11" s="51">
        <v>46</v>
      </c>
      <c r="G11" s="51">
        <v>133</v>
      </c>
      <c r="H11" s="51">
        <v>30</v>
      </c>
      <c r="I11" s="51">
        <v>7</v>
      </c>
      <c r="J11" s="51"/>
      <c r="K11" s="54"/>
      <c r="L11" s="55">
        <v>1140</v>
      </c>
      <c r="M11" s="49"/>
      <c r="N11" s="49"/>
      <c r="O11" s="49"/>
      <c r="P11" s="49"/>
      <c r="Q11" s="49"/>
      <c r="R11" s="49"/>
      <c r="S11" s="56">
        <v>1</v>
      </c>
      <c r="T11" s="56">
        <v>25</v>
      </c>
      <c r="U11" s="56">
        <v>70</v>
      </c>
      <c r="V11" s="56">
        <v>500</v>
      </c>
      <c r="W11" s="56">
        <v>540</v>
      </c>
      <c r="X11" s="56">
        <v>0</v>
      </c>
      <c r="Y11" s="57"/>
      <c r="Z11" s="58">
        <f t="shared" si="3"/>
        <v>21.28</v>
      </c>
      <c r="AA11" s="139"/>
      <c r="AB11" s="65">
        <f>(S11*100)/$L$5</f>
        <v>7.2463768115942032E-2</v>
      </c>
      <c r="AC11" s="65">
        <f>(T11*100)/$L$5</f>
        <v>1.8115942028985508</v>
      </c>
      <c r="AD11" s="65">
        <f>(U11*100)/$L$5</f>
        <v>5.0724637681159424</v>
      </c>
      <c r="AE11" s="65">
        <f>(V11*100)/$L$5</f>
        <v>36.231884057971016</v>
      </c>
      <c r="AF11" s="65">
        <f>(W11*100)/$L$5</f>
        <v>39.130434782608695</v>
      </c>
      <c r="AG11" s="65">
        <f t="shared" si="1"/>
        <v>0</v>
      </c>
      <c r="AH11" s="68">
        <f t="shared" si="2"/>
        <v>1.0706521739130435</v>
      </c>
      <c r="AI11" s="1" t="s">
        <v>294</v>
      </c>
    </row>
    <row r="12" spans="1:35" x14ac:dyDescent="0.25">
      <c r="A12" s="51" t="s">
        <v>80</v>
      </c>
      <c r="B12" s="52">
        <v>42932</v>
      </c>
      <c r="C12" s="53">
        <v>0.41666666666666669</v>
      </c>
      <c r="D12" s="116">
        <f t="shared" si="0"/>
        <v>42932.416666666664</v>
      </c>
      <c r="E12" s="51">
        <v>3</v>
      </c>
      <c r="F12" s="51">
        <v>42</v>
      </c>
      <c r="G12" s="51">
        <v>35</v>
      </c>
      <c r="H12" s="51">
        <v>30</v>
      </c>
      <c r="I12" s="51">
        <v>6.5</v>
      </c>
      <c r="J12" s="51"/>
      <c r="K12" s="54"/>
      <c r="L12" s="55">
        <v>4130</v>
      </c>
      <c r="M12" s="49"/>
      <c r="N12" s="49"/>
      <c r="O12" s="49"/>
      <c r="P12" s="49"/>
      <c r="Q12" s="49"/>
      <c r="R12" s="49"/>
      <c r="S12" s="56">
        <f>1900+2900</f>
        <v>4800</v>
      </c>
      <c r="T12" s="56">
        <v>10</v>
      </c>
      <c r="U12" s="56">
        <v>15</v>
      </c>
      <c r="V12" s="56">
        <v>150</v>
      </c>
      <c r="W12" s="56">
        <v>150</v>
      </c>
      <c r="X12" s="56">
        <v>1</v>
      </c>
      <c r="Y12" s="57"/>
      <c r="Z12" s="58">
        <f t="shared" si="3"/>
        <v>35.793333333333337</v>
      </c>
      <c r="AA12" s="139"/>
      <c r="AB12" s="65">
        <f>(S12*100)/$L$5</f>
        <v>347.82608695652175</v>
      </c>
      <c r="AC12" s="65">
        <f>(T12*100)/$L$5</f>
        <v>0.72463768115942029</v>
      </c>
      <c r="AD12" s="65">
        <f>(U12*100)/$L$5</f>
        <v>1.0869565217391304</v>
      </c>
      <c r="AE12" s="65">
        <f>(V12*100)/$L$5</f>
        <v>10.869565217391305</v>
      </c>
      <c r="AF12" s="65">
        <f>(W12*100)/$L$5</f>
        <v>10.869565217391305</v>
      </c>
      <c r="AG12" s="65">
        <f t="shared" si="1"/>
        <v>7.2463768115942032E-2</v>
      </c>
      <c r="AH12" s="68">
        <f t="shared" si="2"/>
        <v>52.484057971014494</v>
      </c>
      <c r="AI12" s="1" t="s">
        <v>294</v>
      </c>
    </row>
    <row r="13" spans="1:35" x14ac:dyDescent="0.25">
      <c r="A13" s="51" t="s">
        <v>81</v>
      </c>
      <c r="B13" s="52">
        <v>42933</v>
      </c>
      <c r="C13" s="53">
        <v>0.45833333333333331</v>
      </c>
      <c r="D13" s="116">
        <f t="shared" si="0"/>
        <v>42933.458333333336</v>
      </c>
      <c r="E13" s="51">
        <v>3</v>
      </c>
      <c r="F13" s="51">
        <v>41.5</v>
      </c>
      <c r="G13" s="51">
        <v>106</v>
      </c>
      <c r="H13" s="51">
        <v>35</v>
      </c>
      <c r="I13" s="51">
        <v>6.2</v>
      </c>
      <c r="J13" s="51"/>
      <c r="K13" s="54"/>
      <c r="L13" s="55">
        <v>450</v>
      </c>
      <c r="M13" s="49"/>
      <c r="N13" s="49"/>
      <c r="O13" s="49"/>
      <c r="P13" s="49"/>
      <c r="Q13" s="49"/>
      <c r="R13" s="49"/>
      <c r="S13" s="56">
        <v>0</v>
      </c>
      <c r="T13" s="56">
        <v>10</v>
      </c>
      <c r="U13" s="56">
        <v>30</v>
      </c>
      <c r="V13" s="56">
        <v>220</v>
      </c>
      <c r="W13" s="56">
        <v>210</v>
      </c>
      <c r="X13" s="56">
        <v>2</v>
      </c>
      <c r="Y13" s="57"/>
      <c r="Z13" s="58">
        <f t="shared" si="3"/>
        <v>3.72</v>
      </c>
      <c r="AA13" s="139"/>
      <c r="AB13" s="65">
        <f>(S13*100)/$L$5</f>
        <v>0</v>
      </c>
      <c r="AC13" s="65">
        <f>(T13*100)/$L$5</f>
        <v>0.72463768115942029</v>
      </c>
      <c r="AD13" s="65">
        <f>(U13*100)/$L$5</f>
        <v>2.1739130434782608</v>
      </c>
      <c r="AE13" s="65">
        <f>(V13*100)/$L$5</f>
        <v>15.942028985507246</v>
      </c>
      <c r="AF13" s="65">
        <f>(W13*100)/$L$5</f>
        <v>15.217391304347826</v>
      </c>
      <c r="AG13" s="65">
        <f t="shared" si="1"/>
        <v>0.14492753623188406</v>
      </c>
      <c r="AH13" s="68">
        <f t="shared" si="2"/>
        <v>0.44456521739130439</v>
      </c>
      <c r="AI13" s="1" t="s">
        <v>294</v>
      </c>
    </row>
    <row r="14" spans="1:35" x14ac:dyDescent="0.25">
      <c r="A14" s="51" t="s">
        <v>82</v>
      </c>
      <c r="B14" s="52">
        <v>42935</v>
      </c>
      <c r="C14" s="53">
        <v>0.29166666666666669</v>
      </c>
      <c r="D14" s="116">
        <f t="shared" si="0"/>
        <v>42935.291666666664</v>
      </c>
      <c r="E14" s="51">
        <v>3</v>
      </c>
      <c r="F14" s="51">
        <v>42</v>
      </c>
      <c r="G14" s="51"/>
      <c r="H14" s="51"/>
      <c r="I14" s="51">
        <v>6.2</v>
      </c>
      <c r="J14" s="51"/>
      <c r="K14" s="54"/>
      <c r="L14" s="55">
        <v>240</v>
      </c>
      <c r="M14" s="49"/>
      <c r="N14" s="49"/>
      <c r="O14" s="49"/>
      <c r="P14" s="49"/>
      <c r="Q14" s="49"/>
      <c r="R14" s="49"/>
      <c r="S14" s="56"/>
      <c r="T14" s="56"/>
      <c r="U14" s="56"/>
      <c r="V14" s="56"/>
      <c r="W14" s="56"/>
      <c r="X14" s="56"/>
      <c r="Y14" s="57"/>
      <c r="Z14" s="58">
        <f t="shared" si="3"/>
        <v>1.984</v>
      </c>
      <c r="AA14" s="139"/>
      <c r="AB14" s="65">
        <f>(S14*100)/$L$5</f>
        <v>0</v>
      </c>
      <c r="AC14" s="65">
        <f>(T14*100)/$L$5</f>
        <v>0</v>
      </c>
      <c r="AD14" s="65">
        <f>(U14*100)/$L$5</f>
        <v>0</v>
      </c>
      <c r="AE14" s="65">
        <f>(V14*100)/$L$5</f>
        <v>0</v>
      </c>
      <c r="AF14" s="65">
        <f>(W14*100)/$L$5</f>
        <v>0</v>
      </c>
      <c r="AG14" s="65">
        <f t="shared" si="1"/>
        <v>0</v>
      </c>
      <c r="AH14" s="67">
        <f t="shared" si="2"/>
        <v>0</v>
      </c>
      <c r="AI14" s="1" t="s">
        <v>294</v>
      </c>
    </row>
    <row r="15" spans="1:35" x14ac:dyDescent="0.25">
      <c r="A15" s="51" t="s">
        <v>83</v>
      </c>
      <c r="B15" s="52">
        <v>42935</v>
      </c>
      <c r="C15" s="53">
        <v>0.70833333333333337</v>
      </c>
      <c r="D15" s="116">
        <f t="shared" si="0"/>
        <v>42935.708333333336</v>
      </c>
      <c r="E15" s="51">
        <v>1.5</v>
      </c>
      <c r="F15" s="51">
        <v>46.5</v>
      </c>
      <c r="G15" s="51">
        <v>290</v>
      </c>
      <c r="H15" s="51"/>
      <c r="I15" s="51">
        <v>6.5</v>
      </c>
      <c r="J15" s="51"/>
      <c r="K15" s="54"/>
      <c r="L15" s="55">
        <v>1432</v>
      </c>
      <c r="M15" s="49"/>
      <c r="N15" s="49"/>
      <c r="O15" s="49"/>
      <c r="P15" s="49"/>
      <c r="Q15" s="49"/>
      <c r="R15" s="49"/>
      <c r="S15" s="56">
        <v>20</v>
      </c>
      <c r="T15" s="56">
        <v>20</v>
      </c>
      <c r="U15" s="56">
        <v>120</v>
      </c>
      <c r="V15" s="56">
        <v>790</v>
      </c>
      <c r="W15" s="56">
        <v>480</v>
      </c>
      <c r="X15" s="56">
        <v>2</v>
      </c>
      <c r="Y15" s="57"/>
      <c r="Z15" s="58">
        <f t="shared" si="3"/>
        <v>24.821333333333332</v>
      </c>
      <c r="AA15" s="139"/>
      <c r="AB15" s="65">
        <f>(S15*100)/$L$5</f>
        <v>1.4492753623188406</v>
      </c>
      <c r="AC15" s="65">
        <f>(T15*100)/$L$5</f>
        <v>1.4492753623188406</v>
      </c>
      <c r="AD15" s="65">
        <f>(U15*100)/$L$5</f>
        <v>8.695652173913043</v>
      </c>
      <c r="AE15" s="65">
        <f>(V15*100)/$L$5</f>
        <v>57.246376811594203</v>
      </c>
      <c r="AF15" s="65">
        <f>(W15*100)/$L$5</f>
        <v>34.782608695652172</v>
      </c>
      <c r="AG15" s="65">
        <f t="shared" si="1"/>
        <v>0.14492753623188406</v>
      </c>
      <c r="AH15" s="68">
        <f t="shared" si="2"/>
        <v>1.6076086956521738</v>
      </c>
      <c r="AI15" s="1" t="s">
        <v>294</v>
      </c>
    </row>
    <row r="16" spans="1:35" x14ac:dyDescent="0.25">
      <c r="A16" s="51" t="s">
        <v>84</v>
      </c>
      <c r="B16" s="52">
        <v>42942</v>
      </c>
      <c r="C16" s="53">
        <v>0.66666666666666663</v>
      </c>
      <c r="D16" s="116">
        <f t="shared" si="0"/>
        <v>42942.666666666664</v>
      </c>
      <c r="E16" s="51">
        <v>1.5</v>
      </c>
      <c r="F16" s="51">
        <v>43</v>
      </c>
      <c r="G16" s="51">
        <f>(320+324)/2</f>
        <v>322</v>
      </c>
      <c r="H16" s="51" t="s">
        <v>85</v>
      </c>
      <c r="I16" s="51">
        <v>4.4000000000000004</v>
      </c>
      <c r="J16" s="51">
        <f>I16*100</f>
        <v>440.00000000000006</v>
      </c>
      <c r="K16" s="51">
        <v>0.59</v>
      </c>
      <c r="L16" s="55">
        <f>K16*1000</f>
        <v>590</v>
      </c>
      <c r="M16" s="51">
        <v>0.01</v>
      </c>
      <c r="N16" s="51">
        <v>0.01</v>
      </c>
      <c r="O16" s="51">
        <v>0.01</v>
      </c>
      <c r="P16" s="51">
        <v>0.19</v>
      </c>
      <c r="Q16" s="51">
        <v>0.39</v>
      </c>
      <c r="R16" s="51">
        <v>0.01</v>
      </c>
      <c r="S16" s="60">
        <f t="shared" ref="S16:X27" si="4">M16*1000</f>
        <v>10</v>
      </c>
      <c r="T16" s="60">
        <f t="shared" si="4"/>
        <v>10</v>
      </c>
      <c r="U16" s="60">
        <f t="shared" si="4"/>
        <v>10</v>
      </c>
      <c r="V16" s="60">
        <f t="shared" si="4"/>
        <v>190</v>
      </c>
      <c r="W16" s="60">
        <f t="shared" si="4"/>
        <v>390</v>
      </c>
      <c r="X16" s="60">
        <f t="shared" si="4"/>
        <v>10</v>
      </c>
      <c r="Y16" s="61">
        <f>(J16/25)*(L16/E16)</f>
        <v>6922.666666666667</v>
      </c>
      <c r="Z16" s="58">
        <f>(L16/E16)*(I16/0.25)/1000</f>
        <v>6.9226666666666672</v>
      </c>
      <c r="AA16" s="140">
        <f>Z16/60</f>
        <v>0.11537777777777779</v>
      </c>
      <c r="AB16" s="65">
        <f>(S16*100)/$L$5</f>
        <v>0.72463768115942029</v>
      </c>
      <c r="AC16" s="65">
        <f>(T16*100)/$L$5</f>
        <v>0.72463768115942029</v>
      </c>
      <c r="AD16" s="65">
        <f>(U16*100)/$L$5</f>
        <v>0.72463768115942029</v>
      </c>
      <c r="AE16" s="65">
        <f>(V16*100)/$L$5</f>
        <v>13.768115942028986</v>
      </c>
      <c r="AF16" s="65">
        <f>(W16*100)/$L$5</f>
        <v>28.260869565217391</v>
      </c>
      <c r="AG16" s="65">
        <f t="shared" si="1"/>
        <v>0.72463768115942029</v>
      </c>
      <c r="AH16" s="68">
        <f t="shared" si="2"/>
        <v>0.57608695652173914</v>
      </c>
      <c r="AI16" t="s">
        <v>294</v>
      </c>
    </row>
    <row r="17" spans="1:35" x14ac:dyDescent="0.25">
      <c r="A17" s="51" t="s">
        <v>86</v>
      </c>
      <c r="B17" s="52">
        <v>42943</v>
      </c>
      <c r="C17" s="53">
        <v>0.79166666666666663</v>
      </c>
      <c r="D17" s="116">
        <f t="shared" si="0"/>
        <v>42943.791666666664</v>
      </c>
      <c r="E17" s="51">
        <v>3</v>
      </c>
      <c r="F17" s="51">
        <v>44</v>
      </c>
      <c r="G17" s="51">
        <f>(184+189)/2</f>
        <v>186.5</v>
      </c>
      <c r="H17" s="51" t="s">
        <v>85</v>
      </c>
      <c r="I17" s="51">
        <v>4.3</v>
      </c>
      <c r="J17" s="51">
        <f>I17*100</f>
        <v>430</v>
      </c>
      <c r="K17" s="51">
        <v>0.49</v>
      </c>
      <c r="L17" s="55">
        <f t="shared" ref="L17:L31" si="5">K17*1000</f>
        <v>490</v>
      </c>
      <c r="M17" s="51">
        <v>0</v>
      </c>
      <c r="N17" s="51">
        <v>0.01</v>
      </c>
      <c r="O17" s="51">
        <v>0.01</v>
      </c>
      <c r="P17" s="51">
        <v>0.12</v>
      </c>
      <c r="Q17" s="51">
        <v>0.35</v>
      </c>
      <c r="R17" s="51">
        <v>0.01</v>
      </c>
      <c r="S17" s="60">
        <f t="shared" si="4"/>
        <v>0</v>
      </c>
      <c r="T17" s="60">
        <f t="shared" si="4"/>
        <v>10</v>
      </c>
      <c r="U17" s="60">
        <f t="shared" si="4"/>
        <v>10</v>
      </c>
      <c r="V17" s="60">
        <f t="shared" si="4"/>
        <v>120</v>
      </c>
      <c r="W17" s="60">
        <f t="shared" si="4"/>
        <v>350</v>
      </c>
      <c r="X17" s="60">
        <f t="shared" si="4"/>
        <v>10</v>
      </c>
      <c r="Y17" s="61">
        <f t="shared" ref="Y17:Y31" si="6">(J17/25)*(L17/E17)</f>
        <v>2809.3333333333335</v>
      </c>
      <c r="Z17" s="58">
        <f t="shared" si="3"/>
        <v>2.8093333333333335</v>
      </c>
      <c r="AA17" s="140">
        <f t="shared" ref="AA17:AA31" si="7">Z17/60</f>
        <v>4.6822222222222223E-2</v>
      </c>
      <c r="AB17" s="65">
        <f>(S17*100)/$L$5</f>
        <v>0</v>
      </c>
      <c r="AC17" s="65">
        <f>(T17*100)/$L$5</f>
        <v>0.72463768115942029</v>
      </c>
      <c r="AD17" s="65">
        <f>(U17*100)/$L$5</f>
        <v>0.72463768115942029</v>
      </c>
      <c r="AE17" s="65">
        <f>(V17*100)/$L$5</f>
        <v>8.695652173913043</v>
      </c>
      <c r="AF17" s="65">
        <f>(W17*100)/$L$5</f>
        <v>25.362318840579711</v>
      </c>
      <c r="AG17" s="65">
        <f t="shared" si="1"/>
        <v>0.72463768115942029</v>
      </c>
      <c r="AH17" s="68">
        <f t="shared" si="2"/>
        <v>0.38224637681159424</v>
      </c>
      <c r="AI17" s="1" t="s">
        <v>294</v>
      </c>
    </row>
    <row r="18" spans="1:35" x14ac:dyDescent="0.25">
      <c r="A18" s="51" t="s">
        <v>87</v>
      </c>
      <c r="B18" s="52">
        <v>42945</v>
      </c>
      <c r="C18" s="53">
        <v>0.79166666666666663</v>
      </c>
      <c r="D18" s="116">
        <f t="shared" si="0"/>
        <v>42945.791666666664</v>
      </c>
      <c r="E18" s="51">
        <v>1.5</v>
      </c>
      <c r="F18" s="51">
        <v>43.5</v>
      </c>
      <c r="G18" s="51">
        <f>(251+238)/2</f>
        <v>244.5</v>
      </c>
      <c r="H18" s="51" t="s">
        <v>85</v>
      </c>
      <c r="I18" s="51">
        <v>3.7</v>
      </c>
      <c r="J18" s="51">
        <f t="shared" ref="J18:J31" si="8">I18*100</f>
        <v>370</v>
      </c>
      <c r="K18" s="51">
        <v>0.47</v>
      </c>
      <c r="L18" s="55">
        <f t="shared" si="5"/>
        <v>470</v>
      </c>
      <c r="M18" s="51">
        <v>0.02</v>
      </c>
      <c r="N18" s="51">
        <v>0</v>
      </c>
      <c r="O18" s="51">
        <v>0.01</v>
      </c>
      <c r="P18" s="51">
        <v>2.5000000000000001E-2</v>
      </c>
      <c r="Q18" s="51">
        <v>0.38</v>
      </c>
      <c r="R18" s="51">
        <v>0.04</v>
      </c>
      <c r="S18" s="60">
        <f t="shared" si="4"/>
        <v>20</v>
      </c>
      <c r="T18" s="60">
        <f t="shared" si="4"/>
        <v>0</v>
      </c>
      <c r="U18" s="60">
        <f t="shared" si="4"/>
        <v>10</v>
      </c>
      <c r="V18" s="60">
        <f t="shared" si="4"/>
        <v>25</v>
      </c>
      <c r="W18" s="60">
        <f t="shared" si="4"/>
        <v>380</v>
      </c>
      <c r="X18" s="60">
        <f t="shared" si="4"/>
        <v>40</v>
      </c>
      <c r="Y18" s="61">
        <f t="shared" si="6"/>
        <v>4637.333333333333</v>
      </c>
      <c r="Z18" s="58">
        <f t="shared" si="3"/>
        <v>4.6373333333333333</v>
      </c>
      <c r="AA18" s="140">
        <f t="shared" si="7"/>
        <v>7.7288888888888893E-2</v>
      </c>
      <c r="AB18" s="65">
        <f>(S18*100)/$L$5</f>
        <v>1.4492753623188406</v>
      </c>
      <c r="AC18" s="65">
        <f>(T18*100)/$L$5</f>
        <v>0</v>
      </c>
      <c r="AD18" s="65">
        <f>(U18*100)/$L$5</f>
        <v>0.72463768115942029</v>
      </c>
      <c r="AE18" s="65">
        <f>(V18*100)/$L$5</f>
        <v>1.8115942028985508</v>
      </c>
      <c r="AF18" s="65">
        <f>(W18*100)/$L$5</f>
        <v>27.536231884057973</v>
      </c>
      <c r="AG18" s="65">
        <f t="shared" si="1"/>
        <v>2.8985507246376812</v>
      </c>
      <c r="AH18" s="68">
        <f t="shared" si="2"/>
        <v>0.48641304347826092</v>
      </c>
      <c r="AI18" s="1" t="s">
        <v>294</v>
      </c>
    </row>
    <row r="19" spans="1:35" x14ac:dyDescent="0.25">
      <c r="A19" s="51" t="s">
        <v>88</v>
      </c>
      <c r="B19" s="52">
        <v>42946</v>
      </c>
      <c r="C19" s="53">
        <v>0.75</v>
      </c>
      <c r="D19" s="116">
        <f t="shared" si="0"/>
        <v>42946.75</v>
      </c>
      <c r="E19" s="51">
        <v>1.5</v>
      </c>
      <c r="F19" s="51">
        <v>43.5</v>
      </c>
      <c r="G19" s="51">
        <f>(396+400)/2</f>
        <v>398</v>
      </c>
      <c r="H19" s="51" t="s">
        <v>85</v>
      </c>
      <c r="I19" s="51">
        <v>3.9</v>
      </c>
      <c r="J19" s="51">
        <f t="shared" si="8"/>
        <v>390</v>
      </c>
      <c r="K19" s="51">
        <v>0.57999999999999996</v>
      </c>
      <c r="L19" s="55">
        <f t="shared" si="5"/>
        <v>580</v>
      </c>
      <c r="M19" s="51">
        <v>0</v>
      </c>
      <c r="N19" s="51">
        <v>0.01</v>
      </c>
      <c r="O19" s="51">
        <v>0.01</v>
      </c>
      <c r="P19" s="51">
        <v>0.1</v>
      </c>
      <c r="Q19" s="51">
        <v>0.48</v>
      </c>
      <c r="R19" s="51">
        <v>0.01</v>
      </c>
      <c r="S19" s="60">
        <f t="shared" si="4"/>
        <v>0</v>
      </c>
      <c r="T19" s="60">
        <f t="shared" si="4"/>
        <v>10</v>
      </c>
      <c r="U19" s="60">
        <f t="shared" si="4"/>
        <v>10</v>
      </c>
      <c r="V19" s="60">
        <f t="shared" si="4"/>
        <v>100</v>
      </c>
      <c r="W19" s="60">
        <f t="shared" si="4"/>
        <v>480</v>
      </c>
      <c r="X19" s="60">
        <f t="shared" si="4"/>
        <v>10</v>
      </c>
      <c r="Y19" s="61">
        <f t="shared" si="6"/>
        <v>6032</v>
      </c>
      <c r="Z19" s="58">
        <f t="shared" si="3"/>
        <v>6.032</v>
      </c>
      <c r="AA19" s="140">
        <f t="shared" si="7"/>
        <v>0.10053333333333334</v>
      </c>
      <c r="AB19" s="65">
        <f>(S19*100)/$L$5</f>
        <v>0</v>
      </c>
      <c r="AC19" s="65">
        <f>(T19*100)/$L$5</f>
        <v>0.72463768115942029</v>
      </c>
      <c r="AD19" s="65">
        <f>(U19*100)/$L$5</f>
        <v>0.72463768115942029</v>
      </c>
      <c r="AE19" s="65">
        <f>(V19*100)/$L$5</f>
        <v>7.2463768115942031</v>
      </c>
      <c r="AF19" s="65">
        <f>(W19*100)/$L$5</f>
        <v>34.782608695652172</v>
      </c>
      <c r="AG19" s="65">
        <f t="shared" si="1"/>
        <v>0.72463768115942029</v>
      </c>
      <c r="AH19" s="68">
        <f t="shared" si="2"/>
        <v>0.43478260869565211</v>
      </c>
      <c r="AI19" s="1" t="s">
        <v>294</v>
      </c>
    </row>
    <row r="20" spans="1:35" x14ac:dyDescent="0.25">
      <c r="A20" s="51" t="s">
        <v>89</v>
      </c>
      <c r="B20" s="52">
        <v>42947</v>
      </c>
      <c r="C20" s="53">
        <v>0.70833333333333337</v>
      </c>
      <c r="D20" s="116">
        <f t="shared" si="0"/>
        <v>42947.708333333336</v>
      </c>
      <c r="E20" s="51">
        <v>1.5</v>
      </c>
      <c r="F20" s="51">
        <v>46</v>
      </c>
      <c r="G20" s="62">
        <f>(424+451)/2</f>
        <v>437.5</v>
      </c>
      <c r="H20" s="63"/>
      <c r="I20" s="51">
        <v>9.6</v>
      </c>
      <c r="J20" s="51">
        <f t="shared" si="8"/>
        <v>960</v>
      </c>
      <c r="K20" s="51">
        <v>4.53</v>
      </c>
      <c r="L20" s="55">
        <f t="shared" si="5"/>
        <v>4530</v>
      </c>
      <c r="M20" s="51">
        <v>0.14599999999999999</v>
      </c>
      <c r="N20" s="51">
        <v>0.27</v>
      </c>
      <c r="O20" s="51">
        <v>0.435</v>
      </c>
      <c r="P20" s="51">
        <v>2.34</v>
      </c>
      <c r="Q20" s="51">
        <v>1.32</v>
      </c>
      <c r="R20" s="51">
        <v>0.02</v>
      </c>
      <c r="S20" s="60">
        <f t="shared" si="4"/>
        <v>146</v>
      </c>
      <c r="T20" s="60">
        <f t="shared" si="4"/>
        <v>270</v>
      </c>
      <c r="U20" s="60">
        <f t="shared" si="4"/>
        <v>435</v>
      </c>
      <c r="V20" s="60">
        <f t="shared" si="4"/>
        <v>2340</v>
      </c>
      <c r="W20" s="60">
        <f t="shared" si="4"/>
        <v>1320</v>
      </c>
      <c r="X20" s="60">
        <f t="shared" si="4"/>
        <v>20</v>
      </c>
      <c r="Y20" s="61">
        <f t="shared" si="6"/>
        <v>115968</v>
      </c>
      <c r="Z20" s="58">
        <f t="shared" si="3"/>
        <v>115.968</v>
      </c>
      <c r="AA20" s="140">
        <f t="shared" si="7"/>
        <v>1.9328000000000001</v>
      </c>
      <c r="AB20" s="65">
        <f>(S20*100)/$L$5</f>
        <v>10.579710144927537</v>
      </c>
      <c r="AC20" s="65">
        <f>(T20*100)/$L$5</f>
        <v>19.565217391304348</v>
      </c>
      <c r="AD20" s="65">
        <f>(U20*100)/$L$5</f>
        <v>31.521739130434781</v>
      </c>
      <c r="AE20" s="65">
        <f>(V20*100)/$L$5</f>
        <v>169.56521739130434</v>
      </c>
      <c r="AF20" s="65">
        <f>(W20*100)/$L$5</f>
        <v>95.652173913043484</v>
      </c>
      <c r="AG20" s="65">
        <f t="shared" si="1"/>
        <v>1.4492753623188406</v>
      </c>
      <c r="AH20" s="68">
        <f t="shared" si="2"/>
        <v>7.0018115942028976</v>
      </c>
      <c r="AI20" s="1" t="s">
        <v>294</v>
      </c>
    </row>
    <row r="21" spans="1:35" x14ac:dyDescent="0.25">
      <c r="A21" s="51" t="s">
        <v>90</v>
      </c>
      <c r="B21" s="52">
        <v>42949</v>
      </c>
      <c r="C21" s="53">
        <v>0.75</v>
      </c>
      <c r="D21" s="116">
        <f t="shared" si="0"/>
        <v>42949.75</v>
      </c>
      <c r="E21" s="51">
        <v>1.5</v>
      </c>
      <c r="F21" s="51">
        <v>45</v>
      </c>
      <c r="G21" s="51">
        <f>(301+296)/2</f>
        <v>298.5</v>
      </c>
      <c r="H21" s="51"/>
      <c r="I21" s="51">
        <v>6.8</v>
      </c>
      <c r="J21" s="51">
        <f t="shared" si="8"/>
        <v>680</v>
      </c>
      <c r="K21" s="51">
        <v>1.5</v>
      </c>
      <c r="L21" s="55">
        <f t="shared" si="5"/>
        <v>1500</v>
      </c>
      <c r="M21" s="51">
        <v>0</v>
      </c>
      <c r="N21" s="51">
        <v>0.01</v>
      </c>
      <c r="O21" s="51">
        <v>0.03</v>
      </c>
      <c r="P21" s="51">
        <v>0.59</v>
      </c>
      <c r="Q21" s="51">
        <v>0.84</v>
      </c>
      <c r="R21" s="51">
        <v>0.01</v>
      </c>
      <c r="S21" s="60">
        <f t="shared" si="4"/>
        <v>0</v>
      </c>
      <c r="T21" s="60">
        <f t="shared" si="4"/>
        <v>10</v>
      </c>
      <c r="U21" s="60">
        <f t="shared" si="4"/>
        <v>30</v>
      </c>
      <c r="V21" s="60">
        <f t="shared" si="4"/>
        <v>590</v>
      </c>
      <c r="W21" s="60">
        <f t="shared" si="4"/>
        <v>840</v>
      </c>
      <c r="X21" s="60">
        <f t="shared" si="4"/>
        <v>10</v>
      </c>
      <c r="Y21" s="61">
        <f t="shared" si="6"/>
        <v>27200</v>
      </c>
      <c r="Z21" s="58">
        <f t="shared" si="3"/>
        <v>27.2</v>
      </c>
      <c r="AA21" s="140">
        <f t="shared" si="7"/>
        <v>0.45333333333333331</v>
      </c>
      <c r="AB21" s="65">
        <f>(S21*100)/$L$5</f>
        <v>0</v>
      </c>
      <c r="AC21" s="65">
        <f>(T21*100)/$L$5</f>
        <v>0.72463768115942029</v>
      </c>
      <c r="AD21" s="65">
        <f>(U21*100)/$L$5</f>
        <v>2.1739130434782608</v>
      </c>
      <c r="AE21" s="65">
        <f>(V21*100)/$L$5</f>
        <v>42.753623188405797</v>
      </c>
      <c r="AF21" s="65">
        <f>(W21*100)/$L$5</f>
        <v>60.869565217391305</v>
      </c>
      <c r="AG21" s="65">
        <f t="shared" si="1"/>
        <v>0.72463768115942029</v>
      </c>
      <c r="AH21" s="68">
        <f t="shared" si="2"/>
        <v>1.1249999999999998</v>
      </c>
      <c r="AI21" s="1" t="s">
        <v>294</v>
      </c>
    </row>
    <row r="22" spans="1:35" x14ac:dyDescent="0.25">
      <c r="A22" s="51" t="s">
        <v>91</v>
      </c>
      <c r="B22" s="52">
        <v>42953</v>
      </c>
      <c r="C22" s="53">
        <v>0.79166666666666663</v>
      </c>
      <c r="D22" s="116">
        <f t="shared" si="0"/>
        <v>42953.791666666664</v>
      </c>
      <c r="E22" s="51">
        <v>1.5</v>
      </c>
      <c r="F22" s="51">
        <v>43</v>
      </c>
      <c r="G22" s="51">
        <f>(230+232)/2</f>
        <v>231</v>
      </c>
      <c r="H22" s="51"/>
      <c r="I22" s="51">
        <v>6.5</v>
      </c>
      <c r="J22" s="51">
        <f t="shared" si="8"/>
        <v>650</v>
      </c>
      <c r="K22" s="51">
        <v>0.77</v>
      </c>
      <c r="L22" s="55">
        <f t="shared" si="5"/>
        <v>770</v>
      </c>
      <c r="M22" s="51">
        <v>0</v>
      </c>
      <c r="N22" s="51">
        <v>0.01</v>
      </c>
      <c r="O22" s="51">
        <v>0.03</v>
      </c>
      <c r="P22" s="51">
        <v>0.33</v>
      </c>
      <c r="Q22" s="51">
        <v>0.38</v>
      </c>
      <c r="R22" s="51">
        <v>0.01</v>
      </c>
      <c r="S22" s="60">
        <f t="shared" si="4"/>
        <v>0</v>
      </c>
      <c r="T22" s="60">
        <f t="shared" si="4"/>
        <v>10</v>
      </c>
      <c r="U22" s="60">
        <f t="shared" si="4"/>
        <v>30</v>
      </c>
      <c r="V22" s="60">
        <f t="shared" si="4"/>
        <v>330</v>
      </c>
      <c r="W22" s="60">
        <f>Q22*1000</f>
        <v>380</v>
      </c>
      <c r="X22" s="60">
        <f t="shared" si="4"/>
        <v>10</v>
      </c>
      <c r="Y22" s="61">
        <f t="shared" si="6"/>
        <v>13346.666666666668</v>
      </c>
      <c r="Z22" s="58">
        <f t="shared" si="3"/>
        <v>13.346666666666668</v>
      </c>
      <c r="AA22" s="140">
        <f t="shared" si="7"/>
        <v>0.22244444444444447</v>
      </c>
      <c r="AB22" s="65">
        <f>(S22*100)/$L$5</f>
        <v>0</v>
      </c>
      <c r="AC22" s="65">
        <f>(T22*100)/$L$5</f>
        <v>0.72463768115942029</v>
      </c>
      <c r="AD22" s="65">
        <f>(U22*100)/$L$5</f>
        <v>2.1739130434782608</v>
      </c>
      <c r="AE22" s="65">
        <f>(V22*100)/$L$5</f>
        <v>23.913043478260871</v>
      </c>
      <c r="AF22" s="65">
        <f>(W22*100)/$L$5</f>
        <v>27.536231884057973</v>
      </c>
      <c r="AG22" s="65">
        <f t="shared" si="1"/>
        <v>0.72463768115942029</v>
      </c>
      <c r="AH22" s="68">
        <f t="shared" si="2"/>
        <v>0.63949275362318847</v>
      </c>
      <c r="AI22" s="1" t="s">
        <v>294</v>
      </c>
    </row>
    <row r="23" spans="1:35" x14ac:dyDescent="0.25">
      <c r="A23" s="51" t="s">
        <v>92</v>
      </c>
      <c r="B23" s="52">
        <v>42954</v>
      </c>
      <c r="C23" s="53">
        <v>0.75</v>
      </c>
      <c r="D23" s="116">
        <f t="shared" si="0"/>
        <v>42954.75</v>
      </c>
      <c r="E23" s="51">
        <v>1.5</v>
      </c>
      <c r="F23" s="51">
        <v>43.5</v>
      </c>
      <c r="G23" s="51">
        <f>(367+360)/2</f>
        <v>363.5</v>
      </c>
      <c r="H23" s="51"/>
      <c r="I23" s="51">
        <v>6.5</v>
      </c>
      <c r="J23" s="51">
        <f t="shared" si="8"/>
        <v>650</v>
      </c>
      <c r="K23" s="51">
        <v>1.17</v>
      </c>
      <c r="L23" s="55">
        <f t="shared" si="5"/>
        <v>1170</v>
      </c>
      <c r="M23" s="51">
        <v>0.01</v>
      </c>
      <c r="N23" s="51">
        <v>0.01</v>
      </c>
      <c r="O23" s="51">
        <v>0.06</v>
      </c>
      <c r="P23" s="51">
        <v>0.47</v>
      </c>
      <c r="Q23" s="51">
        <v>0.64</v>
      </c>
      <c r="R23" s="51">
        <v>0.01</v>
      </c>
      <c r="S23" s="60">
        <f t="shared" si="4"/>
        <v>10</v>
      </c>
      <c r="T23" s="60">
        <f t="shared" si="4"/>
        <v>10</v>
      </c>
      <c r="U23" s="60">
        <f t="shared" si="4"/>
        <v>60</v>
      </c>
      <c r="V23" s="60">
        <f t="shared" si="4"/>
        <v>470</v>
      </c>
      <c r="W23" s="60">
        <f t="shared" si="4"/>
        <v>640</v>
      </c>
      <c r="X23" s="60">
        <f t="shared" si="4"/>
        <v>10</v>
      </c>
      <c r="Y23" s="61">
        <f t="shared" si="6"/>
        <v>20280</v>
      </c>
      <c r="Z23" s="58">
        <f t="shared" si="3"/>
        <v>20.28</v>
      </c>
      <c r="AA23" s="140">
        <f t="shared" si="7"/>
        <v>0.33800000000000002</v>
      </c>
      <c r="AB23" s="65">
        <f>(S23*100)/$L$5</f>
        <v>0.72463768115942029</v>
      </c>
      <c r="AC23" s="65">
        <f>(T23*100)/$L$5</f>
        <v>0.72463768115942029</v>
      </c>
      <c r="AD23" s="65">
        <f>(U23*100)/$L$5</f>
        <v>4.3478260869565215</v>
      </c>
      <c r="AE23" s="65">
        <f>(V23*100)/$L$5</f>
        <v>34.05797101449275</v>
      </c>
      <c r="AF23" s="65">
        <f>(W23*100)/$L$5</f>
        <v>46.376811594202898</v>
      </c>
      <c r="AG23" s="65">
        <f t="shared" si="1"/>
        <v>0.72463768115942029</v>
      </c>
      <c r="AH23" s="68">
        <f t="shared" si="2"/>
        <v>1.0923913043478259</v>
      </c>
      <c r="AI23" s="1" t="s">
        <v>294</v>
      </c>
    </row>
    <row r="24" spans="1:35" x14ac:dyDescent="0.25">
      <c r="A24" s="51" t="s">
        <v>93</v>
      </c>
      <c r="B24" s="52">
        <v>42956</v>
      </c>
      <c r="C24" s="53">
        <v>0.70833333333333337</v>
      </c>
      <c r="D24" s="116">
        <f t="shared" si="0"/>
        <v>42956.708333333336</v>
      </c>
      <c r="E24" s="51">
        <v>1.5</v>
      </c>
      <c r="F24" s="51">
        <v>42</v>
      </c>
      <c r="G24" s="51">
        <f>(297+276)/2</f>
        <v>286.5</v>
      </c>
      <c r="H24" s="51"/>
      <c r="I24" s="51">
        <v>6.4</v>
      </c>
      <c r="J24" s="51">
        <f t="shared" si="8"/>
        <v>640</v>
      </c>
      <c r="K24" s="51">
        <v>0.82</v>
      </c>
      <c r="L24" s="55">
        <f t="shared" si="5"/>
        <v>820</v>
      </c>
      <c r="M24" s="51">
        <v>0</v>
      </c>
      <c r="N24" s="51">
        <v>0.01</v>
      </c>
      <c r="O24" s="51">
        <v>0.02</v>
      </c>
      <c r="P24" s="51">
        <v>0.33</v>
      </c>
      <c r="Q24" s="51">
        <v>0.45</v>
      </c>
      <c r="R24" s="51">
        <v>0.02</v>
      </c>
      <c r="S24" s="60">
        <f t="shared" si="4"/>
        <v>0</v>
      </c>
      <c r="T24" s="60">
        <f t="shared" si="4"/>
        <v>10</v>
      </c>
      <c r="U24" s="60">
        <f t="shared" si="4"/>
        <v>20</v>
      </c>
      <c r="V24" s="60">
        <f t="shared" si="4"/>
        <v>330</v>
      </c>
      <c r="W24" s="60">
        <f t="shared" si="4"/>
        <v>450</v>
      </c>
      <c r="X24" s="60">
        <f t="shared" si="4"/>
        <v>20</v>
      </c>
      <c r="Y24" s="61">
        <f t="shared" si="6"/>
        <v>13994.666666666666</v>
      </c>
      <c r="Z24" s="58">
        <f t="shared" si="3"/>
        <v>13.994666666666665</v>
      </c>
      <c r="AA24" s="140">
        <f t="shared" si="7"/>
        <v>0.23324444444444442</v>
      </c>
      <c r="AB24" s="65">
        <f>(S24*100)/$L$5</f>
        <v>0</v>
      </c>
      <c r="AC24" s="65">
        <f>(T24*100)/$L$5</f>
        <v>0.72463768115942029</v>
      </c>
      <c r="AD24" s="65">
        <f>(U24*100)/$L$5</f>
        <v>1.4492753623188406</v>
      </c>
      <c r="AE24" s="65">
        <f>(V24*100)/$L$5</f>
        <v>23.913043478260871</v>
      </c>
      <c r="AF24" s="65">
        <f>(W24*100)/$L$5</f>
        <v>32.608695652173914</v>
      </c>
      <c r="AG24" s="65">
        <f t="shared" si="1"/>
        <v>1.4492753623188406</v>
      </c>
      <c r="AH24" s="68">
        <f t="shared" si="2"/>
        <v>0.6557971014492755</v>
      </c>
      <c r="AI24" s="1" t="s">
        <v>294</v>
      </c>
    </row>
    <row r="25" spans="1:35" x14ac:dyDescent="0.25">
      <c r="A25" s="51" t="s">
        <v>94</v>
      </c>
      <c r="B25" s="52">
        <v>42957</v>
      </c>
      <c r="C25" s="53">
        <v>0.70833333333333337</v>
      </c>
      <c r="D25" s="116">
        <f t="shared" si="0"/>
        <v>42957.708333333336</v>
      </c>
      <c r="E25" s="51">
        <v>1.5</v>
      </c>
      <c r="F25" s="51">
        <v>44.7</v>
      </c>
      <c r="G25" s="51">
        <f>(548+539)/2</f>
        <v>543.5</v>
      </c>
      <c r="H25" s="51"/>
      <c r="I25" s="51">
        <v>6.4</v>
      </c>
      <c r="J25" s="51">
        <f t="shared" si="8"/>
        <v>640</v>
      </c>
      <c r="K25" s="51">
        <v>1.54</v>
      </c>
      <c r="L25" s="55">
        <f t="shared" si="5"/>
        <v>1540</v>
      </c>
      <c r="M25" s="51">
        <v>0</v>
      </c>
      <c r="N25" s="51">
        <v>0.06</v>
      </c>
      <c r="O25" s="51">
        <v>0.06</v>
      </c>
      <c r="P25" s="51">
        <v>0.52</v>
      </c>
      <c r="Q25" s="51">
        <v>0.9</v>
      </c>
      <c r="R25" s="51">
        <v>0.01</v>
      </c>
      <c r="S25" s="60">
        <f t="shared" si="4"/>
        <v>0</v>
      </c>
      <c r="T25" s="60">
        <f t="shared" si="4"/>
        <v>60</v>
      </c>
      <c r="U25" s="60">
        <f t="shared" si="4"/>
        <v>60</v>
      </c>
      <c r="V25" s="60">
        <f t="shared" si="4"/>
        <v>520</v>
      </c>
      <c r="W25" s="60">
        <f t="shared" si="4"/>
        <v>900</v>
      </c>
      <c r="X25" s="60">
        <f t="shared" si="4"/>
        <v>10</v>
      </c>
      <c r="Y25" s="61">
        <f t="shared" si="6"/>
        <v>26282.666666666672</v>
      </c>
      <c r="Z25" s="58">
        <f t="shared" si="3"/>
        <v>26.282666666666671</v>
      </c>
      <c r="AA25" s="140">
        <f t="shared" si="7"/>
        <v>0.43804444444444451</v>
      </c>
      <c r="AB25" s="65">
        <f>(S25*100)/$L$5</f>
        <v>0</v>
      </c>
      <c r="AC25" s="65">
        <f>(T25*100)/$L$5</f>
        <v>4.3478260869565215</v>
      </c>
      <c r="AD25" s="65">
        <f>(U25*100)/$L$5</f>
        <v>4.3478260869565215</v>
      </c>
      <c r="AE25" s="65">
        <f>(V25*100)/$L$5</f>
        <v>37.681159420289852</v>
      </c>
      <c r="AF25" s="65">
        <f>(W25*100)/$L$5</f>
        <v>65.217391304347828</v>
      </c>
      <c r="AG25" s="65">
        <f t="shared" si="1"/>
        <v>0.72463768115942029</v>
      </c>
      <c r="AH25" s="68">
        <f t="shared" si="2"/>
        <v>1.4420289855072466</v>
      </c>
      <c r="AI25" s="1" t="s">
        <v>294</v>
      </c>
    </row>
    <row r="26" spans="1:35" x14ac:dyDescent="0.25">
      <c r="A26" s="51" t="s">
        <v>95</v>
      </c>
      <c r="B26" s="52">
        <v>42958</v>
      </c>
      <c r="C26" s="53">
        <v>0.75</v>
      </c>
      <c r="D26" s="116">
        <f t="shared" si="0"/>
        <v>42958.75</v>
      </c>
      <c r="E26" s="51">
        <v>1.5</v>
      </c>
      <c r="F26" s="51">
        <v>37</v>
      </c>
      <c r="G26" s="51">
        <f>(123+126)/2</f>
        <v>124.5</v>
      </c>
      <c r="H26" s="51"/>
      <c r="I26" s="51">
        <v>6.2</v>
      </c>
      <c r="J26" s="51">
        <f t="shared" si="8"/>
        <v>620</v>
      </c>
      <c r="K26" s="51">
        <v>0.8</v>
      </c>
      <c r="L26" s="55">
        <f t="shared" si="5"/>
        <v>800</v>
      </c>
      <c r="M26" s="51">
        <v>0</v>
      </c>
      <c r="N26" s="51">
        <v>0.01</v>
      </c>
      <c r="O26" s="51">
        <v>0.03</v>
      </c>
      <c r="P26" s="51">
        <v>0.32</v>
      </c>
      <c r="Q26" s="51">
        <v>0.42</v>
      </c>
      <c r="R26" s="51">
        <v>0.01</v>
      </c>
      <c r="S26" s="60">
        <f t="shared" si="4"/>
        <v>0</v>
      </c>
      <c r="T26" s="60">
        <f t="shared" si="4"/>
        <v>10</v>
      </c>
      <c r="U26" s="60">
        <f>O26*1000</f>
        <v>30</v>
      </c>
      <c r="V26" s="60">
        <f t="shared" si="4"/>
        <v>320</v>
      </c>
      <c r="W26" s="60">
        <f t="shared" si="4"/>
        <v>420</v>
      </c>
      <c r="X26" s="60">
        <f t="shared" si="4"/>
        <v>10</v>
      </c>
      <c r="Y26" s="61">
        <f t="shared" si="6"/>
        <v>13226.666666666668</v>
      </c>
      <c r="Z26" s="58">
        <f t="shared" si="3"/>
        <v>13.226666666666668</v>
      </c>
      <c r="AA26" s="140">
        <f t="shared" si="7"/>
        <v>0.22044444444444447</v>
      </c>
      <c r="AB26" s="65">
        <f>(S26*100)/$L$5</f>
        <v>0</v>
      </c>
      <c r="AC26" s="65">
        <f>(T26*100)/$L$5</f>
        <v>0.72463768115942029</v>
      </c>
      <c r="AD26" s="65">
        <f>(U26*100)/$L$5</f>
        <v>2.1739130434782608</v>
      </c>
      <c r="AE26" s="65">
        <f>(V26*100)/$L$5</f>
        <v>23.188405797101449</v>
      </c>
      <c r="AF26" s="65">
        <f>(W26*100)/$L$5</f>
        <v>30.434782608695652</v>
      </c>
      <c r="AG26" s="65">
        <f t="shared" si="1"/>
        <v>0.72463768115942029</v>
      </c>
      <c r="AH26" s="68">
        <f t="shared" si="2"/>
        <v>0.65217391304347816</v>
      </c>
      <c r="AI26" s="1" t="s">
        <v>294</v>
      </c>
    </row>
    <row r="27" spans="1:35" x14ac:dyDescent="0.25">
      <c r="A27" s="51" t="s">
        <v>96</v>
      </c>
      <c r="B27" s="52">
        <v>42960</v>
      </c>
      <c r="C27" s="53">
        <v>0.79166666666666663</v>
      </c>
      <c r="D27" s="116">
        <f t="shared" si="0"/>
        <v>42960.791666666664</v>
      </c>
      <c r="E27" s="51">
        <v>3</v>
      </c>
      <c r="F27" s="51">
        <v>35</v>
      </c>
      <c r="G27" s="51">
        <f>(156+157)/2</f>
        <v>156.5</v>
      </c>
      <c r="H27" s="51"/>
      <c r="I27" s="51">
        <v>6.5</v>
      </c>
      <c r="J27" s="51">
        <f t="shared" si="8"/>
        <v>650</v>
      </c>
      <c r="K27" s="51">
        <v>0.67</v>
      </c>
      <c r="L27" s="55">
        <f t="shared" si="5"/>
        <v>670</v>
      </c>
      <c r="M27" s="51">
        <v>0</v>
      </c>
      <c r="N27" s="51">
        <v>0.01</v>
      </c>
      <c r="O27" s="51">
        <v>0.04</v>
      </c>
      <c r="P27" s="51">
        <v>0.26500000000000001</v>
      </c>
      <c r="Q27" s="51">
        <v>0.36</v>
      </c>
      <c r="R27" s="51">
        <v>0.01</v>
      </c>
      <c r="S27" s="60">
        <f t="shared" si="4"/>
        <v>0</v>
      </c>
      <c r="T27" s="60">
        <f t="shared" si="4"/>
        <v>10</v>
      </c>
      <c r="U27" s="60">
        <f t="shared" si="4"/>
        <v>40</v>
      </c>
      <c r="V27" s="60">
        <f t="shared" si="4"/>
        <v>265</v>
      </c>
      <c r="W27" s="60">
        <f t="shared" si="4"/>
        <v>360</v>
      </c>
      <c r="X27" s="60">
        <f t="shared" si="4"/>
        <v>10</v>
      </c>
      <c r="Y27" s="61">
        <f t="shared" si="6"/>
        <v>5806.666666666667</v>
      </c>
      <c r="Z27" s="58">
        <f t="shared" si="3"/>
        <v>5.8066666666666666</v>
      </c>
      <c r="AA27" s="140">
        <f t="shared" si="7"/>
        <v>9.6777777777777782E-2</v>
      </c>
      <c r="AB27" s="65">
        <f>(S27*100)/$L$5</f>
        <v>0</v>
      </c>
      <c r="AC27" s="65">
        <f>(T27*100)/$L$5</f>
        <v>0.72463768115942029</v>
      </c>
      <c r="AD27" s="65">
        <f>(U27*100)/$L$5</f>
        <v>2.8985507246376812</v>
      </c>
      <c r="AE27" s="65">
        <f>(V27*100)/$L$5</f>
        <v>19.202898550724637</v>
      </c>
      <c r="AF27" s="65">
        <f>(W27*100)/$L$5</f>
        <v>26.086956521739129</v>
      </c>
      <c r="AG27" s="65">
        <f t="shared" si="1"/>
        <v>0.72463768115942029</v>
      </c>
      <c r="AH27" s="68">
        <f t="shared" si="2"/>
        <v>0.59510869565217395</v>
      </c>
      <c r="AI27" s="1" t="s">
        <v>294</v>
      </c>
    </row>
    <row r="28" spans="1:35" x14ac:dyDescent="0.25">
      <c r="A28" s="51" t="s">
        <v>97</v>
      </c>
      <c r="B28" s="52">
        <v>42963</v>
      </c>
      <c r="C28" s="53">
        <v>0.75</v>
      </c>
      <c r="D28" s="116">
        <f t="shared" si="0"/>
        <v>42963.75</v>
      </c>
      <c r="E28" s="51">
        <v>1.5</v>
      </c>
      <c r="F28" s="51">
        <v>37</v>
      </c>
      <c r="G28" s="51">
        <f>(361+380)/2</f>
        <v>370.5</v>
      </c>
      <c r="H28" s="51"/>
      <c r="I28" s="51">
        <v>6.4</v>
      </c>
      <c r="J28" s="51">
        <f t="shared" si="8"/>
        <v>640</v>
      </c>
      <c r="K28" s="51">
        <v>0.4</v>
      </c>
      <c r="L28" s="55">
        <f t="shared" si="5"/>
        <v>400</v>
      </c>
      <c r="M28" s="51">
        <v>0</v>
      </c>
      <c r="N28" s="51">
        <v>0.01</v>
      </c>
      <c r="O28" s="51">
        <v>0.02</v>
      </c>
      <c r="P28" s="51">
        <v>0.16</v>
      </c>
      <c r="Q28" s="51">
        <v>0.22</v>
      </c>
      <c r="R28" s="51">
        <v>0.01</v>
      </c>
      <c r="S28" s="60">
        <f t="shared" ref="S28:X30" si="9">M28*1000</f>
        <v>0</v>
      </c>
      <c r="T28" s="60">
        <f t="shared" si="9"/>
        <v>10</v>
      </c>
      <c r="U28" s="60">
        <f t="shared" si="9"/>
        <v>20</v>
      </c>
      <c r="V28" s="60">
        <f t="shared" si="9"/>
        <v>160</v>
      </c>
      <c r="W28" s="60">
        <f t="shared" si="9"/>
        <v>220</v>
      </c>
      <c r="X28" s="60">
        <f t="shared" si="9"/>
        <v>10</v>
      </c>
      <c r="Y28" s="61">
        <f t="shared" si="6"/>
        <v>6826.6666666666679</v>
      </c>
      <c r="Z28" s="58">
        <f t="shared" si="3"/>
        <v>6.826666666666668</v>
      </c>
      <c r="AA28" s="140">
        <f t="shared" si="7"/>
        <v>0.1137777777777778</v>
      </c>
      <c r="AB28" s="65">
        <f>(S28*100)/$L$5</f>
        <v>0</v>
      </c>
      <c r="AC28" s="65">
        <f>(T28*100)/$L$5</f>
        <v>0.72463768115942029</v>
      </c>
      <c r="AD28" s="65">
        <f>(U28*100)/$L$5</f>
        <v>1.4492753623188406</v>
      </c>
      <c r="AE28" s="65">
        <f>(V28*100)/$L$5</f>
        <v>11.594202898550725</v>
      </c>
      <c r="AF28" s="65">
        <f>(W28*100)/$L$5</f>
        <v>15.942028985507246</v>
      </c>
      <c r="AG28" s="65">
        <f t="shared" si="1"/>
        <v>0.72463768115942029</v>
      </c>
      <c r="AH28" s="68">
        <f t="shared" si="2"/>
        <v>0.3731884057971015</v>
      </c>
      <c r="AI28" s="1" t="s">
        <v>294</v>
      </c>
    </row>
    <row r="29" spans="1:35" x14ac:dyDescent="0.25">
      <c r="A29" s="51" t="s">
        <v>98</v>
      </c>
      <c r="B29" s="52">
        <v>42965</v>
      </c>
      <c r="C29" s="53">
        <v>0.70833333333333337</v>
      </c>
      <c r="D29" s="116">
        <f t="shared" si="0"/>
        <v>42965.708333333336</v>
      </c>
      <c r="E29" s="51">
        <v>1.5</v>
      </c>
      <c r="F29" s="51">
        <v>41</v>
      </c>
      <c r="G29" s="51">
        <f>(436+438)/2</f>
        <v>437</v>
      </c>
      <c r="H29" s="51"/>
      <c r="I29" s="51">
        <v>6.4</v>
      </c>
      <c r="J29" s="51">
        <f t="shared" si="8"/>
        <v>640</v>
      </c>
      <c r="K29" s="51">
        <v>0.51</v>
      </c>
      <c r="L29" s="55">
        <f t="shared" si="5"/>
        <v>510</v>
      </c>
      <c r="M29" s="51">
        <v>0</v>
      </c>
      <c r="N29" s="51">
        <v>0.01</v>
      </c>
      <c r="O29" s="51">
        <v>0.02</v>
      </c>
      <c r="P29" s="51">
        <v>0.19</v>
      </c>
      <c r="Q29" s="51">
        <v>0.29499999999999998</v>
      </c>
      <c r="R29" s="51">
        <v>0.01</v>
      </c>
      <c r="S29" s="60">
        <f t="shared" si="9"/>
        <v>0</v>
      </c>
      <c r="T29" s="60">
        <f t="shared" si="9"/>
        <v>10</v>
      </c>
      <c r="U29" s="60">
        <f t="shared" si="9"/>
        <v>20</v>
      </c>
      <c r="V29" s="60">
        <f t="shared" si="9"/>
        <v>190</v>
      </c>
      <c r="W29" s="60">
        <f t="shared" si="9"/>
        <v>295</v>
      </c>
      <c r="X29" s="60">
        <f t="shared" si="9"/>
        <v>10</v>
      </c>
      <c r="Y29" s="61">
        <f t="shared" si="6"/>
        <v>8704</v>
      </c>
      <c r="Z29" s="58">
        <f t="shared" si="3"/>
        <v>8.7040000000000006</v>
      </c>
      <c r="AA29" s="140">
        <f t="shared" si="7"/>
        <v>0.14506666666666668</v>
      </c>
      <c r="AB29" s="65">
        <f>(S29*100)/$L$5</f>
        <v>0</v>
      </c>
      <c r="AC29" s="65">
        <f>(T29*100)/$L$5</f>
        <v>0.72463768115942029</v>
      </c>
      <c r="AD29" s="65">
        <f>(U29*100)/$L$5</f>
        <v>1.4492753623188406</v>
      </c>
      <c r="AE29" s="65">
        <f>(V29*100)/$L$5</f>
        <v>13.768115942028986</v>
      </c>
      <c r="AF29" s="65">
        <f>(W29*100)/$L$5</f>
        <v>21.376811594202898</v>
      </c>
      <c r="AG29" s="65">
        <f t="shared" si="1"/>
        <v>0.72463768115942029</v>
      </c>
      <c r="AH29" s="68">
        <f t="shared" si="2"/>
        <v>0.44112318840579712</v>
      </c>
      <c r="AI29" s="1" t="s">
        <v>294</v>
      </c>
    </row>
    <row r="30" spans="1:35" x14ac:dyDescent="0.25">
      <c r="A30" s="51" t="s">
        <v>99</v>
      </c>
      <c r="B30" s="52">
        <v>42967</v>
      </c>
      <c r="C30" s="53">
        <v>0.54166666666666663</v>
      </c>
      <c r="D30" s="116">
        <f t="shared" si="0"/>
        <v>42967.541666666664</v>
      </c>
      <c r="E30" s="51">
        <v>1.5</v>
      </c>
      <c r="F30" s="51">
        <v>35</v>
      </c>
      <c r="G30" s="51">
        <f>(244+216)/2</f>
        <v>230</v>
      </c>
      <c r="H30" s="51"/>
      <c r="I30" s="51">
        <v>6.3</v>
      </c>
      <c r="J30" s="51">
        <f t="shared" si="8"/>
        <v>630</v>
      </c>
      <c r="K30" s="63">
        <f>SUM(M30:R30)</f>
        <v>0.25</v>
      </c>
      <c r="L30" s="55">
        <f>K30*1000</f>
        <v>250</v>
      </c>
      <c r="M30" s="51">
        <v>0</v>
      </c>
      <c r="N30" s="51">
        <v>0.01</v>
      </c>
      <c r="O30" s="51">
        <v>0.02</v>
      </c>
      <c r="P30" s="51">
        <v>0.1</v>
      </c>
      <c r="Q30" s="51">
        <v>0.11</v>
      </c>
      <c r="R30" s="51">
        <v>0.01</v>
      </c>
      <c r="S30" s="60">
        <f t="shared" si="9"/>
        <v>0</v>
      </c>
      <c r="T30" s="60">
        <f t="shared" si="9"/>
        <v>10</v>
      </c>
      <c r="U30" s="60">
        <f t="shared" si="9"/>
        <v>20</v>
      </c>
      <c r="V30" s="60">
        <f t="shared" si="9"/>
        <v>100</v>
      </c>
      <c r="W30" s="60">
        <f t="shared" si="9"/>
        <v>110</v>
      </c>
      <c r="X30" s="60">
        <f t="shared" si="9"/>
        <v>10</v>
      </c>
      <c r="Y30" s="61">
        <f t="shared" si="6"/>
        <v>4200</v>
      </c>
      <c r="Z30" s="58">
        <f t="shared" si="3"/>
        <v>4.2</v>
      </c>
      <c r="AA30" s="140">
        <f t="shared" si="7"/>
        <v>7.0000000000000007E-2</v>
      </c>
      <c r="AB30" s="65">
        <f>(S30*100)/$L$5</f>
        <v>0</v>
      </c>
      <c r="AC30" s="65">
        <f>(T30*100)/$L$5</f>
        <v>0.72463768115942029</v>
      </c>
      <c r="AD30" s="65">
        <f>(U30*100)/$L$5</f>
        <v>1.4492753623188406</v>
      </c>
      <c r="AE30" s="65">
        <f>(V30*100)/$L$5</f>
        <v>7.2463768115942031</v>
      </c>
      <c r="AF30" s="65">
        <f>(W30*100)/$L$5</f>
        <v>7.9710144927536231</v>
      </c>
      <c r="AG30" s="65">
        <f t="shared" si="1"/>
        <v>0.72463768115942029</v>
      </c>
      <c r="AH30" s="68">
        <f t="shared" si="2"/>
        <v>0.25905797101449274</v>
      </c>
      <c r="AI30" s="1" t="s">
        <v>294</v>
      </c>
    </row>
    <row r="31" spans="1:35" x14ac:dyDescent="0.25">
      <c r="A31" s="51" t="s">
        <v>100</v>
      </c>
      <c r="B31" s="52">
        <v>42970</v>
      </c>
      <c r="C31" s="53">
        <v>0.70833333333333337</v>
      </c>
      <c r="D31" s="116">
        <f t="shared" si="0"/>
        <v>42970.708333333336</v>
      </c>
      <c r="E31" s="51">
        <v>1</v>
      </c>
      <c r="F31" s="51">
        <v>51</v>
      </c>
      <c r="G31" s="51">
        <f>(2328+2352)/2</f>
        <v>2340</v>
      </c>
      <c r="H31" s="51"/>
      <c r="I31" s="51">
        <v>9.1999999999999993</v>
      </c>
      <c r="J31" s="51">
        <f t="shared" si="8"/>
        <v>919.99999999999989</v>
      </c>
      <c r="K31" s="51">
        <v>2.8</v>
      </c>
      <c r="L31" s="55">
        <f t="shared" si="5"/>
        <v>2800</v>
      </c>
      <c r="M31" s="51">
        <v>0</v>
      </c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1">
        <f t="shared" si="6"/>
        <v>103039.99999999999</v>
      </c>
      <c r="Z31" s="58">
        <f t="shared" si="3"/>
        <v>103.03999999999999</v>
      </c>
      <c r="AA31" s="140">
        <f t="shared" si="7"/>
        <v>1.7173333333333332</v>
      </c>
      <c r="AB31" s="65">
        <f>(S31*100)/$L$5</f>
        <v>0</v>
      </c>
      <c r="AC31" s="65">
        <f>(T31*100)/$L$5</f>
        <v>0</v>
      </c>
      <c r="AD31" s="65">
        <f>(U31*100)/$L$5</f>
        <v>0</v>
      </c>
      <c r="AE31" s="65">
        <f>(V31*100)/$L$5</f>
        <v>0</v>
      </c>
      <c r="AF31" s="65">
        <f>(W31*100)/$L$5</f>
        <v>0</v>
      </c>
      <c r="AG31" s="65">
        <f t="shared" si="1"/>
        <v>0</v>
      </c>
      <c r="AH31" s="67"/>
      <c r="AI31" s="1" t="s">
        <v>294</v>
      </c>
    </row>
  </sheetData>
  <mergeCells count="19">
    <mergeCell ref="S1:X2"/>
    <mergeCell ref="Y1:Y3"/>
    <mergeCell ref="Z1:Z3"/>
    <mergeCell ref="AH1:AH3"/>
    <mergeCell ref="AB1:AG1"/>
    <mergeCell ref="AA1:AA3"/>
    <mergeCell ref="G1:G3"/>
    <mergeCell ref="A1:A3"/>
    <mergeCell ref="B1:B3"/>
    <mergeCell ref="C1:C3"/>
    <mergeCell ref="E1:E3"/>
    <mergeCell ref="F1:F3"/>
    <mergeCell ref="D1:D3"/>
    <mergeCell ref="L1:L3"/>
    <mergeCell ref="M1:R2"/>
    <mergeCell ref="H1:H3"/>
    <mergeCell ref="I1:I3"/>
    <mergeCell ref="J1:J3"/>
    <mergeCell ref="K1:K3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81" zoomScaleNormal="70" workbookViewId="0">
      <selection activeCell="A17" sqref="A17"/>
    </sheetView>
  </sheetViews>
  <sheetFormatPr defaultColWidth="8.85546875" defaultRowHeight="15" x14ac:dyDescent="0.25"/>
  <cols>
    <col min="1" max="1" width="8.85546875" style="94"/>
    <col min="2" max="2" width="15.28515625" style="94" bestFit="1" customWidth="1"/>
    <col min="3" max="3" width="8.85546875" style="94"/>
    <col min="4" max="4" width="41.42578125" style="94" customWidth="1"/>
    <col min="5" max="5" width="32.7109375" style="94" bestFit="1" customWidth="1"/>
    <col min="6" max="7" width="8.85546875" style="94"/>
    <col min="8" max="8" width="9.85546875" style="94" customWidth="1"/>
    <col min="9" max="9" width="8.85546875" style="94"/>
    <col min="10" max="11" width="10.28515625" style="94" bestFit="1" customWidth="1"/>
    <col min="12" max="18" width="8.85546875" style="94"/>
    <col min="19" max="19" width="11.7109375" style="94" customWidth="1"/>
    <col min="20" max="16384" width="8.85546875" style="94"/>
  </cols>
  <sheetData>
    <row r="1" spans="1:19" ht="30" customHeight="1" x14ac:dyDescent="0.25">
      <c r="A1" s="136" t="s">
        <v>145</v>
      </c>
      <c r="B1" s="136" t="s">
        <v>15</v>
      </c>
      <c r="C1" s="136" t="s">
        <v>146</v>
      </c>
      <c r="D1" s="136" t="s">
        <v>147</v>
      </c>
      <c r="E1" s="138" t="s">
        <v>148</v>
      </c>
      <c r="F1" s="135" t="s">
        <v>149</v>
      </c>
      <c r="G1" s="92" t="s">
        <v>14</v>
      </c>
      <c r="H1" s="92" t="s">
        <v>1</v>
      </c>
      <c r="I1" s="92" t="s">
        <v>2</v>
      </c>
      <c r="J1" s="92" t="s">
        <v>13</v>
      </c>
      <c r="K1" s="92" t="s">
        <v>3</v>
      </c>
      <c r="L1" s="92" t="s">
        <v>4</v>
      </c>
      <c r="M1" s="92" t="s">
        <v>5</v>
      </c>
      <c r="N1" s="92" t="s">
        <v>6</v>
      </c>
      <c r="O1" s="92" t="s">
        <v>7</v>
      </c>
      <c r="P1" s="92" t="s">
        <v>8</v>
      </c>
      <c r="Q1" s="92" t="s">
        <v>11</v>
      </c>
      <c r="R1" s="92" t="s">
        <v>12</v>
      </c>
      <c r="S1" s="93" t="s">
        <v>9</v>
      </c>
    </row>
    <row r="2" spans="1:19" ht="45" x14ac:dyDescent="0.25">
      <c r="A2" s="137"/>
      <c r="B2" s="137"/>
      <c r="C2" s="137"/>
      <c r="D2" s="137"/>
      <c r="E2" s="138"/>
      <c r="F2" s="135"/>
      <c r="G2" s="95">
        <f>0.0005</f>
        <v>5.0000000000000001E-4</v>
      </c>
      <c r="H2" s="96">
        <v>3.0000000000000001E-3</v>
      </c>
      <c r="I2" s="97">
        <v>7.4999999999999997E-3</v>
      </c>
      <c r="J2" s="98">
        <v>0.03</v>
      </c>
      <c r="K2" s="96">
        <v>7.4999999999999997E-2</v>
      </c>
      <c r="L2" s="96">
        <v>0.17499999999999999</v>
      </c>
      <c r="M2" s="96">
        <v>0.375</v>
      </c>
      <c r="N2" s="96">
        <v>0.625</v>
      </c>
      <c r="O2" s="96">
        <v>0.875</v>
      </c>
      <c r="P2" s="98">
        <v>1.25</v>
      </c>
      <c r="Q2" s="98">
        <v>1.75</v>
      </c>
      <c r="R2" s="98">
        <v>2.25</v>
      </c>
      <c r="S2" s="99" t="s">
        <v>10</v>
      </c>
    </row>
    <row r="3" spans="1:19" x14ac:dyDescent="0.25">
      <c r="A3" s="100" t="s">
        <v>150</v>
      </c>
      <c r="B3" s="101">
        <v>42916.552083333336</v>
      </c>
      <c r="C3" s="100" t="s">
        <v>23</v>
      </c>
      <c r="D3" s="102" t="s">
        <v>151</v>
      </c>
      <c r="E3" s="103">
        <v>6.3309148066380354</v>
      </c>
      <c r="F3" s="100"/>
      <c r="G3" s="104">
        <v>0.6</v>
      </c>
      <c r="H3" s="104">
        <v>10.3</v>
      </c>
      <c r="I3" s="104">
        <v>23.800000000000004</v>
      </c>
      <c r="J3" s="104">
        <v>14.599999999999994</v>
      </c>
      <c r="K3" s="104">
        <v>48.3</v>
      </c>
      <c r="L3" s="104">
        <v>2.4000000000000057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5">
        <f>(G3*$G$2+H3*$H$2+I3*$I$2+J3*$J$2+K3*$K$2+L3*$L$2+M3*$M$2+N3*$N$2+O3*$O$2+P3*$P$2+Q3*$Q$2+R3*$R$2)/100</f>
        <v>4.6901999999999999E-2</v>
      </c>
    </row>
    <row r="4" spans="1:19" ht="45" x14ac:dyDescent="0.25">
      <c r="A4" s="100" t="s">
        <v>152</v>
      </c>
      <c r="B4" s="101">
        <v>42919.583333333336</v>
      </c>
      <c r="C4" s="100" t="s">
        <v>33</v>
      </c>
      <c r="D4" s="102" t="s">
        <v>153</v>
      </c>
      <c r="E4" s="103"/>
      <c r="F4" s="100"/>
      <c r="G4" s="100">
        <v>0</v>
      </c>
      <c r="H4" s="100">
        <v>4.0999999999999996</v>
      </c>
      <c r="I4" s="100">
        <v>17.399999999999999</v>
      </c>
      <c r="J4" s="100">
        <v>14.899999999999999</v>
      </c>
      <c r="K4" s="100">
        <v>45.4</v>
      </c>
      <c r="L4" s="100">
        <v>17.5</v>
      </c>
      <c r="M4" s="100">
        <v>0.70000000000000284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5">
        <f>(G4*$G$2+H4*$H$2+I4*$I$2+J4*$J$2+K4*$K$2+L4*$L$2+M4*$M$2+N4*$N$2+O4*$O$2+P4*$P$2+Q4*$Q$2+R4*$R$2)/100</f>
        <v>7.3198000000000013E-2</v>
      </c>
    </row>
    <row r="5" spans="1:19" ht="45" x14ac:dyDescent="0.25">
      <c r="A5" s="100" t="s">
        <v>154</v>
      </c>
      <c r="B5" s="101">
        <v>42921.694444444445</v>
      </c>
      <c r="C5" s="100" t="s">
        <v>34</v>
      </c>
      <c r="D5" s="102" t="s">
        <v>155</v>
      </c>
      <c r="E5" s="103">
        <v>22.236443730272558</v>
      </c>
      <c r="F5" s="100"/>
      <c r="G5" s="100">
        <v>0</v>
      </c>
      <c r="H5" s="100">
        <v>4.0999999999999996</v>
      </c>
      <c r="I5" s="100">
        <v>18.5</v>
      </c>
      <c r="J5" s="100">
        <v>16.299999999999997</v>
      </c>
      <c r="K5" s="100">
        <v>55.199999999999996</v>
      </c>
      <c r="L5" s="100">
        <v>5.9000000000000057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5">
        <f>(G5*$G$2+H5*$H$2+I5*$I$2+J5*$J$2+K5*$K$2+L5*$L$2+M5*$M$2+N5*$N$2+O5*$O$2+P5*$P$2+Q5*$Q$2+R5*$R$2)/100</f>
        <v>5.8125499999999997E-2</v>
      </c>
    </row>
    <row r="6" spans="1:19" ht="30" x14ac:dyDescent="0.25">
      <c r="A6" s="100" t="s">
        <v>156</v>
      </c>
      <c r="B6" s="101">
        <v>42933.555555555555</v>
      </c>
      <c r="C6" s="100" t="s">
        <v>37</v>
      </c>
      <c r="D6" s="102" t="s">
        <v>157</v>
      </c>
      <c r="E6" s="103">
        <v>3.1070787063292813</v>
      </c>
      <c r="F6" s="100"/>
      <c r="G6" s="100">
        <v>0.1</v>
      </c>
      <c r="H6" s="100">
        <v>7.7</v>
      </c>
      <c r="I6" s="100">
        <v>27.599999999999998</v>
      </c>
      <c r="J6" s="100">
        <v>15.600000000000001</v>
      </c>
      <c r="K6" s="100">
        <v>33.400000000000006</v>
      </c>
      <c r="L6" s="100">
        <v>14.899999999999991</v>
      </c>
      <c r="M6" s="100">
        <v>0.70000000000000284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5">
        <f t="shared" ref="S6:S12" si="0">(G6*$G$2+H6*$H$2+I6*$I$2+J6*$J$2+K6*$K$2+L6*$L$2+M6*$M$2+N6*$N$2+O6*$O$2+P6*$P$2+Q6*$Q$2+R6*$R$2)/100</f>
        <v>6.0731500000000001E-2</v>
      </c>
    </row>
    <row r="7" spans="1:19" ht="45" x14ac:dyDescent="0.25">
      <c r="A7" s="100" t="s">
        <v>158</v>
      </c>
      <c r="B7" s="101">
        <v>42933.555555555555</v>
      </c>
      <c r="C7" s="100" t="s">
        <v>37</v>
      </c>
      <c r="D7" s="102" t="s">
        <v>159</v>
      </c>
      <c r="E7" s="103">
        <v>6.8813186704118996</v>
      </c>
      <c r="F7" s="100"/>
      <c r="G7" s="104">
        <v>0.1</v>
      </c>
      <c r="H7" s="104">
        <v>4.8000000000000007</v>
      </c>
      <c r="I7" s="104">
        <v>16.5</v>
      </c>
      <c r="J7" s="104">
        <v>16.100000000000001</v>
      </c>
      <c r="K7" s="104">
        <v>33.799999999999997</v>
      </c>
      <c r="L7" s="104">
        <v>23</v>
      </c>
      <c r="M7" s="104">
        <v>5.7000000000000028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5">
        <f t="shared" si="0"/>
        <v>9.3186999999999992E-2</v>
      </c>
    </row>
    <row r="8" spans="1:19" ht="45" x14ac:dyDescent="0.25">
      <c r="A8" s="100" t="s">
        <v>160</v>
      </c>
      <c r="B8" s="101">
        <v>42933.635416666664</v>
      </c>
      <c r="C8" s="100" t="s">
        <v>161</v>
      </c>
      <c r="D8" s="102" t="s">
        <v>162</v>
      </c>
      <c r="E8" s="103">
        <v>84.928711419999416</v>
      </c>
      <c r="F8" s="100"/>
      <c r="G8" s="104">
        <v>0</v>
      </c>
      <c r="H8" s="104">
        <v>3.8</v>
      </c>
      <c r="I8" s="104">
        <v>16.8</v>
      </c>
      <c r="J8" s="104">
        <v>13.299999999999997</v>
      </c>
      <c r="K8" s="104">
        <v>48.6</v>
      </c>
      <c r="L8" s="104">
        <v>16.900000000000006</v>
      </c>
      <c r="M8" s="104">
        <v>0.59999999999999432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5">
        <f t="shared" si="0"/>
        <v>7.3638999999999996E-2</v>
      </c>
    </row>
    <row r="9" spans="1:19" ht="30" x14ac:dyDescent="0.25">
      <c r="A9" s="100" t="s">
        <v>163</v>
      </c>
      <c r="B9" s="101">
        <v>42933.666666666664</v>
      </c>
      <c r="C9" s="100" t="s">
        <v>38</v>
      </c>
      <c r="D9" s="102" t="s">
        <v>164</v>
      </c>
      <c r="E9" s="103">
        <v>4.7250047250047249</v>
      </c>
      <c r="F9" s="100"/>
      <c r="G9" s="100">
        <v>0.1</v>
      </c>
      <c r="H9" s="100">
        <v>9.8000000000000007</v>
      </c>
      <c r="I9" s="100">
        <v>33</v>
      </c>
      <c r="J9" s="100">
        <v>17.700000000000003</v>
      </c>
      <c r="K9" s="100">
        <v>38.300000000000004</v>
      </c>
      <c r="L9" s="100">
        <v>1.0999999999999943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5">
        <f t="shared" si="0"/>
        <v>3.8729499999999993E-2</v>
      </c>
    </row>
    <row r="10" spans="1:19" ht="30" x14ac:dyDescent="0.25">
      <c r="A10" s="100" t="s">
        <v>165</v>
      </c>
      <c r="B10" s="101">
        <v>42933.680555555555</v>
      </c>
      <c r="C10" s="100" t="s">
        <v>39</v>
      </c>
      <c r="D10" s="102" t="s">
        <v>166</v>
      </c>
      <c r="E10" s="103">
        <v>96.439372638306921</v>
      </c>
      <c r="F10" s="100"/>
      <c r="G10" s="104">
        <v>0.1</v>
      </c>
      <c r="H10" s="104">
        <v>4.9000000000000004</v>
      </c>
      <c r="I10" s="104">
        <v>20.8</v>
      </c>
      <c r="J10" s="104">
        <v>18.499999999999996</v>
      </c>
      <c r="K10" s="104">
        <v>50.3</v>
      </c>
      <c r="L10" s="104">
        <v>5.4000000000000057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5">
        <f t="shared" si="0"/>
        <v>5.4432500000000009E-2</v>
      </c>
    </row>
    <row r="11" spans="1:19" ht="45" x14ac:dyDescent="0.25">
      <c r="A11" s="100" t="s">
        <v>167</v>
      </c>
      <c r="B11" s="101">
        <v>42935.576388888891</v>
      </c>
      <c r="C11" s="100" t="s">
        <v>40</v>
      </c>
      <c r="D11" s="102" t="s">
        <v>168</v>
      </c>
      <c r="E11" s="103">
        <v>148.44036583167019</v>
      </c>
      <c r="F11" s="100"/>
      <c r="G11" s="100">
        <v>0</v>
      </c>
      <c r="H11" s="100">
        <v>0.9</v>
      </c>
      <c r="I11" s="100">
        <v>4.8</v>
      </c>
      <c r="J11" s="100">
        <v>3.8999999999999995</v>
      </c>
      <c r="K11" s="100">
        <v>17.700000000000003</v>
      </c>
      <c r="L11" s="100">
        <v>18.7</v>
      </c>
      <c r="M11" s="100">
        <v>32.200000000000003</v>
      </c>
      <c r="N11" s="100">
        <v>17.299999999999997</v>
      </c>
      <c r="O11" s="100">
        <v>4.2000000000000028</v>
      </c>
      <c r="P11" s="100">
        <v>0.29999999999999716</v>
      </c>
      <c r="Q11" s="100">
        <v>0</v>
      </c>
      <c r="R11" s="100">
        <v>0</v>
      </c>
      <c r="S11" s="105">
        <f t="shared" si="0"/>
        <v>0.31693199999999999</v>
      </c>
    </row>
    <row r="12" spans="1:19" ht="30" x14ac:dyDescent="0.25">
      <c r="A12" s="100" t="s">
        <v>169</v>
      </c>
      <c r="B12" s="101">
        <v>42935.736111111109</v>
      </c>
      <c r="C12" s="100" t="s">
        <v>41</v>
      </c>
      <c r="D12" s="102" t="s">
        <v>170</v>
      </c>
      <c r="E12" s="103">
        <v>7.8709974178675139</v>
      </c>
      <c r="F12" s="100"/>
      <c r="G12" s="104">
        <v>2.9</v>
      </c>
      <c r="H12" s="104">
        <v>16.600000000000001</v>
      </c>
      <c r="I12" s="104">
        <v>35.1</v>
      </c>
      <c r="J12" s="104">
        <v>12.899999999999999</v>
      </c>
      <c r="K12" s="104">
        <v>32.099999999999994</v>
      </c>
      <c r="L12" s="104">
        <v>0.40000000000000568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5">
        <f t="shared" si="0"/>
        <v>3.1790000000000006E-2</v>
      </c>
    </row>
    <row r="13" spans="1:19" ht="45" x14ac:dyDescent="0.25">
      <c r="A13" s="100" t="s">
        <v>171</v>
      </c>
      <c r="B13" s="101">
        <v>42935.760416666664</v>
      </c>
      <c r="C13" s="100" t="s">
        <v>42</v>
      </c>
      <c r="D13" s="102" t="s">
        <v>172</v>
      </c>
      <c r="E13" s="103">
        <v>21.541677143637408</v>
      </c>
      <c r="F13" s="100"/>
      <c r="G13" s="104">
        <v>0.1</v>
      </c>
      <c r="H13" s="104">
        <v>4.7</v>
      </c>
      <c r="I13" s="104">
        <v>17.7</v>
      </c>
      <c r="J13" s="104">
        <v>14.100000000000001</v>
      </c>
      <c r="K13" s="104">
        <v>39.199999999999996</v>
      </c>
      <c r="L13" s="104">
        <v>21.5</v>
      </c>
      <c r="M13" s="104">
        <v>2.7000000000000028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5">
        <f>(G13*$G$2+H13*$H$2+I13*$I$2+J13*$J$2+K13*$K$2+L13*$L$2+M13*$M$2+N13*$N$2+O13*$O$2+P13*$P$2+Q13*$Q$2+R13*$R$2)/100</f>
        <v>8.2849000000000006E-2</v>
      </c>
    </row>
    <row r="14" spans="1:19" ht="30" x14ac:dyDescent="0.25">
      <c r="A14" s="100" t="s">
        <v>173</v>
      </c>
      <c r="B14" s="101">
        <v>42937.604166666664</v>
      </c>
      <c r="C14" s="100" t="s">
        <v>43</v>
      </c>
      <c r="D14" s="102" t="s">
        <v>174</v>
      </c>
      <c r="E14" s="103">
        <v>15.065471401364741</v>
      </c>
      <c r="F14" s="100"/>
      <c r="G14" s="104">
        <v>0.2</v>
      </c>
      <c r="H14" s="104">
        <v>7.9999999999999991</v>
      </c>
      <c r="I14" s="104">
        <v>26.000000000000004</v>
      </c>
      <c r="J14" s="104">
        <v>16</v>
      </c>
      <c r="K14" s="104">
        <v>46.2</v>
      </c>
      <c r="L14" s="104">
        <v>3.5999999999999943</v>
      </c>
      <c r="M14" s="104">
        <v>0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5">
        <f t="shared" ref="S14:S17" si="1">(G14*$G$2+H14*$H$2+I14*$I$2+J14*$J$2+K14*$K$2+L14*$L$2+M14*$M$2+N14*$N$2+O14*$O$2+P14*$P$2+Q14*$Q$2+R14*$R$2)/100</f>
        <v>4.7940999999999991E-2</v>
      </c>
    </row>
    <row r="15" spans="1:19" x14ac:dyDescent="0.25">
      <c r="A15" s="100" t="s">
        <v>175</v>
      </c>
      <c r="B15" s="101">
        <v>42937.604166666664</v>
      </c>
      <c r="C15" s="100" t="s">
        <v>43</v>
      </c>
      <c r="D15" s="102" t="s">
        <v>176</v>
      </c>
      <c r="E15" s="103">
        <v>15.463535647456132</v>
      </c>
      <c r="F15" s="100"/>
      <c r="G15" s="104">
        <v>0.1</v>
      </c>
      <c r="H15" s="104">
        <v>10.5</v>
      </c>
      <c r="I15" s="104">
        <v>45.5</v>
      </c>
      <c r="J15" s="104">
        <v>15.499999999999993</v>
      </c>
      <c r="K15" s="104">
        <v>28.400000000000006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5">
        <f t="shared" si="1"/>
        <v>2.9678E-2</v>
      </c>
    </row>
    <row r="16" spans="1:19" ht="30" x14ac:dyDescent="0.25">
      <c r="A16" s="100" t="s">
        <v>177</v>
      </c>
      <c r="B16" s="101">
        <v>42937.715277777781</v>
      </c>
      <c r="C16" s="100" t="s">
        <v>44</v>
      </c>
      <c r="D16" s="102" t="s">
        <v>178</v>
      </c>
      <c r="E16" s="103">
        <v>7.0806592545722991</v>
      </c>
      <c r="F16" s="100"/>
      <c r="G16" s="104">
        <v>0.1</v>
      </c>
      <c r="H16" s="104">
        <v>6.4</v>
      </c>
      <c r="I16" s="104">
        <v>27.5</v>
      </c>
      <c r="J16" s="104">
        <v>18</v>
      </c>
      <c r="K16" s="104">
        <v>44</v>
      </c>
      <c r="L16" s="104">
        <v>4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5">
        <f t="shared" si="1"/>
        <v>4.7655000000000003E-2</v>
      </c>
    </row>
    <row r="17" spans="1:19" x14ac:dyDescent="0.25">
      <c r="A17" s="100" t="s">
        <v>179</v>
      </c>
      <c r="B17" s="101">
        <v>42937.736111111109</v>
      </c>
      <c r="C17" s="100" t="s">
        <v>45</v>
      </c>
      <c r="D17" s="102" t="s">
        <v>180</v>
      </c>
      <c r="E17" s="103">
        <v>1.6538678345499485</v>
      </c>
      <c r="F17" s="100"/>
      <c r="G17" s="100">
        <v>0.4</v>
      </c>
      <c r="H17" s="100">
        <v>11.299999999999999</v>
      </c>
      <c r="I17" s="100">
        <v>27.7</v>
      </c>
      <c r="J17" s="100">
        <v>14.100000000000001</v>
      </c>
      <c r="K17" s="100">
        <v>43.7</v>
      </c>
      <c r="L17" s="100">
        <v>2.7999999999999972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5">
        <f t="shared" si="1"/>
        <v>4.4323499999999995E-2</v>
      </c>
    </row>
    <row r="18" spans="1:19" ht="30" x14ac:dyDescent="0.25">
      <c r="A18" s="100" t="s">
        <v>181</v>
      </c>
      <c r="B18" s="101">
        <v>42940.475694444445</v>
      </c>
      <c r="C18" s="100" t="s">
        <v>46</v>
      </c>
      <c r="D18" s="102" t="s">
        <v>182</v>
      </c>
      <c r="E18" s="103">
        <v>1.611800783873452</v>
      </c>
      <c r="F18" s="100">
        <v>1457</v>
      </c>
      <c r="G18" s="100">
        <v>1.2</v>
      </c>
      <c r="H18" s="100">
        <v>13.600000000000001</v>
      </c>
      <c r="I18" s="100">
        <v>32.299999999999997</v>
      </c>
      <c r="J18" s="100">
        <v>15.600000000000001</v>
      </c>
      <c r="K18" s="100">
        <v>36.700000000000003</v>
      </c>
      <c r="L18" s="100">
        <v>0.59999999999999432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5">
        <f>(G18*$G$2+H18*$H$2+I18*$I$2+J18*$J$2+K18*$K$2+L18*$L$2+M18*$M$2+N18*$N$2+O18*$O$2+P18*$P$2+Q18*$Q$2+R18*$R$2)/100</f>
        <v>3.6091499999999992E-2</v>
      </c>
    </row>
    <row r="19" spans="1:19" ht="30" x14ac:dyDescent="0.25">
      <c r="A19" s="100" t="s">
        <v>183</v>
      </c>
      <c r="B19" s="101">
        <v>42940.482638888891</v>
      </c>
      <c r="C19" s="100" t="s">
        <v>47</v>
      </c>
      <c r="D19" s="102" t="s">
        <v>184</v>
      </c>
      <c r="E19" s="103"/>
      <c r="F19" s="100"/>
      <c r="G19" s="100">
        <v>0</v>
      </c>
      <c r="H19" s="100">
        <v>4.5999999999999996</v>
      </c>
      <c r="I19" s="100">
        <v>17.700000000000003</v>
      </c>
      <c r="J19" s="100">
        <v>14.999999999999996</v>
      </c>
      <c r="K19" s="100">
        <v>47.600000000000009</v>
      </c>
      <c r="L19" s="100">
        <v>14.699999999999989</v>
      </c>
      <c r="M19" s="100">
        <v>0.40000000000000568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5">
        <f t="shared" ref="S19:S20" si="2">(G19*$G$2+H19*$H$2+I19*$I$2+J19*$J$2+K19*$K$2+L19*$L$2+M19*$M$2+N19*$N$2+O19*$O$2+P19*$P$2+Q19*$Q$2+R19*$R$2)/100</f>
        <v>6.8890500000000007E-2</v>
      </c>
    </row>
    <row r="20" spans="1:19" x14ac:dyDescent="0.25">
      <c r="A20" s="100" t="s">
        <v>185</v>
      </c>
      <c r="B20" s="101">
        <v>42940.538888888892</v>
      </c>
      <c r="C20" s="100" t="s">
        <v>48</v>
      </c>
      <c r="D20" s="102" t="s">
        <v>186</v>
      </c>
      <c r="E20" s="103">
        <v>130.17373893700892</v>
      </c>
      <c r="F20" s="100"/>
      <c r="G20" s="104">
        <v>0</v>
      </c>
      <c r="H20" s="104">
        <v>4.2</v>
      </c>
      <c r="I20" s="104">
        <v>15.400000000000002</v>
      </c>
      <c r="J20" s="104">
        <v>14.299999999999997</v>
      </c>
      <c r="K20" s="104">
        <v>50.199999999999996</v>
      </c>
      <c r="L20" s="104">
        <v>15.600000000000009</v>
      </c>
      <c r="M20" s="104">
        <v>0.29999999999999716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5">
        <f t="shared" si="2"/>
        <v>7.1646000000000001E-2</v>
      </c>
    </row>
    <row r="21" spans="1:19" ht="30" x14ac:dyDescent="0.25">
      <c r="A21" s="100" t="s">
        <v>187</v>
      </c>
      <c r="B21" s="101">
        <v>42940.541666666664</v>
      </c>
      <c r="C21" s="100" t="s">
        <v>49</v>
      </c>
      <c r="D21" s="102" t="s">
        <v>188</v>
      </c>
      <c r="E21" s="103">
        <v>6.7636252444080549</v>
      </c>
      <c r="F21" s="100"/>
      <c r="G21" s="100">
        <v>0.3</v>
      </c>
      <c r="H21" s="100">
        <v>8.1999999999999993</v>
      </c>
      <c r="I21" s="100">
        <v>28.200000000000003</v>
      </c>
      <c r="J21" s="100">
        <v>16.199999999999996</v>
      </c>
      <c r="K21" s="100">
        <v>16.399999999999999</v>
      </c>
      <c r="L21" s="100">
        <v>3</v>
      </c>
      <c r="M21" s="100">
        <v>26.700000000000003</v>
      </c>
      <c r="N21" s="100">
        <v>1</v>
      </c>
      <c r="O21" s="100">
        <v>0</v>
      </c>
      <c r="P21" s="100">
        <v>0</v>
      </c>
      <c r="Q21" s="100">
        <v>0</v>
      </c>
      <c r="R21" s="100">
        <v>0</v>
      </c>
      <c r="S21" s="105">
        <f>(G21*$G$2+H21*$H$2+I21*$I$2+J21*$J$2+K21*$K$2+L21*$L$2+M21*$M$2+N21*$N$2+O21*$O$2+P21*$P$2+Q21*$Q$2+R21*$R$2)/100</f>
        <v>0.1311475</v>
      </c>
    </row>
    <row r="22" spans="1:19" x14ac:dyDescent="0.25">
      <c r="A22" s="100" t="s">
        <v>189</v>
      </c>
      <c r="B22" s="101">
        <v>42941.291666666664</v>
      </c>
      <c r="C22" s="100" t="s">
        <v>48</v>
      </c>
      <c r="D22" s="102" t="s">
        <v>190</v>
      </c>
      <c r="E22" s="103">
        <v>85.940489780980997</v>
      </c>
      <c r="F22" s="100"/>
      <c r="G22" s="100">
        <v>0.1</v>
      </c>
      <c r="H22" s="100">
        <v>4.7</v>
      </c>
      <c r="I22" s="100">
        <v>15.099999999999998</v>
      </c>
      <c r="J22" s="100">
        <v>13.800000000000004</v>
      </c>
      <c r="K22" s="100">
        <v>43.8</v>
      </c>
      <c r="L22" s="100">
        <v>21.400000000000006</v>
      </c>
      <c r="M22" s="100">
        <v>1.0999999999999943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5">
        <f t="shared" ref="S22:S24" si="3">(G22*$G$2+H22*$H$2+I22*$I$2+J22*$J$2+K22*$K$2+L22*$L$2+M22*$M$2+N22*$N$2+O22*$O$2+P22*$P$2+Q22*$Q$2+R22*$R$2)/100</f>
        <v>7.9838999999999979E-2</v>
      </c>
    </row>
    <row r="23" spans="1:19" x14ac:dyDescent="0.25">
      <c r="A23" s="100" t="s">
        <v>191</v>
      </c>
      <c r="B23" s="101">
        <v>42941.291666666664</v>
      </c>
      <c r="C23" s="100" t="s">
        <v>48</v>
      </c>
      <c r="D23" s="102" t="s">
        <v>192</v>
      </c>
      <c r="E23" s="106">
        <v>10.361177960913254</v>
      </c>
      <c r="F23" s="100"/>
      <c r="G23" s="100">
        <v>0.2</v>
      </c>
      <c r="H23" s="100">
        <v>5.3999999999999995</v>
      </c>
      <c r="I23" s="100">
        <v>17.899999999999999</v>
      </c>
      <c r="J23" s="100">
        <v>15.100000000000001</v>
      </c>
      <c r="K23" s="100">
        <v>24</v>
      </c>
      <c r="L23" s="100">
        <v>16.699999999999996</v>
      </c>
      <c r="M23" s="100">
        <v>20.700000000000003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5">
        <f t="shared" si="3"/>
        <v>0.13088549999999999</v>
      </c>
    </row>
    <row r="24" spans="1:19" x14ac:dyDescent="0.25">
      <c r="A24" s="100" t="s">
        <v>193</v>
      </c>
      <c r="B24" s="101">
        <v>42941.291666666664</v>
      </c>
      <c r="C24" s="100" t="s">
        <v>48</v>
      </c>
      <c r="D24" s="102" t="s">
        <v>194</v>
      </c>
      <c r="E24" s="106">
        <v>20.093987992313373</v>
      </c>
      <c r="F24" s="100"/>
      <c r="G24" s="104">
        <v>0</v>
      </c>
      <c r="H24" s="104">
        <v>4.7</v>
      </c>
      <c r="I24" s="104">
        <v>15.600000000000001</v>
      </c>
      <c r="J24" s="104">
        <v>13.3</v>
      </c>
      <c r="K24" s="104">
        <v>29.299999999999997</v>
      </c>
      <c r="L24" s="104">
        <v>27.800000000000004</v>
      </c>
      <c r="M24" s="104">
        <v>9.2999999999999972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5">
        <f t="shared" si="3"/>
        <v>0.11080099999999998</v>
      </c>
    </row>
    <row r="25" spans="1:19" x14ac:dyDescent="0.25">
      <c r="A25" s="100" t="s">
        <v>195</v>
      </c>
      <c r="B25" s="101">
        <v>42941.291666666664</v>
      </c>
      <c r="C25" s="100" t="s">
        <v>48</v>
      </c>
      <c r="D25" s="102" t="s">
        <v>196</v>
      </c>
      <c r="E25" s="106">
        <v>40.777153327807383</v>
      </c>
      <c r="F25" s="100"/>
      <c r="G25" s="100">
        <v>0.2</v>
      </c>
      <c r="H25" s="100">
        <v>6.3</v>
      </c>
      <c r="I25" s="100">
        <v>19.600000000000001</v>
      </c>
      <c r="J25" s="100">
        <v>17.799999999999997</v>
      </c>
      <c r="K25" s="100">
        <v>50.199999999999996</v>
      </c>
      <c r="L25" s="100">
        <v>5.9000000000000057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5">
        <f>(G25*$G$2+H25*$H$2+I25*$I$2+J25*$J$2+K25*$K$2+L25*$L$2+M25*$M$2+N25*$N$2+O25*$O$2+P25*$P$2+Q25*$Q$2+R25*$R$2)/100</f>
        <v>5.4975000000000003E-2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to gradistat</vt:lpstr>
      <vt:lpstr>gradistat out</vt:lpstr>
      <vt:lpstr>vlekomye2016</vt:lpstr>
      <vt:lpstr>vlekomye2017</vt:lpstr>
      <vt:lpstr>topsoil2017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RePack by Diakov</cp:lastModifiedBy>
  <dcterms:created xsi:type="dcterms:W3CDTF">2014-10-11T20:12:10Z</dcterms:created>
  <dcterms:modified xsi:type="dcterms:W3CDTF">2024-02-18T16:11:22Z</dcterms:modified>
</cp:coreProperties>
</file>