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out\"/>
    </mc:Choice>
  </mc:AlternateContent>
  <bookViews>
    <workbookView xWindow="240" yWindow="12" windowWidth="16092" windowHeight="9660" activeTab="3"/>
  </bookViews>
  <sheets>
    <sheet name="Главная таблица" sheetId="1" r:id="rId1"/>
    <sheet name="суммарный сток наносов" sheetId="2" r:id="rId2"/>
    <sheet name="влекомый сток" sheetId="4" r:id="rId3"/>
    <sheet name="Баланс наносов" sheetId="5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T7" i="5" l="1"/>
  <c r="T6" i="5"/>
  <c r="T3" i="5"/>
  <c r="AU27" i="1"/>
  <c r="M7" i="1"/>
  <c r="M21" i="1"/>
  <c r="M22" i="1"/>
  <c r="M23" i="1"/>
  <c r="M24" i="1"/>
  <c r="M20" i="1"/>
  <c r="M27" i="1"/>
  <c r="M28" i="1"/>
  <c r="M29" i="1"/>
  <c r="M30" i="1"/>
  <c r="M26" i="1"/>
  <c r="AU28" i="1"/>
  <c r="AU29" i="1"/>
  <c r="AU30" i="1"/>
  <c r="AU31" i="1"/>
  <c r="M6" i="1"/>
  <c r="M3" i="1"/>
  <c r="K11" i="5"/>
  <c r="J9" i="5"/>
  <c r="J8" i="5"/>
  <c r="J7" i="5"/>
  <c r="J3" i="5"/>
  <c r="J4" i="5"/>
  <c r="J5" i="5"/>
  <c r="J6" i="5"/>
  <c r="J42" i="5"/>
  <c r="J43" i="5"/>
  <c r="J44" i="5"/>
  <c r="J45" i="5"/>
  <c r="J47" i="5"/>
  <c r="J48" i="5"/>
  <c r="J49" i="5"/>
  <c r="J50" i="5"/>
  <c r="J2" i="5"/>
  <c r="I50" i="5"/>
  <c r="I49" i="5"/>
  <c r="I48" i="5"/>
  <c r="I47" i="5"/>
  <c r="I45" i="5"/>
  <c r="I44" i="5"/>
  <c r="I43" i="5"/>
  <c r="I42" i="5"/>
  <c r="I11" i="5"/>
  <c r="I9" i="5"/>
  <c r="I8" i="5"/>
  <c r="I7" i="5"/>
  <c r="I6" i="5"/>
  <c r="I5" i="5"/>
  <c r="I4" i="5"/>
  <c r="I3" i="5"/>
  <c r="I2" i="5"/>
  <c r="AB30" i="1" l="1"/>
  <c r="L30" i="1"/>
  <c r="L31" i="1"/>
  <c r="AB24" i="1"/>
  <c r="AB22" i="1"/>
  <c r="AB21" i="1"/>
  <c r="AB18" i="1"/>
  <c r="AB16" i="1"/>
  <c r="AB15" i="1"/>
  <c r="AB6" i="1"/>
  <c r="AB4" i="1"/>
  <c r="AB3" i="1"/>
  <c r="L3" i="1" s="1"/>
  <c r="L7" i="1" s="1"/>
  <c r="AB28" i="1"/>
  <c r="AB27" i="1"/>
  <c r="L4" i="1"/>
  <c r="L24" i="1"/>
  <c r="L5" i="1"/>
  <c r="L2" i="1"/>
  <c r="L22" i="1"/>
  <c r="L21" i="1"/>
  <c r="L6" i="1"/>
  <c r="L20" i="1"/>
  <c r="L8" i="1"/>
  <c r="L23" i="1"/>
  <c r="L25" i="1" l="1"/>
  <c r="L9" i="1" l="1"/>
  <c r="L10" i="1"/>
  <c r="L11" i="1"/>
  <c r="L12" i="1"/>
  <c r="AB9" i="1"/>
  <c r="AB10" i="1"/>
  <c r="AB11" i="1"/>
  <c r="AB12" i="1"/>
  <c r="AB8" i="1"/>
  <c r="I31" i="1"/>
  <c r="H30" i="1"/>
  <c r="H28" i="1"/>
  <c r="H22" i="1"/>
  <c r="X36" i="1"/>
  <c r="H4" i="1" s="1"/>
  <c r="Y36" i="1"/>
  <c r="H16" i="1" s="1"/>
  <c r="Z36" i="1"/>
  <c r="AA36" i="1"/>
  <c r="X37" i="1"/>
  <c r="H6" i="1" s="1"/>
  <c r="Y37" i="1"/>
  <c r="H18" i="1" s="1"/>
  <c r="Z37" i="1"/>
  <c r="H24" i="1" s="1"/>
  <c r="AA37" i="1"/>
  <c r="X38" i="1"/>
  <c r="Y38" i="1"/>
  <c r="Z38" i="1"/>
  <c r="AA38" i="1"/>
  <c r="H31" i="1" s="1"/>
  <c r="Y35" i="1"/>
  <c r="H15" i="1" s="1"/>
  <c r="Z35" i="1"/>
  <c r="H21" i="1" s="1"/>
  <c r="AA35" i="1"/>
  <c r="H27" i="1" s="1"/>
  <c r="X35" i="1"/>
  <c r="H3" i="1" s="1"/>
  <c r="H19" i="1" l="1"/>
  <c r="H7" i="1"/>
  <c r="H25" i="1"/>
  <c r="L13" i="1"/>
  <c r="G19" i="1" l="1"/>
  <c r="G25" i="1"/>
  <c r="G7" i="1"/>
  <c r="Z13" i="1"/>
  <c r="G13" i="1" s="1"/>
  <c r="G9" i="1"/>
  <c r="G10" i="1"/>
  <c r="G11" i="1"/>
  <c r="G12" i="1"/>
  <c r="G8" i="1"/>
  <c r="AE9" i="1"/>
  <c r="AG9" i="1" s="1"/>
  <c r="K9" i="1" s="1"/>
  <c r="AE10" i="1"/>
  <c r="AG10" i="1" s="1"/>
  <c r="K10" i="1" s="1"/>
  <c r="AE11" i="1"/>
  <c r="AG11" i="1" s="1"/>
  <c r="K11" i="1" s="1"/>
  <c r="AE12" i="1"/>
  <c r="AG12" i="1" s="1"/>
  <c r="K12" i="1" s="1"/>
  <c r="AE8" i="1"/>
  <c r="AG8" i="1" s="1"/>
  <c r="K8" i="1" s="1"/>
  <c r="K26" i="1"/>
  <c r="S8" i="4"/>
  <c r="S9" i="4"/>
  <c r="S10" i="4"/>
  <c r="S11" i="4"/>
  <c r="S12" i="4"/>
  <c r="S14" i="4"/>
  <c r="S15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7" i="4"/>
  <c r="K29" i="4"/>
  <c r="K25" i="4"/>
  <c r="K19" i="4"/>
  <c r="I2" i="4"/>
  <c r="K2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K55" i="4"/>
  <c r="I55" i="4" s="1"/>
  <c r="K53" i="4"/>
  <c r="I53" i="4" s="1"/>
  <c r="I51" i="4"/>
  <c r="K51" i="4" s="1"/>
  <c r="I50" i="4"/>
  <c r="K50" i="4" s="1"/>
  <c r="I49" i="4"/>
  <c r="K49" i="4" s="1"/>
  <c r="I47" i="4"/>
  <c r="K47" i="4" s="1"/>
  <c r="I46" i="4"/>
  <c r="K46" i="4" s="1"/>
  <c r="J45" i="4"/>
  <c r="I45" i="4" s="1"/>
  <c r="I44" i="4"/>
  <c r="K44" i="4" s="1"/>
  <c r="I40" i="4"/>
  <c r="K40" i="4" s="1"/>
  <c r="I35" i="4"/>
  <c r="K35" i="4" s="1"/>
  <c r="I34" i="4"/>
  <c r="K34" i="4" s="1"/>
  <c r="I32" i="4"/>
  <c r="K32" i="4" s="1"/>
  <c r="I30" i="4"/>
  <c r="K30" i="4" s="1"/>
  <c r="I29" i="4"/>
  <c r="I26" i="4"/>
  <c r="K26" i="4" s="1"/>
  <c r="I25" i="4"/>
  <c r="I24" i="4"/>
  <c r="K24" i="4" s="1"/>
  <c r="K20" i="4"/>
  <c r="I20" i="4" s="1"/>
  <c r="I18" i="4"/>
  <c r="K18" i="4" s="1"/>
  <c r="J17" i="4"/>
  <c r="I17" i="4" s="1"/>
  <c r="J16" i="4"/>
  <c r="J15" i="4"/>
  <c r="J14" i="4"/>
  <c r="I14" i="4" s="1"/>
  <c r="J13" i="4"/>
  <c r="I13" i="4" s="1"/>
  <c r="J12" i="4"/>
  <c r="J11" i="4"/>
  <c r="I11" i="4" s="1"/>
  <c r="J10" i="4"/>
  <c r="I10" i="4" s="1"/>
  <c r="J9" i="4"/>
  <c r="I9" i="4" s="1"/>
  <c r="I54" i="4"/>
  <c r="K54" i="4" s="1"/>
  <c r="I43" i="4"/>
  <c r="K43" i="4" s="1"/>
  <c r="I41" i="4"/>
  <c r="K41" i="4" s="1"/>
  <c r="I39" i="4"/>
  <c r="K39" i="4" s="1"/>
  <c r="I38" i="4"/>
  <c r="K38" i="4" s="1"/>
  <c r="I33" i="4"/>
  <c r="K33" i="4" s="1"/>
  <c r="I28" i="4"/>
  <c r="K28" i="4" s="1"/>
  <c r="I27" i="4"/>
  <c r="K27" i="4" s="1"/>
  <c r="I23" i="4"/>
  <c r="K23" i="4" s="1"/>
  <c r="I22" i="4"/>
  <c r="K22" i="4" s="1"/>
  <c r="I15" i="4"/>
  <c r="I21" i="4"/>
  <c r="K21" i="4" s="1"/>
  <c r="I31" i="4"/>
  <c r="K31" i="4" s="1"/>
  <c r="I36" i="4"/>
  <c r="K36" i="4" s="1"/>
  <c r="I37" i="4"/>
  <c r="K37" i="4" s="1"/>
  <c r="I42" i="4"/>
  <c r="K42" i="4" s="1"/>
  <c r="I48" i="4"/>
  <c r="K48" i="4" s="1"/>
  <c r="I52" i="4"/>
  <c r="K52" i="4" s="1"/>
  <c r="AG13" i="1" l="1"/>
  <c r="K13" i="1" s="1"/>
  <c r="I16" i="4"/>
  <c r="I12" i="4"/>
  <c r="I19" i="4"/>
  <c r="K27" i="1" l="1"/>
  <c r="K28" i="1"/>
  <c r="K29" i="1"/>
  <c r="K30" i="1"/>
  <c r="L27" i="1"/>
  <c r="L28" i="1"/>
  <c r="L29" i="1"/>
  <c r="L26" i="1"/>
  <c r="AE20" i="1"/>
  <c r="AG20" i="1"/>
  <c r="AH20" i="1"/>
  <c r="AI20" i="1"/>
  <c r="AJ20" i="1"/>
  <c r="AK20" i="1"/>
  <c r="AL20" i="1"/>
  <c r="AM20" i="1"/>
  <c r="AS5" i="1"/>
  <c r="AS6" i="1"/>
  <c r="AS8" i="1"/>
  <c r="AS9" i="1"/>
  <c r="AS10" i="1"/>
  <c r="K31" i="1" l="1"/>
  <c r="AA24" i="4" l="1"/>
  <c r="U7" i="4"/>
  <c r="U8" i="4"/>
  <c r="U9" i="4"/>
  <c r="U11" i="4"/>
  <c r="U42" i="4"/>
  <c r="U43" i="4"/>
  <c r="U44" i="4"/>
  <c r="U45" i="4"/>
  <c r="U46" i="4"/>
  <c r="U48" i="4"/>
  <c r="U49" i="4"/>
  <c r="U50" i="4"/>
  <c r="U51" i="4"/>
  <c r="R14" i="4"/>
  <c r="R15" i="4" l="1"/>
  <c r="M19" i="1"/>
  <c r="M25" i="1"/>
  <c r="M31" i="1"/>
  <c r="AV28" i="1"/>
  <c r="M9" i="1" s="1"/>
  <c r="AV29" i="1"/>
  <c r="M10" i="1" s="1"/>
  <c r="AV30" i="1"/>
  <c r="M11" i="1" s="1"/>
  <c r="AV31" i="1"/>
  <c r="M12" i="1" s="1"/>
  <c r="AV27" i="1" l="1"/>
  <c r="M8" i="1" s="1"/>
  <c r="AU32" i="1"/>
  <c r="AV32" i="1" s="1"/>
  <c r="M13" i="1" s="1"/>
  <c r="X22" i="4"/>
  <c r="T11" i="4" s="1"/>
  <c r="Q9" i="4"/>
  <c r="R9" i="4"/>
  <c r="T9" i="4"/>
  <c r="T7" i="4"/>
  <c r="T8" i="4"/>
  <c r="T42" i="4"/>
  <c r="T43" i="4"/>
  <c r="T44" i="4"/>
  <c r="T45" i="4"/>
  <c r="T46" i="4"/>
  <c r="T48" i="4"/>
  <c r="T49" i="4"/>
  <c r="T50" i="4"/>
  <c r="T51" i="4"/>
  <c r="S1" i="4"/>
  <c r="R1" i="4"/>
  <c r="Q1" i="4"/>
  <c r="Q7" i="4"/>
  <c r="W2" i="4"/>
  <c r="R43" i="4"/>
  <c r="R44" i="4"/>
  <c r="R45" i="4"/>
  <c r="R46" i="4"/>
  <c r="R48" i="4"/>
  <c r="R49" i="4"/>
  <c r="R50" i="4"/>
  <c r="R51" i="4"/>
  <c r="R42" i="4"/>
  <c r="R8" i="4"/>
  <c r="R11" i="4"/>
  <c r="R7" i="4"/>
  <c r="Q50" i="4"/>
  <c r="Q8" i="4"/>
  <c r="Q11" i="4"/>
  <c r="Q42" i="4"/>
  <c r="Q43" i="4"/>
  <c r="Q44" i="4"/>
  <c r="Q45" i="4"/>
  <c r="Q46" i="4"/>
  <c r="Q48" i="4"/>
  <c r="Q49" i="4"/>
  <c r="Q51" i="4"/>
  <c r="AI32" i="1"/>
  <c r="AL38" i="1"/>
  <c r="AD55" i="1"/>
  <c r="D19" i="1"/>
  <c r="AA59" i="1"/>
  <c r="AA55" i="1"/>
  <c r="AA56" i="1"/>
  <c r="AA57" i="1"/>
  <c r="AA58" i="1"/>
  <c r="AA54" i="1"/>
  <c r="X2" i="4" l="1"/>
  <c r="V2" i="4"/>
  <c r="Y2" i="4" s="1"/>
  <c r="N41" i="1" l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C13" i="1"/>
  <c r="L22" i="2"/>
  <c r="L23" i="2"/>
  <c r="L24" i="2"/>
  <c r="L25" i="2"/>
  <c r="L26" i="2"/>
  <c r="L27" i="2"/>
  <c r="L28" i="2"/>
  <c r="L29" i="2"/>
  <c r="L30" i="2"/>
  <c r="L31" i="2"/>
  <c r="L32" i="2"/>
  <c r="L14" i="2"/>
  <c r="L15" i="2"/>
  <c r="L16" i="2"/>
  <c r="L17" i="2"/>
  <c r="L11" i="2" l="1"/>
  <c r="L3" i="2"/>
  <c r="L4" i="2"/>
  <c r="L5" i="2"/>
  <c r="L6" i="2"/>
  <c r="L7" i="2"/>
  <c r="L8" i="2"/>
  <c r="L9" i="2"/>
  <c r="L10" i="2"/>
  <c r="L12" i="2"/>
  <c r="L13" i="2"/>
  <c r="L18" i="2"/>
  <c r="L19" i="2"/>
  <c r="L20" i="2"/>
  <c r="L21" i="2"/>
  <c r="L33" i="2"/>
  <c r="L34" i="2"/>
  <c r="L35" i="2"/>
  <c r="L36" i="2"/>
  <c r="L37" i="2"/>
  <c r="L38" i="2"/>
  <c r="L39" i="2"/>
  <c r="L40" i="2"/>
  <c r="L41" i="2"/>
  <c r="L42" i="2"/>
  <c r="L43" i="2"/>
  <c r="L2" i="2"/>
  <c r="I9" i="2"/>
  <c r="I10" i="2"/>
  <c r="I11" i="2"/>
  <c r="I12" i="2"/>
  <c r="I13" i="2"/>
  <c r="I14" i="2"/>
  <c r="I15" i="2"/>
  <c r="I16" i="2"/>
  <c r="I17" i="2"/>
  <c r="K3" i="2"/>
  <c r="I2" i="2" l="1"/>
  <c r="I3" i="2"/>
  <c r="I4" i="2"/>
  <c r="I5" i="2"/>
  <c r="I6" i="2"/>
  <c r="I7" i="2"/>
  <c r="I8" i="2"/>
  <c r="H3" i="2"/>
  <c r="H4" i="2"/>
  <c r="H5" i="2"/>
  <c r="H6" i="2"/>
  <c r="H7" i="2"/>
  <c r="H8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  <c r="G9" i="2"/>
  <c r="G13" i="2"/>
  <c r="G17" i="2"/>
  <c r="G16" i="2"/>
  <c r="G11" i="2"/>
  <c r="G10" i="2"/>
  <c r="F2" i="2"/>
  <c r="G12" i="2"/>
  <c r="G14" i="2"/>
  <c r="G15" i="2"/>
  <c r="F3" i="2"/>
  <c r="F4" i="2"/>
  <c r="F5" i="2"/>
  <c r="F6" i="2"/>
  <c r="F7" i="2"/>
  <c r="F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E12" i="2"/>
  <c r="E13" i="2"/>
  <c r="E14" i="2"/>
  <c r="E15" i="2"/>
  <c r="E16" i="2"/>
  <c r="E11" i="2"/>
  <c r="C31" i="1"/>
  <c r="D31" i="1"/>
  <c r="E31" i="1"/>
  <c r="F31" i="1"/>
  <c r="G31" i="1"/>
  <c r="J31" i="1"/>
  <c r="B31" i="1"/>
  <c r="C25" i="1"/>
  <c r="D25" i="1"/>
  <c r="E25" i="1"/>
  <c r="F25" i="1"/>
  <c r="I25" i="1"/>
  <c r="J25" i="1"/>
  <c r="B25" i="1"/>
  <c r="C19" i="1"/>
  <c r="E19" i="1"/>
  <c r="F19" i="1"/>
  <c r="I19" i="1"/>
  <c r="J19" i="1"/>
  <c r="B19" i="1"/>
  <c r="D7" i="1"/>
  <c r="E7" i="1"/>
  <c r="F7" i="1"/>
  <c r="I7" i="1"/>
  <c r="J7" i="1"/>
  <c r="B7" i="1"/>
  <c r="AV6" i="1"/>
  <c r="AW6" i="1" s="1"/>
  <c r="AV8" i="1"/>
  <c r="AW8" i="1" s="1"/>
  <c r="AV9" i="1"/>
  <c r="AW9" i="1" s="1"/>
  <c r="AV10" i="1"/>
  <c r="AW10" i="1" s="1"/>
  <c r="AV5" i="1"/>
  <c r="AW5" i="1" s="1"/>
</calcChain>
</file>

<file path=xl/sharedStrings.xml><?xml version="1.0" encoding="utf-8"?>
<sst xmlns="http://schemas.openxmlformats.org/spreadsheetml/2006/main" count="842" uniqueCount="333">
  <si>
    <t>Год</t>
  </si>
  <si>
    <t>Осадки, мм</t>
  </si>
  <si>
    <t>Q А, м3/с</t>
  </si>
  <si>
    <t>SSC А, мг/л</t>
  </si>
  <si>
    <t>R А, кг/с</t>
  </si>
  <si>
    <t>G А, кг/с</t>
  </si>
  <si>
    <t>D50 А, мм</t>
  </si>
  <si>
    <t>G Б, кг/с</t>
  </si>
  <si>
    <t>D50 Б, мм</t>
  </si>
  <si>
    <t>Статистика</t>
  </si>
  <si>
    <t>2015</t>
  </si>
  <si>
    <t>-</t>
  </si>
  <si>
    <t>2016</t>
  </si>
  <si>
    <t>2017</t>
  </si>
  <si>
    <t>2019</t>
  </si>
  <si>
    <t>2023</t>
  </si>
  <si>
    <t>Min</t>
  </si>
  <si>
    <t>Max</t>
  </si>
  <si>
    <t>Ср.кв.откл.</t>
  </si>
  <si>
    <t>12.5 · 10 ⁶</t>
  </si>
  <si>
    <r>
      <t xml:space="preserve">18.1 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 xml:space="preserve"> 10 </t>
    </r>
    <r>
      <rPr>
        <sz val="11"/>
        <color theme="1"/>
        <rFont val="Calibri"/>
        <family val="2"/>
        <charset val="204"/>
      </rPr>
      <t>⁶</t>
    </r>
  </si>
  <si>
    <t>15.5 · 10 ⁶</t>
  </si>
  <si>
    <t>13.0 · 10 ⁶</t>
  </si>
  <si>
    <t>10.0 · 10 ⁶</t>
  </si>
  <si>
    <t>16.2 · 10 ⁶</t>
  </si>
  <si>
    <t>11.4 · 10 ⁶</t>
  </si>
  <si>
    <t>8.3 · 10 ⁶</t>
  </si>
  <si>
    <t>3.0 · 10 ⁶</t>
  </si>
  <si>
    <t>5.9 · 10 ⁶</t>
  </si>
  <si>
    <t>Сумма, год</t>
  </si>
  <si>
    <t>18.1·10⁶</t>
  </si>
  <si>
    <t>16.2·10⁶</t>
  </si>
  <si>
    <t>15.5·10⁶</t>
  </si>
  <si>
    <t>11.4·10⁶</t>
  </si>
  <si>
    <t>13.0·10⁶</t>
  </si>
  <si>
    <t>10.0·10⁶</t>
  </si>
  <si>
    <t>Cр.знач, в день</t>
  </si>
  <si>
    <t>Т воздуха, оС</t>
  </si>
  <si>
    <t>Все года</t>
  </si>
  <si>
    <t>bds</t>
  </si>
  <si>
    <t>data</t>
  </si>
  <si>
    <t>ssd</t>
  </si>
  <si>
    <t>q</t>
  </si>
  <si>
    <t>tsd</t>
  </si>
  <si>
    <t>18,06,2016</t>
  </si>
  <si>
    <t>19,06,2016</t>
  </si>
  <si>
    <t>20,06,2016</t>
  </si>
  <si>
    <t>21,06,2016</t>
  </si>
  <si>
    <t>22,06,2016</t>
  </si>
  <si>
    <t>24,06,2016</t>
  </si>
  <si>
    <t>25,06,2016</t>
  </si>
  <si>
    <t>28,06,2016</t>
  </si>
  <si>
    <t>30,06,2016</t>
  </si>
  <si>
    <t>01,07,2016</t>
  </si>
  <si>
    <t>05,07,2016</t>
  </si>
  <si>
    <t>26,07,2017</t>
  </si>
  <si>
    <t>27,07,2017</t>
  </si>
  <si>
    <t>29,07,2017</t>
  </si>
  <si>
    <t>30,07,2017</t>
  </si>
  <si>
    <t>31,07,2017</t>
  </si>
  <si>
    <t>02,08,2017</t>
  </si>
  <si>
    <t>06,08,2017</t>
  </si>
  <si>
    <t>07,08,2017</t>
  </si>
  <si>
    <t>09,08,2017</t>
  </si>
  <si>
    <t>10,08,2017</t>
  </si>
  <si>
    <t>11,08,2017</t>
  </si>
  <si>
    <t>13,08,2017</t>
  </si>
  <si>
    <t>16,08,2017</t>
  </si>
  <si>
    <t>18,08,2017</t>
  </si>
  <si>
    <t>20,08,2017</t>
  </si>
  <si>
    <t>23,08,2017</t>
  </si>
  <si>
    <t>11,08,2023</t>
  </si>
  <si>
    <t>12,08,2023</t>
  </si>
  <si>
    <t>14,08,2023</t>
  </si>
  <si>
    <t>17,08,2023</t>
  </si>
  <si>
    <t>18,08,2023</t>
  </si>
  <si>
    <t>20,08,2023</t>
  </si>
  <si>
    <t>21,08,2023</t>
  </si>
  <si>
    <t>23,08,2023</t>
  </si>
  <si>
    <t>25,08,2023</t>
  </si>
  <si>
    <t>tds &lt; 2</t>
  </si>
  <si>
    <t>tds &gt; 2</t>
  </si>
  <si>
    <t>bds &lt; 2</t>
  </si>
  <si>
    <t>bds &gt; 2</t>
  </si>
  <si>
    <t>(R+G), кг/с</t>
  </si>
  <si>
    <t>bds &lt;&lt; 2</t>
  </si>
  <si>
    <t>q &lt;&lt; 2</t>
  </si>
  <si>
    <t>dolya</t>
  </si>
  <si>
    <t>Среднемноголетн.</t>
  </si>
  <si>
    <t>0.287</t>
  </si>
  <si>
    <t>0.360</t>
  </si>
  <si>
    <t>0.430</t>
  </si>
  <si>
    <t>0.667</t>
  </si>
  <si>
    <t>0.471</t>
  </si>
  <si>
    <t>ДОЛЯ ВЛЕКОМОГО СТОКА</t>
  </si>
  <si>
    <t>G/(R+G)</t>
  </si>
  <si>
    <t>Т воздб оС</t>
  </si>
  <si>
    <t>Cуммарный сток наносов, кг/с</t>
  </si>
  <si>
    <t>NA</t>
  </si>
  <si>
    <t>536</t>
  </si>
  <si>
    <t>Cр.знач</t>
  </si>
  <si>
    <t>594</t>
  </si>
  <si>
    <t>548</t>
  </si>
  <si>
    <t>273</t>
  </si>
  <si>
    <t>402</t>
  </si>
  <si>
    <t>1089</t>
  </si>
  <si>
    <t>511</t>
  </si>
  <si>
    <t>53601</t>
  </si>
  <si>
    <t>Сумма</t>
  </si>
  <si>
    <t>1006</t>
  </si>
  <si>
    <t>570</t>
  </si>
  <si>
    <t>60615</t>
  </si>
  <si>
    <t>1241</t>
  </si>
  <si>
    <t>482</t>
  </si>
  <si>
    <t>59142</t>
  </si>
  <si>
    <t>1025</t>
  </si>
  <si>
    <t>26782</t>
  </si>
  <si>
    <t>803</t>
  </si>
  <si>
    <t>746</t>
  </si>
  <si>
    <t>49392</t>
  </si>
  <si>
    <t>213</t>
  </si>
  <si>
    <t>214</t>
  </si>
  <si>
    <t>8680</t>
  </si>
  <si>
    <t>6768</t>
  </si>
  <si>
    <t>12964</t>
  </si>
  <si>
    <t>2054</t>
  </si>
  <si>
    <t>117</t>
  </si>
  <si>
    <t>10846</t>
  </si>
  <si>
    <t>1107</t>
  </si>
  <si>
    <t>972</t>
  </si>
  <si>
    <t>1605</t>
  </si>
  <si>
    <t>269</t>
  </si>
  <si>
    <t>1371</t>
  </si>
  <si>
    <t>10.9·10⁶</t>
  </si>
  <si>
    <t>13,5·10⁶</t>
  </si>
  <si>
    <t>3.00·10⁶</t>
  </si>
  <si>
    <t>8.30·10⁶</t>
  </si>
  <si>
    <t>5.50·10⁶</t>
  </si>
  <si>
    <t>8,86·10⁶</t>
  </si>
  <si>
    <t>bsd</t>
  </si>
  <si>
    <t>date</t>
  </si>
  <si>
    <t>D50_A</t>
  </si>
  <si>
    <t>bsd_B</t>
  </si>
  <si>
    <t>D50_B</t>
  </si>
  <si>
    <t>bsd-bsd_B , %</t>
  </si>
  <si>
    <t>bsd-bsd_B, %</t>
  </si>
  <si>
    <t>Аккумуляция*, кг/с</t>
  </si>
  <si>
    <t>Большие</t>
  </si>
  <si>
    <t>Маленькие</t>
  </si>
  <si>
    <t>year1</t>
  </si>
  <si>
    <t>t2_c</t>
  </si>
  <si>
    <t>rain_mm</t>
  </si>
  <si>
    <t>ssc</t>
  </si>
  <si>
    <t>g</t>
  </si>
  <si>
    <t>sediment_budget</t>
  </si>
  <si>
    <t>statistic</t>
  </si>
  <si>
    <t>10.7</t>
  </si>
  <si>
    <t>5.01</t>
  </si>
  <si>
    <t>2.10</t>
  </si>
  <si>
    <t>1.87</t>
  </si>
  <si>
    <t>8.98</t>
  </si>
  <si>
    <t>4.79</t>
  </si>
  <si>
    <t>1.77</t>
  </si>
  <si>
    <t>1.30</t>
  </si>
  <si>
    <t>0.032</t>
  </si>
  <si>
    <t>0.109</t>
  </si>
  <si>
    <t>11.4</t>
  </si>
  <si>
    <t>4.42</t>
  </si>
  <si>
    <t>1.40</t>
  </si>
  <si>
    <t>0.890</t>
  </si>
  <si>
    <t>9.40</t>
  </si>
  <si>
    <t>4.87</t>
  </si>
  <si>
    <t>1.16</t>
  </si>
  <si>
    <t>0.349</t>
  </si>
  <si>
    <t>10.1</t>
  </si>
  <si>
    <t>1.21</t>
  </si>
  <si>
    <t>0.605</t>
  </si>
  <si>
    <t>2.42</t>
  </si>
  <si>
    <t>0.024</t>
  </si>
  <si>
    <t>3.18</t>
  </si>
  <si>
    <t>210</t>
  </si>
  <si>
    <t>187</t>
  </si>
  <si>
    <t>0.000</t>
  </si>
  <si>
    <t>180</t>
  </si>
  <si>
    <t>132</t>
  </si>
  <si>
    <t>0.257</t>
  </si>
  <si>
    <t>16.8</t>
  </si>
  <si>
    <t>151</t>
  </si>
  <si>
    <t>96.1</t>
  </si>
  <si>
    <t>113</t>
  </si>
  <si>
    <t>34.2</t>
  </si>
  <si>
    <t>127</t>
  </si>
  <si>
    <t>63.5</t>
  </si>
  <si>
    <t>24.2</t>
  </si>
  <si>
    <t>0.220</t>
  </si>
  <si>
    <t>28.6</t>
  </si>
  <si>
    <t>4.90</t>
  </si>
  <si>
    <t>0.420</t>
  </si>
  <si>
    <t>0.090</t>
  </si>
  <si>
    <t>-2.70</t>
  </si>
  <si>
    <t>0.530</t>
  </si>
  <si>
    <t>0.114</t>
  </si>
  <si>
    <t>0.010</t>
  </si>
  <si>
    <t>0.020</t>
  </si>
  <si>
    <t>0.011</t>
  </si>
  <si>
    <t>2.70</t>
  </si>
  <si>
    <t>0.509</t>
  </si>
  <si>
    <t>2.14</t>
  </si>
  <si>
    <t>0.060</t>
  </si>
  <si>
    <t>0.013</t>
  </si>
  <si>
    <t>-1.13</t>
  </si>
  <si>
    <t>0.584</t>
  </si>
  <si>
    <t>14.2</t>
  </si>
  <si>
    <t>0.250</t>
  </si>
  <si>
    <t>0.320</t>
  </si>
  <si>
    <t>56.9</t>
  </si>
  <si>
    <t>7.01</t>
  </si>
  <si>
    <t>60.8</t>
  </si>
  <si>
    <t>15.3</t>
  </si>
  <si>
    <t>40.3</t>
  </si>
  <si>
    <t>3.67</t>
  </si>
  <si>
    <t>24.8</t>
  </si>
  <si>
    <t>0.059</t>
  </si>
  <si>
    <t>2.19</t>
  </si>
  <si>
    <t>17.6</t>
  </si>
  <si>
    <t>97.2</t>
  </si>
  <si>
    <t>26.0</t>
  </si>
  <si>
    <t>18.1</t>
  </si>
  <si>
    <t>40.9</t>
  </si>
  <si>
    <t>3.17</t>
  </si>
  <si>
    <t>4.27</t>
  </si>
  <si>
    <t>19.3</t>
  </si>
  <si>
    <t>2.07</t>
  </si>
  <si>
    <t>7.62</t>
  </si>
  <si>
    <t>12.8</t>
  </si>
  <si>
    <t>2.74</t>
  </si>
  <si>
    <t>10.3</t>
  </si>
  <si>
    <t>0.992</t>
  </si>
  <si>
    <t>6.73</t>
  </si>
  <si>
    <t>3.46</t>
  </si>
  <si>
    <t>9.23</t>
  </si>
  <si>
    <t>0.707</t>
  </si>
  <si>
    <t>2.93</t>
  </si>
  <si>
    <t>11.7</t>
  </si>
  <si>
    <t>0.403</t>
  </si>
  <si>
    <t>3.02</t>
  </si>
  <si>
    <t>3.08</t>
  </si>
  <si>
    <t>9.35</t>
  </si>
  <si>
    <t>0.582</t>
  </si>
  <si>
    <t>0.543</t>
  </si>
  <si>
    <t>4.02</t>
  </si>
  <si>
    <t>18.8</t>
  </si>
  <si>
    <t>0.302</t>
  </si>
  <si>
    <t>2.29</t>
  </si>
  <si>
    <t>2.03</t>
  </si>
  <si>
    <t>3.99</t>
  </si>
  <si>
    <t>1.67</t>
  </si>
  <si>
    <t>2.95</t>
  </si>
  <si>
    <t>4.84</t>
  </si>
  <si>
    <t>47.3</t>
  </si>
  <si>
    <t>38.7</t>
  </si>
  <si>
    <t>43.5</t>
  </si>
  <si>
    <t>1.38</t>
  </si>
  <si>
    <t>6.72</t>
  </si>
  <si>
    <t>8.66</t>
  </si>
  <si>
    <t>14.1</t>
  </si>
  <si>
    <t>1.57</t>
  </si>
  <si>
    <t>2.64</t>
  </si>
  <si>
    <t>2.61</t>
  </si>
  <si>
    <t>name</t>
  </si>
  <si>
    <t>1</t>
  </si>
  <si>
    <t>2</t>
  </si>
  <si>
    <t>3</t>
  </si>
  <si>
    <t>4</t>
  </si>
  <si>
    <t>5</t>
  </si>
  <si>
    <t>7</t>
  </si>
  <si>
    <t>6</t>
  </si>
  <si>
    <t>8</t>
  </si>
  <si>
    <t>9</t>
  </si>
  <si>
    <t>11</t>
  </si>
  <si>
    <t>10</t>
  </si>
  <si>
    <t>12</t>
  </si>
  <si>
    <t>14</t>
  </si>
  <si>
    <t>13</t>
  </si>
  <si>
    <t>15</t>
  </si>
  <si>
    <t>16</t>
  </si>
  <si>
    <t>ВН1</t>
  </si>
  <si>
    <t>ВН2</t>
  </si>
  <si>
    <t>ВН3</t>
  </si>
  <si>
    <t>ВН4</t>
  </si>
  <si>
    <t>ВН5</t>
  </si>
  <si>
    <t>ВН6</t>
  </si>
  <si>
    <t>ВН9</t>
  </si>
  <si>
    <t>ВН10</t>
  </si>
  <si>
    <t>ВН11</t>
  </si>
  <si>
    <t>ВН12</t>
  </si>
  <si>
    <t>ВН13</t>
  </si>
  <si>
    <t>ВН14</t>
  </si>
  <si>
    <t>ВЛ20</t>
  </si>
  <si>
    <t>ВЛ22</t>
  </si>
  <si>
    <t>ВЛ24</t>
  </si>
  <si>
    <t>ВЛ26</t>
  </si>
  <si>
    <t>ВЛ28</t>
  </si>
  <si>
    <t>ВЛ29</t>
  </si>
  <si>
    <t>ВЛ30</t>
  </si>
  <si>
    <t>ВЛ31</t>
  </si>
  <si>
    <t>ВЛ32</t>
  </si>
  <si>
    <t>ВЛ33</t>
  </si>
  <si>
    <t>ВЛ34</t>
  </si>
  <si>
    <t>ВЛ35</t>
  </si>
  <si>
    <t>ВЛ36</t>
  </si>
  <si>
    <t>ВЛ37</t>
  </si>
  <si>
    <t>ВЛ38</t>
  </si>
  <si>
    <t>ВЛ39</t>
  </si>
  <si>
    <t>Все bsd</t>
  </si>
  <si>
    <t>bsd средние</t>
  </si>
  <si>
    <t>R</t>
  </si>
  <si>
    <t>Все</t>
  </si>
  <si>
    <t>МИН</t>
  </si>
  <si>
    <t>МАКС</t>
  </si>
  <si>
    <t>СР</t>
  </si>
  <si>
    <t>СТД</t>
  </si>
  <si>
    <t>&lt;0.01</t>
  </si>
  <si>
    <t>GA - GB</t>
  </si>
  <si>
    <t>GА - GБ</t>
  </si>
  <si>
    <t>S</t>
  </si>
  <si>
    <t>p</t>
  </si>
  <si>
    <t>м2</t>
  </si>
  <si>
    <t>кг/м3</t>
  </si>
  <si>
    <t>Акк</t>
  </si>
  <si>
    <t>м/с</t>
  </si>
  <si>
    <t>мм/с</t>
  </si>
  <si>
    <t>кг/год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</si>
</sst>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.000\ _₽_-;\-* #,##0.000\ _₽_-;_-* &quot;-&quot;??\ _₽_-;_-@_-"/>
    <numFmt numFmtId="165" formatCode="0.0"/>
    <numFmt numFmtId="166" formatCode="_-* #,##0.0\ _₽_-;\-* #,##0.0\ _₽_-;_-* &quot;-&quot;??\ _₽_-;_-@_-"/>
    <numFmt numFmtId="167" formatCode="yyyy\-mm\-dd\ hh:mm:ss\ \U\T\C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Segoe UI"/>
      <family val="2"/>
      <charset val="204"/>
    </font>
    <font>
      <sz val="11"/>
      <color theme="0" tint="-0.249977111117893"/>
      <name val="Calibri"/>
      <family val="2"/>
      <scheme val="minor"/>
    </font>
    <font>
      <sz val="9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5" fillId="0" borderId="1" xfId="0" applyFont="1" applyBorder="1" applyAlignment="1">
      <alignment horizontal="center" wrapText="1"/>
    </xf>
    <xf numFmtId="165" fontId="0" fillId="0" borderId="1" xfId="0" applyNumberFormat="1" applyBorder="1"/>
    <xf numFmtId="0" fontId="6" fillId="2" borderId="0" xfId="0" applyFont="1" applyFill="1" applyBorder="1"/>
    <xf numFmtId="0" fontId="0" fillId="2" borderId="0" xfId="0" applyFill="1"/>
    <xf numFmtId="43" fontId="0" fillId="0" borderId="0" xfId="1" applyFont="1"/>
    <xf numFmtId="166" fontId="0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/>
    <xf numFmtId="43" fontId="1" fillId="0" borderId="0" xfId="1" applyFont="1" applyAlignment="1">
      <alignment horizontal="center"/>
    </xf>
    <xf numFmtId="43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 applyBorder="1"/>
    <xf numFmtId="0" fontId="8" fillId="0" borderId="0" xfId="0" applyFont="1" applyFill="1"/>
    <xf numFmtId="0" fontId="7" fillId="0" borderId="1" xfId="0" applyFont="1" applyFill="1" applyBorder="1" applyAlignment="1">
      <alignment horizontal="right" vertical="center"/>
    </xf>
    <xf numFmtId="14" fontId="7" fillId="0" borderId="1" xfId="0" applyNumberFormat="1" applyFont="1" applyFill="1" applyBorder="1" applyAlignment="1">
      <alignment vertical="center"/>
    </xf>
    <xf numFmtId="0" fontId="0" fillId="0" borderId="1" xfId="0" applyFont="1" applyFill="1" applyBorder="1"/>
    <xf numFmtId="0" fontId="0" fillId="8" borderId="0" xfId="0" applyFill="1"/>
    <xf numFmtId="0" fontId="0" fillId="8" borderId="0" xfId="0" applyFont="1" applyFill="1"/>
    <xf numFmtId="0" fontId="6" fillId="8" borderId="0" xfId="0" applyFont="1" applyFill="1" applyBorder="1"/>
    <xf numFmtId="2" fontId="6" fillId="2" borderId="3" xfId="0" applyNumberFormat="1" applyFont="1" applyFill="1" applyBorder="1" applyAlignment="1">
      <alignment horizontal="center" vertical="center"/>
    </xf>
    <xf numFmtId="43" fontId="5" fillId="8" borderId="5" xfId="1" applyFont="1" applyFill="1" applyBorder="1" applyAlignment="1">
      <alignment horizontal="center" vertical="center"/>
    </xf>
    <xf numFmtId="2" fontId="6" fillId="8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2" fontId="6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1" fillId="5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/>
    </xf>
    <xf numFmtId="2" fontId="6" fillId="8" borderId="2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0" fontId="1" fillId="7" borderId="0" xfId="0" applyFont="1" applyFill="1" applyAlignment="1">
      <alignment horizontal="center"/>
    </xf>
    <xf numFmtId="0" fontId="8" fillId="7" borderId="0" xfId="0" applyFont="1" applyFill="1"/>
    <xf numFmtId="0" fontId="6" fillId="8" borderId="1" xfId="0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8" borderId="8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0" xfId="0" applyFill="1" applyBorder="1"/>
    <xf numFmtId="2" fontId="0" fillId="7" borderId="0" xfId="0" applyNumberFormat="1" applyFill="1"/>
    <xf numFmtId="2" fontId="0" fillId="5" borderId="6" xfId="0" applyNumberFormat="1" applyFill="1" applyBorder="1"/>
    <xf numFmtId="0" fontId="9" fillId="0" borderId="0" xfId="0" applyFont="1"/>
    <xf numFmtId="0" fontId="0" fillId="9" borderId="0" xfId="0" applyFill="1"/>
    <xf numFmtId="2" fontId="0" fillId="9" borderId="0" xfId="0" applyNumberFormat="1" applyFill="1"/>
    <xf numFmtId="0" fontId="5" fillId="8" borderId="3" xfId="0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2" fontId="6" fillId="8" borderId="3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'суммарный сток наносов'!$H$2:$H$43</c:f>
              <c:numCache>
                <c:formatCode>General</c:formatCode>
                <c:ptCount val="42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A-4AEA-828D-3ED21CB681EA}"/>
            </c:ext>
          </c:extLst>
        </c:ser>
        <c:ser>
          <c:idx val="2"/>
          <c:order val="1"/>
          <c:tx>
            <c:strRef>
              <c:f>'суммарный сток наносов'!$J$1</c:f>
              <c:strCache>
                <c:ptCount val="1"/>
                <c:pt idx="0">
                  <c:v>q &lt;&lt;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49866787765044E-2"/>
                  <c:y val="-3.0985650547310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наносов'!$K$2:$K$3</c:f>
              <c:numCache>
                <c:formatCode>General</c:formatCode>
                <c:ptCount val="2"/>
                <c:pt idx="0">
                  <c:v>0</c:v>
                </c:pt>
                <c:pt idx="1">
                  <c:v>0.95423389999999997</c:v>
                </c:pt>
              </c:numCache>
            </c:numRef>
          </c:xVal>
          <c:yVal>
            <c:numRef>
              <c:f>'суммарный сток наносов'!$J$2:$J$3</c:f>
              <c:numCache>
                <c:formatCode>General</c:formatCode>
                <c:ptCount val="2"/>
                <c:pt idx="0">
                  <c:v>0</c:v>
                </c:pt>
                <c:pt idx="1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9-43A0-975D-0CC94BFF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181963347641984"/>
          <c:y val="0.50323459885215394"/>
          <c:w val="0.12415156339394971"/>
          <c:h val="0.13748053921552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'суммарный сток наносов'!$D$2:$D$42</c:f>
              <c:numCache>
                <c:formatCode>General</c:formatCode>
                <c:ptCount val="41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</c:numCache>
            </c:numRef>
          </c:xVal>
          <c:yVal>
            <c:numRef>
              <c:f>'суммарный сток наносов'!$H$2:$H$42</c:f>
              <c:numCache>
                <c:formatCode>General</c:formatCode>
                <c:ptCount val="41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BC9-BAC2-E9252688EB0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'суммарный сток наносов'!$I$2:$I$43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0.21290799999999999</c:v>
                </c:pt>
                <c:pt idx="8">
                  <c:v>3.9826670000000002E-2</c:v>
                </c:pt>
                <c:pt idx="9">
                  <c:v>0.53660571000000001</c:v>
                </c:pt>
                <c:pt idx="10">
                  <c:v>5.9200000000000003E-2</c:v>
                </c:pt>
                <c:pt idx="11">
                  <c:v>2.5440000000000001E-2</c:v>
                </c:pt>
                <c:pt idx="12">
                  <c:v>0.09</c:v>
                </c:pt>
                <c:pt idx="13">
                  <c:v>1.9588000000000001E-2</c:v>
                </c:pt>
                <c:pt idx="14">
                  <c:v>5.7593329999999998E-2</c:v>
                </c:pt>
                <c:pt idx="15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B-4BC9-BAC2-E925268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наносов'!$D$9:$D$17</c:f>
              <c:numCache>
                <c:formatCode>General</c:formatCode>
                <c:ptCount val="9"/>
                <c:pt idx="0">
                  <c:v>3.03</c:v>
                </c:pt>
                <c:pt idx="1">
                  <c:v>3.03</c:v>
                </c:pt>
                <c:pt idx="2">
                  <c:v>2.87</c:v>
                </c:pt>
                <c:pt idx="3">
                  <c:v>2.87</c:v>
                </c:pt>
                <c:pt idx="4">
                  <c:v>2.86</c:v>
                </c:pt>
                <c:pt idx="5">
                  <c:v>3.21</c:v>
                </c:pt>
                <c:pt idx="6">
                  <c:v>3.21</c:v>
                </c:pt>
                <c:pt idx="7">
                  <c:v>3.67</c:v>
                </c:pt>
                <c:pt idx="8">
                  <c:v>2.87</c:v>
                </c:pt>
              </c:numCache>
            </c:numRef>
          </c:xVal>
          <c:yVal>
            <c:numRef>
              <c:f>'суммарный сток наносов'!$I$9:$I$17</c:f>
              <c:numCache>
                <c:formatCode>General</c:formatCode>
                <c:ptCount val="9"/>
                <c:pt idx="0">
                  <c:v>0.21290799999999999</c:v>
                </c:pt>
                <c:pt idx="1">
                  <c:v>3.9826670000000002E-2</c:v>
                </c:pt>
                <c:pt idx="2">
                  <c:v>0.53660571000000001</c:v>
                </c:pt>
                <c:pt idx="3">
                  <c:v>5.9200000000000003E-2</c:v>
                </c:pt>
                <c:pt idx="4">
                  <c:v>2.5440000000000001E-2</c:v>
                </c:pt>
                <c:pt idx="5">
                  <c:v>0.09</c:v>
                </c:pt>
                <c:pt idx="6">
                  <c:v>1.9588000000000001E-2</c:v>
                </c:pt>
                <c:pt idx="7">
                  <c:v>5.7593329999999998E-2</c:v>
                </c:pt>
                <c:pt idx="8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7-41B0-9804-E12347F0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96656"/>
        <c:axId val="685590000"/>
      </c:scatterChart>
      <c:valAx>
        <c:axId val="685596656"/>
        <c:scaling>
          <c:orientation val="minMax"/>
          <c:max val="4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90000"/>
        <c:crosses val="autoZero"/>
        <c:crossBetween val="midCat"/>
      </c:valAx>
      <c:valAx>
        <c:axId val="685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'суммарный сток наносов'!$L$1</c:f>
              <c:strCache>
                <c:ptCount val="1"/>
                <c:pt idx="0">
                  <c:v>dolya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0.2"/>
            <c:dispRSqr val="1"/>
            <c:dispEq val="1"/>
            <c:trendlineLbl>
              <c:layout>
                <c:manualLayout>
                  <c:x val="2.0584602935851615E-2"/>
                  <c:y val="-0.46452442267085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'суммарный сток наносов'!$L$2:$L$43</c:f>
              <c:numCache>
                <c:formatCode>General</c:formatCode>
                <c:ptCount val="42"/>
                <c:pt idx="0">
                  <c:v>0.14172904781752504</c:v>
                </c:pt>
                <c:pt idx="1">
                  <c:v>0.28335265572874896</c:v>
                </c:pt>
                <c:pt idx="2">
                  <c:v>8.2917064023119158E-2</c:v>
                </c:pt>
                <c:pt idx="3">
                  <c:v>5.142187678225843E-2</c:v>
                </c:pt>
                <c:pt idx="4">
                  <c:v>0.22710665840790767</c:v>
                </c:pt>
                <c:pt idx="5">
                  <c:v>0.11249441989818605</c:v>
                </c:pt>
                <c:pt idx="6">
                  <c:v>2.3981434372889656E-2</c:v>
                </c:pt>
                <c:pt idx="7">
                  <c:v>4.1574298970987092E-2</c:v>
                </c:pt>
                <c:pt idx="8">
                  <c:v>8.0489410063838418E-3</c:v>
                </c:pt>
                <c:pt idx="9">
                  <c:v>0.33822794683493962</c:v>
                </c:pt>
                <c:pt idx="10">
                  <c:v>5.3375880161050902E-2</c:v>
                </c:pt>
                <c:pt idx="11">
                  <c:v>4.1722822869235694E-3</c:v>
                </c:pt>
                <c:pt idx="12">
                  <c:v>3.375719353135205E-2</c:v>
                </c:pt>
                <c:pt idx="13">
                  <c:v>7.5463661267155917E-3</c:v>
                </c:pt>
                <c:pt idx="14">
                  <c:v>2.3132620064377093E-3</c:v>
                </c:pt>
                <c:pt idx="15">
                  <c:v>2.0902968607475311E-2</c:v>
                </c:pt>
                <c:pt idx="16">
                  <c:v>0.24309304239703877</c:v>
                </c:pt>
                <c:pt idx="17">
                  <c:v>0.11233963060440391</c:v>
                </c:pt>
                <c:pt idx="18">
                  <c:v>0.15010679798568505</c:v>
                </c:pt>
                <c:pt idx="19">
                  <c:v>0.19283805945161764</c:v>
                </c:pt>
                <c:pt idx="20">
                  <c:v>0.82458978268838179</c:v>
                </c:pt>
                <c:pt idx="21">
                  <c:v>0.48942824721834266</c:v>
                </c:pt>
                <c:pt idx="22">
                  <c:v>0.38181476140143339</c:v>
                </c:pt>
                <c:pt idx="23">
                  <c:v>0.43534835435424024</c:v>
                </c:pt>
                <c:pt idx="24">
                  <c:v>0.36421017068927192</c:v>
                </c:pt>
                <c:pt idx="25">
                  <c:v>0.49085148456360894</c:v>
                </c:pt>
                <c:pt idx="26">
                  <c:v>0.34429671269171069</c:v>
                </c:pt>
                <c:pt idx="27">
                  <c:v>0.22946964266076511</c:v>
                </c:pt>
                <c:pt idx="28">
                  <c:v>0.24749835364050032</c:v>
                </c:pt>
                <c:pt idx="29">
                  <c:v>0.16775136500731894</c:v>
                </c:pt>
                <c:pt idx="30">
                  <c:v>0.17530899964277036</c:v>
                </c:pt>
                <c:pt idx="31">
                  <c:v>0.84691076025520451</c:v>
                </c:pt>
                <c:pt idx="32">
                  <c:v>0.37382651185098575</c:v>
                </c:pt>
                <c:pt idx="33">
                  <c:v>0.16088924127208043</c:v>
                </c:pt>
                <c:pt idx="34">
                  <c:v>0.39613486459001146</c:v>
                </c:pt>
                <c:pt idx="35">
                  <c:v>0.39357574188043404</c:v>
                </c:pt>
                <c:pt idx="36">
                  <c:v>0.43994124496685216</c:v>
                </c:pt>
                <c:pt idx="37">
                  <c:v>0.67789385429566418</c:v>
                </c:pt>
                <c:pt idx="38">
                  <c:v>0.50912997324521991</c:v>
                </c:pt>
                <c:pt idx="39">
                  <c:v>0.34990421372149372</c:v>
                </c:pt>
                <c:pt idx="40">
                  <c:v>0.51841339580214763</c:v>
                </c:pt>
                <c:pt idx="41">
                  <c:v>0.28775111140269888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4C38-9153-CA642167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95568"/>
        <c:axId val="535293904"/>
      </c:scatterChart>
      <c:valAx>
        <c:axId val="5352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93904"/>
        <c:crosses val="autoZero"/>
        <c:crossBetween val="midCat"/>
      </c:valAx>
      <c:valAx>
        <c:axId val="53529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0603674540683"/>
          <c:y val="0.10519406497775551"/>
          <c:w val="0.83362029746281729"/>
          <c:h val="0.74573980568516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'влекомый сток'!$K$1</c:f>
              <c:strCache>
                <c:ptCount val="1"/>
                <c:pt idx="0">
                  <c:v>bsd средние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738052081976849"/>
                  <c:y val="-8.7177589627069119E-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'влекомый сток'!$F$2:$F$55</c:f>
              <c:numCache>
                <c:formatCode>General</c:formatCode>
                <c:ptCount val="54"/>
                <c:pt idx="0">
                  <c:v>1.67</c:v>
                </c:pt>
                <c:pt idx="1">
                  <c:v>1.66</c:v>
                </c:pt>
                <c:pt idx="2">
                  <c:v>1.53</c:v>
                </c:pt>
                <c:pt idx="3">
                  <c:v>1.56</c:v>
                </c:pt>
                <c:pt idx="4">
                  <c:v>1.81</c:v>
                </c:pt>
                <c:pt idx="5">
                  <c:v>1.69</c:v>
                </c:pt>
                <c:pt idx="6">
                  <c:v>1.69</c:v>
                </c:pt>
                <c:pt idx="7">
                  <c:v>2.81</c:v>
                </c:pt>
                <c:pt idx="8">
                  <c:v>2.81</c:v>
                </c:pt>
                <c:pt idx="9">
                  <c:v>2.71</c:v>
                </c:pt>
                <c:pt idx="10">
                  <c:v>2.71</c:v>
                </c:pt>
                <c:pt idx="11">
                  <c:v>2.75</c:v>
                </c:pt>
                <c:pt idx="12">
                  <c:v>3.08</c:v>
                </c:pt>
                <c:pt idx="13">
                  <c:v>3.08</c:v>
                </c:pt>
                <c:pt idx="14">
                  <c:v>2.46</c:v>
                </c:pt>
                <c:pt idx="15">
                  <c:v>2.57</c:v>
                </c:pt>
                <c:pt idx="16">
                  <c:v>1.759094853199993</c:v>
                </c:pt>
                <c:pt idx="17">
                  <c:v>1.5474190133999961</c:v>
                </c:pt>
                <c:pt idx="18">
                  <c:v>1.05515617679999</c:v>
                </c:pt>
                <c:pt idx="19">
                  <c:v>1.7244908802000041</c:v>
                </c:pt>
                <c:pt idx="20">
                  <c:v>1.3416103116000031</c:v>
                </c:pt>
                <c:pt idx="21">
                  <c:v>1.598238723599996</c:v>
                </c:pt>
                <c:pt idx="22">
                  <c:v>1.5183920825999939</c:v>
                </c:pt>
                <c:pt idx="23">
                  <c:v>1.5160689053999949</c:v>
                </c:pt>
                <c:pt idx="24">
                  <c:v>1.3825680101999891</c:v>
                </c:pt>
                <c:pt idx="25">
                  <c:v>1.3972884155999981</c:v>
                </c:pt>
                <c:pt idx="26">
                  <c:v>1.225799038800006</c:v>
                </c:pt>
                <c:pt idx="27">
                  <c:v>1.554329741400007</c:v>
                </c:pt>
                <c:pt idx="28">
                  <c:v>1.7290153312712271</c:v>
                </c:pt>
                <c:pt idx="29">
                  <c:v>1.7709427945317699</c:v>
                </c:pt>
                <c:pt idx="30">
                  <c:v>1.7436416392789249</c:v>
                </c:pt>
                <c:pt idx="31">
                  <c:v>1.8043718316612489</c:v>
                </c:pt>
                <c:pt idx="32">
                  <c:v>2.204039871754699</c:v>
                </c:pt>
                <c:pt idx="33">
                  <c:v>2.063020294670971</c:v>
                </c:pt>
                <c:pt idx="34">
                  <c:v>2.0169034876951701</c:v>
                </c:pt>
                <c:pt idx="35">
                  <c:v>2.1136497507983401</c:v>
                </c:pt>
                <c:pt idx="36">
                  <c:v>2.3390219687048299</c:v>
                </c:pt>
                <c:pt idx="37">
                  <c:v>2.3167505278715348</c:v>
                </c:pt>
                <c:pt idx="38">
                  <c:v>1.724478376766043</c:v>
                </c:pt>
                <c:pt idx="39">
                  <c:v>1.6658511142043331</c:v>
                </c:pt>
                <c:pt idx="40">
                  <c:v>1.7251051199999961</c:v>
                </c:pt>
                <c:pt idx="41">
                  <c:v>2.0705433600000038</c:v>
                </c:pt>
                <c:pt idx="42">
                  <c:v>1.868013759999992</c:v>
                </c:pt>
                <c:pt idx="43">
                  <c:v>2.5335758399999908</c:v>
                </c:pt>
                <c:pt idx="44">
                  <c:v>1.54105469888</c:v>
                </c:pt>
                <c:pt idx="45">
                  <c:v>1.5320506224799999</c:v>
                </c:pt>
                <c:pt idx="46">
                  <c:v>1.32184636616</c:v>
                </c:pt>
                <c:pt idx="47">
                  <c:v>1.31873586704</c:v>
                </c:pt>
                <c:pt idx="48">
                  <c:v>1.1116966800000001</c:v>
                </c:pt>
                <c:pt idx="49">
                  <c:v>1.3179173146400001</c:v>
                </c:pt>
                <c:pt idx="50">
                  <c:v>1.1872217814399999</c:v>
                </c:pt>
                <c:pt idx="51">
                  <c:v>0.85658118200000022</c:v>
                </c:pt>
                <c:pt idx="52">
                  <c:v>1.2718055294399999</c:v>
                </c:pt>
                <c:pt idx="53">
                  <c:v>0.99540766904</c:v>
                </c:pt>
              </c:numCache>
            </c:numRef>
          </c:xVal>
          <c:yVal>
            <c:numRef>
              <c:f>'влекомый сток'!$K$2:$K$55</c:f>
              <c:numCache>
                <c:formatCode>General</c:formatCode>
                <c:ptCount val="54"/>
                <c:pt idx="0">
                  <c:v>8.491108641975309E-2</c:v>
                </c:pt>
                <c:pt idx="1">
                  <c:v>0.13526750000000001</c:v>
                </c:pt>
                <c:pt idx="2">
                  <c:v>3.1872866666666673E-2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0.17849999999999999</c:v>
                </c:pt>
                <c:pt idx="17">
                  <c:v>0.28106666666666669</c:v>
                </c:pt>
                <c:pt idx="18">
                  <c:v>5.5577777777777768E-2</c:v>
                </c:pt>
                <c:pt idx="19">
                  <c:v>0.72222222222222221</c:v>
                </c:pt>
                <c:pt idx="20">
                  <c:v>1.776666666666667E-2</c:v>
                </c:pt>
                <c:pt idx="21">
                  <c:v>7.2800000000000004E-2</c:v>
                </c:pt>
                <c:pt idx="22">
                  <c:v>0.11946666666666669</c:v>
                </c:pt>
                <c:pt idx="23">
                  <c:v>0.35466666666666669</c:v>
                </c:pt>
                <c:pt idx="24">
                  <c:v>0.7404222222222222</c:v>
                </c:pt>
                <c:pt idx="25">
                  <c:v>6.2000000000000013E-2</c:v>
                </c:pt>
                <c:pt idx="26">
                  <c:v>3.3066666666666668E-2</c:v>
                </c:pt>
                <c:pt idx="27">
                  <c:v>0.41368888888888888</c:v>
                </c:pt>
                <c:pt idx="28">
                  <c:v>0.1153777777777778</c:v>
                </c:pt>
                <c:pt idx="29">
                  <c:v>4.6822222222222223E-2</c:v>
                </c:pt>
                <c:pt idx="30">
                  <c:v>7.7288888888888893E-2</c:v>
                </c:pt>
                <c:pt idx="31">
                  <c:v>0.10053333333333329</c:v>
                </c:pt>
                <c:pt idx="32">
                  <c:v>1.9328000000000001</c:v>
                </c:pt>
                <c:pt idx="33">
                  <c:v>0.45333333333333331</c:v>
                </c:pt>
                <c:pt idx="34">
                  <c:v>0.2224444444444445</c:v>
                </c:pt>
                <c:pt idx="35">
                  <c:v>0.33800000000000002</c:v>
                </c:pt>
                <c:pt idx="36">
                  <c:v>0.23324444444444439</c:v>
                </c:pt>
                <c:pt idx="37">
                  <c:v>0.43804444444444451</c:v>
                </c:pt>
                <c:pt idx="38">
                  <c:v>0.2204444444444445</c:v>
                </c:pt>
                <c:pt idx="39">
                  <c:v>9.6777777777777782E-2</c:v>
                </c:pt>
                <c:pt idx="40">
                  <c:v>0.1137777777777778</c:v>
                </c:pt>
                <c:pt idx="41">
                  <c:v>0.1450666666666667</c:v>
                </c:pt>
                <c:pt idx="42">
                  <c:v>7.0000000000000007E-2</c:v>
                </c:pt>
                <c:pt idx="44">
                  <c:v>0.03</c:v>
                </c:pt>
                <c:pt idx="45">
                  <c:v>0.02</c:v>
                </c:pt>
                <c:pt idx="46">
                  <c:v>0.05</c:v>
                </c:pt>
                <c:pt idx="47">
                  <c:v>0.03</c:v>
                </c:pt>
                <c:pt idx="48">
                  <c:v>0.05</c:v>
                </c:pt>
                <c:pt idx="49">
                  <c:v>0.05</c:v>
                </c:pt>
                <c:pt idx="50">
                  <c:v>0.06</c:v>
                </c:pt>
                <c:pt idx="51">
                  <c:v>0.02</c:v>
                </c:pt>
                <c:pt idx="52">
                  <c:v>0.04</c:v>
                </c:pt>
                <c:pt idx="5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5-42A8-ACC8-2AA61E8A13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0033870918029758E-2"/>
                  <c:y val="-0.7500162479690039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2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'влекомый сток'!$X$29:$X$30</c:f>
              <c:numCache>
                <c:formatCode>General</c:formatCode>
                <c:ptCount val="2"/>
                <c:pt idx="0">
                  <c:v>0</c:v>
                </c:pt>
                <c:pt idx="1">
                  <c:v>0.85</c:v>
                </c:pt>
              </c:numCache>
            </c:numRef>
          </c:xVal>
          <c:yVal>
            <c:numRef>
              <c:f>'влекомый сток'!$Y$29:$Y$30</c:f>
              <c:numCache>
                <c:formatCode>General</c:formatCode>
                <c:ptCount val="2"/>
                <c:pt idx="0">
                  <c:v>0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5-42A8-ACC8-2AA61E8A1302}"/>
            </c:ext>
          </c:extLst>
        </c:ser>
        <c:ser>
          <c:idx val="2"/>
          <c:order val="2"/>
          <c:tx>
            <c:strRef>
              <c:f>'влекомый сток'!$J$1</c:f>
              <c:strCache>
                <c:ptCount val="1"/>
                <c:pt idx="0">
                  <c:v>Большие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'влекомый сток'!$F$2:$F$55</c:f>
              <c:numCache>
                <c:formatCode>General</c:formatCode>
                <c:ptCount val="54"/>
                <c:pt idx="0">
                  <c:v>1.67</c:v>
                </c:pt>
                <c:pt idx="1">
                  <c:v>1.66</c:v>
                </c:pt>
                <c:pt idx="2">
                  <c:v>1.53</c:v>
                </c:pt>
                <c:pt idx="3">
                  <c:v>1.56</c:v>
                </c:pt>
                <c:pt idx="4">
                  <c:v>1.81</c:v>
                </c:pt>
                <c:pt idx="5">
                  <c:v>1.69</c:v>
                </c:pt>
                <c:pt idx="6">
                  <c:v>1.69</c:v>
                </c:pt>
                <c:pt idx="7">
                  <c:v>2.81</c:v>
                </c:pt>
                <c:pt idx="8">
                  <c:v>2.81</c:v>
                </c:pt>
                <c:pt idx="9">
                  <c:v>2.71</c:v>
                </c:pt>
                <c:pt idx="10">
                  <c:v>2.71</c:v>
                </c:pt>
                <c:pt idx="11">
                  <c:v>2.75</c:v>
                </c:pt>
                <c:pt idx="12">
                  <c:v>3.08</c:v>
                </c:pt>
                <c:pt idx="13">
                  <c:v>3.08</c:v>
                </c:pt>
                <c:pt idx="14">
                  <c:v>2.46</c:v>
                </c:pt>
                <c:pt idx="15">
                  <c:v>2.57</c:v>
                </c:pt>
                <c:pt idx="16">
                  <c:v>1.759094853199993</c:v>
                </c:pt>
                <c:pt idx="17">
                  <c:v>1.5474190133999961</c:v>
                </c:pt>
                <c:pt idx="18">
                  <c:v>1.05515617679999</c:v>
                </c:pt>
                <c:pt idx="19">
                  <c:v>1.7244908802000041</c:v>
                </c:pt>
                <c:pt idx="20">
                  <c:v>1.3416103116000031</c:v>
                </c:pt>
                <c:pt idx="21">
                  <c:v>1.598238723599996</c:v>
                </c:pt>
                <c:pt idx="22">
                  <c:v>1.5183920825999939</c:v>
                </c:pt>
                <c:pt idx="23">
                  <c:v>1.5160689053999949</c:v>
                </c:pt>
                <c:pt idx="24">
                  <c:v>1.3825680101999891</c:v>
                </c:pt>
                <c:pt idx="25">
                  <c:v>1.3972884155999981</c:v>
                </c:pt>
                <c:pt idx="26">
                  <c:v>1.225799038800006</c:v>
                </c:pt>
                <c:pt idx="27">
                  <c:v>1.554329741400007</c:v>
                </c:pt>
                <c:pt idx="28">
                  <c:v>1.7290153312712271</c:v>
                </c:pt>
                <c:pt idx="29">
                  <c:v>1.7709427945317699</c:v>
                </c:pt>
                <c:pt idx="30">
                  <c:v>1.7436416392789249</c:v>
                </c:pt>
                <c:pt idx="31">
                  <c:v>1.8043718316612489</c:v>
                </c:pt>
                <c:pt idx="32">
                  <c:v>2.204039871754699</c:v>
                </c:pt>
                <c:pt idx="33">
                  <c:v>2.063020294670971</c:v>
                </c:pt>
                <c:pt idx="34">
                  <c:v>2.0169034876951701</c:v>
                </c:pt>
                <c:pt idx="35">
                  <c:v>2.1136497507983401</c:v>
                </c:pt>
                <c:pt idx="36">
                  <c:v>2.3390219687048299</c:v>
                </c:pt>
                <c:pt idx="37">
                  <c:v>2.3167505278715348</c:v>
                </c:pt>
                <c:pt idx="38">
                  <c:v>1.724478376766043</c:v>
                </c:pt>
                <c:pt idx="39">
                  <c:v>1.6658511142043331</c:v>
                </c:pt>
                <c:pt idx="40">
                  <c:v>1.7251051199999961</c:v>
                </c:pt>
                <c:pt idx="41">
                  <c:v>2.0705433600000038</c:v>
                </c:pt>
                <c:pt idx="42">
                  <c:v>1.868013759999992</c:v>
                </c:pt>
                <c:pt idx="43">
                  <c:v>2.5335758399999908</c:v>
                </c:pt>
                <c:pt idx="44">
                  <c:v>1.54105469888</c:v>
                </c:pt>
                <c:pt idx="45">
                  <c:v>1.5320506224799999</c:v>
                </c:pt>
                <c:pt idx="46">
                  <c:v>1.32184636616</c:v>
                </c:pt>
                <c:pt idx="47">
                  <c:v>1.31873586704</c:v>
                </c:pt>
                <c:pt idx="48">
                  <c:v>1.1116966800000001</c:v>
                </c:pt>
                <c:pt idx="49">
                  <c:v>1.3179173146400001</c:v>
                </c:pt>
                <c:pt idx="50">
                  <c:v>1.1872217814399999</c:v>
                </c:pt>
                <c:pt idx="51">
                  <c:v>0.85658118200000022</c:v>
                </c:pt>
                <c:pt idx="52">
                  <c:v>1.2718055294399999</c:v>
                </c:pt>
                <c:pt idx="53">
                  <c:v>0.99540766904</c:v>
                </c:pt>
              </c:numCache>
            </c:numRef>
          </c:xVal>
          <c:yVal>
            <c:numRef>
              <c:f>'влекомый сток'!$J$2:$J$55</c:f>
              <c:numCache>
                <c:formatCode>General</c:formatCode>
                <c:ptCount val="54"/>
                <c:pt idx="7">
                  <c:v>0.21290799999999999</c:v>
                </c:pt>
                <c:pt idx="8">
                  <c:v>3.9826666666666663E-2</c:v>
                </c:pt>
                <c:pt idx="9">
                  <c:v>0.53660571428571435</c:v>
                </c:pt>
                <c:pt idx="10">
                  <c:v>5.9200000000000003E-2</c:v>
                </c:pt>
                <c:pt idx="11">
                  <c:v>2.5440000000000001E-2</c:v>
                </c:pt>
                <c:pt idx="12">
                  <c:v>9.0000000000000011E-2</c:v>
                </c:pt>
                <c:pt idx="13">
                  <c:v>1.9588000000000001E-2</c:v>
                </c:pt>
                <c:pt idx="14">
                  <c:v>5.7593333333333323E-2</c:v>
                </c:pt>
                <c:pt idx="15">
                  <c:v>5.0099999999999999E-2</c:v>
                </c:pt>
                <c:pt idx="43">
                  <c:v>1.7173333333333329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6-46F0-881F-E7BD2218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64640"/>
        <c:axId val="1378965472"/>
      </c:scatterChart>
      <c:valAx>
        <c:axId val="13789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965472"/>
        <c:crosses val="autoZero"/>
        <c:crossBetween val="midCat"/>
      </c:valAx>
      <c:valAx>
        <c:axId val="137896547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влекомых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9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'Баланс наносов'!$I$1:$I$6</c:f>
              <c:strCache>
                <c:ptCount val="6"/>
                <c:pt idx="0">
                  <c:v>GA - GB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'Баланс наносов'!$A$7:$A$50</c:f>
              <c:numCache>
                <c:formatCode>General</c:formatCode>
                <c:ptCount val="44"/>
                <c:pt idx="0">
                  <c:v>1.69</c:v>
                </c:pt>
                <c:pt idx="1">
                  <c:v>2.81</c:v>
                </c:pt>
                <c:pt idx="2">
                  <c:v>2.71</c:v>
                </c:pt>
                <c:pt idx="3">
                  <c:v>2.75</c:v>
                </c:pt>
                <c:pt idx="4">
                  <c:v>3.08</c:v>
                </c:pt>
                <c:pt idx="5">
                  <c:v>2.46</c:v>
                </c:pt>
                <c:pt idx="6">
                  <c:v>2.57</c:v>
                </c:pt>
                <c:pt idx="7">
                  <c:v>1.759094853199993</c:v>
                </c:pt>
                <c:pt idx="8">
                  <c:v>1.5474190133999961</c:v>
                </c:pt>
                <c:pt idx="9">
                  <c:v>1.05515617679999</c:v>
                </c:pt>
                <c:pt idx="10">
                  <c:v>1.7244908802000041</c:v>
                </c:pt>
                <c:pt idx="11">
                  <c:v>1.3416103116000031</c:v>
                </c:pt>
                <c:pt idx="12">
                  <c:v>1.598238723599996</c:v>
                </c:pt>
                <c:pt idx="13">
                  <c:v>1.5183920825999939</c:v>
                </c:pt>
                <c:pt idx="14">
                  <c:v>1.5160689053999949</c:v>
                </c:pt>
                <c:pt idx="15">
                  <c:v>1.3825680101999891</c:v>
                </c:pt>
                <c:pt idx="16">
                  <c:v>1.3972884155999981</c:v>
                </c:pt>
                <c:pt idx="17">
                  <c:v>1.225799038800006</c:v>
                </c:pt>
                <c:pt idx="18">
                  <c:v>1.554329741400007</c:v>
                </c:pt>
                <c:pt idx="19">
                  <c:v>1.7290153312712271</c:v>
                </c:pt>
                <c:pt idx="20">
                  <c:v>1.7709427945317699</c:v>
                </c:pt>
                <c:pt idx="21">
                  <c:v>1.7436416392789249</c:v>
                </c:pt>
                <c:pt idx="22">
                  <c:v>1.8043718316612489</c:v>
                </c:pt>
                <c:pt idx="23">
                  <c:v>2.204039871754699</c:v>
                </c:pt>
                <c:pt idx="24">
                  <c:v>2.063020294670971</c:v>
                </c:pt>
                <c:pt idx="25">
                  <c:v>2.0169034876951701</c:v>
                </c:pt>
                <c:pt idx="26">
                  <c:v>2.1136497507983401</c:v>
                </c:pt>
                <c:pt idx="27">
                  <c:v>2.3390219687048299</c:v>
                </c:pt>
                <c:pt idx="28">
                  <c:v>2.3167505278715348</c:v>
                </c:pt>
                <c:pt idx="29">
                  <c:v>1.724478376766043</c:v>
                </c:pt>
                <c:pt idx="30">
                  <c:v>1.6658511142043331</c:v>
                </c:pt>
                <c:pt idx="31">
                  <c:v>1.7251051199999961</c:v>
                </c:pt>
                <c:pt idx="32">
                  <c:v>2.0705433600000038</c:v>
                </c:pt>
                <c:pt idx="33">
                  <c:v>1.868013759999992</c:v>
                </c:pt>
                <c:pt idx="34">
                  <c:v>2.5335758399999908</c:v>
                </c:pt>
                <c:pt idx="35">
                  <c:v>1.54105469888</c:v>
                </c:pt>
                <c:pt idx="36">
                  <c:v>1.5320506224799999</c:v>
                </c:pt>
                <c:pt idx="37">
                  <c:v>1.31873586704</c:v>
                </c:pt>
                <c:pt idx="38">
                  <c:v>1.1116966800000001</c:v>
                </c:pt>
                <c:pt idx="39">
                  <c:v>1.3179173146400001</c:v>
                </c:pt>
                <c:pt idx="40">
                  <c:v>1.1872217814399999</c:v>
                </c:pt>
                <c:pt idx="41">
                  <c:v>0.85658118200000022</c:v>
                </c:pt>
                <c:pt idx="42">
                  <c:v>1.2718055294399999</c:v>
                </c:pt>
                <c:pt idx="43">
                  <c:v>0.99540766904</c:v>
                </c:pt>
              </c:numCache>
            </c:numRef>
          </c:xVal>
          <c:yVal>
            <c:numRef>
              <c:f>'Баланс наносов'!$I$7:$I$50</c:f>
              <c:numCache>
                <c:formatCode>General</c:formatCode>
                <c:ptCount val="44"/>
                <c:pt idx="0">
                  <c:v>4.1919999999999999E-2</c:v>
                </c:pt>
                <c:pt idx="1">
                  <c:v>0.17308133333333331</c:v>
                </c:pt>
                <c:pt idx="2">
                  <c:v>0.47740571428571432</c:v>
                </c:pt>
                <c:pt idx="4">
                  <c:v>7.0412000000000002E-2</c:v>
                </c:pt>
                <c:pt idx="35">
                  <c:v>-0.03</c:v>
                </c:pt>
                <c:pt idx="36">
                  <c:v>0.01</c:v>
                </c:pt>
                <c:pt idx="37">
                  <c:v>-1.0000000000000002E-2</c:v>
                </c:pt>
                <c:pt idx="38">
                  <c:v>3.0000000000000002E-2</c:v>
                </c:pt>
                <c:pt idx="40">
                  <c:v>4.9999999999999996E-2</c:v>
                </c:pt>
                <c:pt idx="41">
                  <c:v>0.01</c:v>
                </c:pt>
                <c:pt idx="42">
                  <c:v>0.03</c:v>
                </c:pt>
                <c:pt idx="4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F-42C3-B9B7-30913B96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30207"/>
        <c:axId val="372525215"/>
      </c:scatterChart>
      <c:valAx>
        <c:axId val="3725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25215"/>
        <c:crosses val="autoZero"/>
        <c:crossBetween val="midCat"/>
      </c:valAx>
      <c:valAx>
        <c:axId val="3725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3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'Баланс наносов'!$I$1:$I$6</c:f>
              <c:strCache>
                <c:ptCount val="6"/>
                <c:pt idx="0">
                  <c:v>GA - GB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8.0000000000000016E-2"/>
            <c:dispRSqr val="0"/>
            <c:dispEq val="1"/>
            <c:trendlineLbl>
              <c:layout>
                <c:manualLayout>
                  <c:x val="-0.11316863517060373"/>
                  <c:y val="0.10976633129192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'Баланс наносов'!$A$7:$A$50</c:f>
              <c:numCache>
                <c:formatCode>General</c:formatCode>
                <c:ptCount val="44"/>
                <c:pt idx="0">
                  <c:v>1.69</c:v>
                </c:pt>
                <c:pt idx="1">
                  <c:v>2.81</c:v>
                </c:pt>
                <c:pt idx="2">
                  <c:v>2.71</c:v>
                </c:pt>
                <c:pt idx="3">
                  <c:v>2.75</c:v>
                </c:pt>
                <c:pt idx="4">
                  <c:v>3.08</c:v>
                </c:pt>
                <c:pt idx="5">
                  <c:v>2.46</c:v>
                </c:pt>
                <c:pt idx="6">
                  <c:v>2.57</c:v>
                </c:pt>
                <c:pt idx="7">
                  <c:v>1.759094853199993</c:v>
                </c:pt>
                <c:pt idx="8">
                  <c:v>1.5474190133999961</c:v>
                </c:pt>
                <c:pt idx="9">
                  <c:v>1.05515617679999</c:v>
                </c:pt>
                <c:pt idx="10">
                  <c:v>1.7244908802000041</c:v>
                </c:pt>
                <c:pt idx="11">
                  <c:v>1.3416103116000031</c:v>
                </c:pt>
                <c:pt idx="12">
                  <c:v>1.598238723599996</c:v>
                </c:pt>
                <c:pt idx="13">
                  <c:v>1.5183920825999939</c:v>
                </c:pt>
                <c:pt idx="14">
                  <c:v>1.5160689053999949</c:v>
                </c:pt>
                <c:pt idx="15">
                  <c:v>1.3825680101999891</c:v>
                </c:pt>
                <c:pt idx="16">
                  <c:v>1.3972884155999981</c:v>
                </c:pt>
                <c:pt idx="17">
                  <c:v>1.225799038800006</c:v>
                </c:pt>
                <c:pt idx="18">
                  <c:v>1.554329741400007</c:v>
                </c:pt>
                <c:pt idx="19">
                  <c:v>1.7290153312712271</c:v>
                </c:pt>
                <c:pt idx="20">
                  <c:v>1.7709427945317699</c:v>
                </c:pt>
                <c:pt idx="21">
                  <c:v>1.7436416392789249</c:v>
                </c:pt>
                <c:pt idx="22">
                  <c:v>1.8043718316612489</c:v>
                </c:pt>
                <c:pt idx="23">
                  <c:v>2.204039871754699</c:v>
                </c:pt>
                <c:pt idx="24">
                  <c:v>2.063020294670971</c:v>
                </c:pt>
                <c:pt idx="25">
                  <c:v>2.0169034876951701</c:v>
                </c:pt>
                <c:pt idx="26">
                  <c:v>2.1136497507983401</c:v>
                </c:pt>
                <c:pt idx="27">
                  <c:v>2.3390219687048299</c:v>
                </c:pt>
                <c:pt idx="28">
                  <c:v>2.3167505278715348</c:v>
                </c:pt>
                <c:pt idx="29">
                  <c:v>1.724478376766043</c:v>
                </c:pt>
                <c:pt idx="30">
                  <c:v>1.6658511142043331</c:v>
                </c:pt>
                <c:pt idx="31">
                  <c:v>1.7251051199999961</c:v>
                </c:pt>
                <c:pt idx="32">
                  <c:v>2.0705433600000038</c:v>
                </c:pt>
                <c:pt idx="33">
                  <c:v>1.868013759999992</c:v>
                </c:pt>
                <c:pt idx="34">
                  <c:v>2.5335758399999908</c:v>
                </c:pt>
                <c:pt idx="35">
                  <c:v>1.54105469888</c:v>
                </c:pt>
                <c:pt idx="36">
                  <c:v>1.5320506224799999</c:v>
                </c:pt>
                <c:pt idx="37">
                  <c:v>1.31873586704</c:v>
                </c:pt>
                <c:pt idx="38">
                  <c:v>1.1116966800000001</c:v>
                </c:pt>
                <c:pt idx="39">
                  <c:v>1.3179173146400001</c:v>
                </c:pt>
                <c:pt idx="40">
                  <c:v>1.1872217814399999</c:v>
                </c:pt>
                <c:pt idx="41">
                  <c:v>0.85658118200000022</c:v>
                </c:pt>
                <c:pt idx="42">
                  <c:v>1.2718055294399999</c:v>
                </c:pt>
                <c:pt idx="43">
                  <c:v>0.99540766904</c:v>
                </c:pt>
              </c:numCache>
            </c:numRef>
          </c:xVal>
          <c:yVal>
            <c:numRef>
              <c:f>'Баланс наносов'!$J$7:$J$50</c:f>
              <c:numCache>
                <c:formatCode>General</c:formatCode>
                <c:ptCount val="44"/>
                <c:pt idx="0">
                  <c:v>4.1919999999999999E-2</c:v>
                </c:pt>
                <c:pt idx="1">
                  <c:v>0.17308133333333331</c:v>
                </c:pt>
                <c:pt idx="2">
                  <c:v>0.47740571428571432</c:v>
                </c:pt>
                <c:pt idx="35">
                  <c:v>-0.03</c:v>
                </c:pt>
                <c:pt idx="36">
                  <c:v>0.01</c:v>
                </c:pt>
                <c:pt idx="37">
                  <c:v>-1.0000000000000002E-2</c:v>
                </c:pt>
                <c:pt idx="38">
                  <c:v>3.0000000000000002E-2</c:v>
                </c:pt>
                <c:pt idx="40">
                  <c:v>4.9999999999999996E-2</c:v>
                </c:pt>
                <c:pt idx="41">
                  <c:v>0.01</c:v>
                </c:pt>
                <c:pt idx="42">
                  <c:v>0.03</c:v>
                </c:pt>
                <c:pt idx="4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0-4E70-915B-56FE28F5BB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'Баланс наносов'!$A$11</c:f>
              <c:numCache>
                <c:formatCode>General</c:formatCode>
                <c:ptCount val="1"/>
                <c:pt idx="0">
                  <c:v>3.08</c:v>
                </c:pt>
              </c:numCache>
            </c:numRef>
          </c:xVal>
          <c:yVal>
            <c:numRef>
              <c:f>'Баланс наносов'!$K$11</c:f>
              <c:numCache>
                <c:formatCode>General</c:formatCode>
                <c:ptCount val="1"/>
                <c:pt idx="0">
                  <c:v>7.0412000000000002E-2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0-4E70-915B-56FE28F5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30207"/>
        <c:axId val="372525215"/>
      </c:scatterChart>
      <c:valAx>
        <c:axId val="3725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25215"/>
        <c:crosses val="autoZero"/>
        <c:crossBetween val="midCat"/>
      </c:valAx>
      <c:valAx>
        <c:axId val="372525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3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302559</xdr:colOff>
      <xdr:row>5</xdr:row>
      <xdr:rowOff>112058</xdr:rowOff>
    </xdr:from>
    <xdr:to>
      <xdr:col>24</xdr:col>
      <xdr:colOff>56029</xdr:colOff>
      <xdr:row>25</xdr:row>
      <xdr:rowOff>22412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549088</xdr:colOff>
      <xdr:row>29</xdr:row>
      <xdr:rowOff>190500</xdr:rowOff>
    </xdr:from>
    <xdr:to>
      <xdr:col>34</xdr:col>
      <xdr:colOff>56029</xdr:colOff>
      <xdr:row>43</xdr:row>
      <xdr:rowOff>56029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162485</xdr:colOff>
      <xdr:row>5</xdr:row>
      <xdr:rowOff>96370</xdr:rowOff>
    </xdr:from>
    <xdr:to>
      <xdr:col>31</xdr:col>
      <xdr:colOff>498662</xdr:colOff>
      <xdr:row>25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302558</xdr:colOff>
      <xdr:row>11</xdr:row>
      <xdr:rowOff>118781</xdr:rowOff>
    </xdr:from>
    <xdr:to>
      <xdr:col>22</xdr:col>
      <xdr:colOff>504264</xdr:colOff>
      <xdr:row>32</xdr:row>
      <xdr:rowOff>179294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401782</xdr:colOff>
      <xdr:row>4</xdr:row>
      <xdr:rowOff>134712</xdr:rowOff>
    </xdr:from>
    <xdr:to>
      <xdr:col>36</xdr:col>
      <xdr:colOff>597962</xdr:colOff>
      <xdr:row>28</xdr:row>
      <xdr:rowOff>41563</xdr:rowOff>
    </xdr:to>
    <xdr:grpSp>
      <xdr:nvGrpSpPr>
        <xdr:cNvPr id="8" name="Группа 7"/>
        <xdr:cNvGrpSpPr/>
      </xdr:nvGrpSpPr>
      <xdr:grpSpPr>
        <a:xfrm>
          <a:off x="18038618" y="1035257"/>
          <a:ext cx="5682580" cy="4229470"/>
          <a:chOff x="15170223" y="1035257"/>
          <a:chExt cx="4574721" cy="2587337"/>
        </a:xfrm>
      </xdr:grpSpPr>
      <xdr:graphicFrame macro="">
        <xdr:nvGraphicFramePr>
          <xdr:cNvPr id="3" name="Диаграмма 2"/>
          <xdr:cNvGraphicFramePr/>
        </xdr:nvGraphicFramePr>
        <xdr:xfrm>
          <a:off x="15170223" y="1035257"/>
          <a:ext cx="4574721" cy="2587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Прямая соединительная линия 5"/>
          <xdr:cNvCxnSpPr/>
        </xdr:nvCxnSpPr>
        <xdr:spPr>
          <a:xfrm>
            <a:off x="18382432" y="1512224"/>
            <a:ext cx="1123780" cy="4850"/>
          </a:xfrm>
          <a:prstGeom prst="line">
            <a:avLst/>
          </a:prstGeom>
          <a:ln w="22225">
            <a:solidFill>
              <a:schemeClr val="accent3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360218</xdr:colOff>
      <xdr:row>24</xdr:row>
      <xdr:rowOff>11723</xdr:rowOff>
    </xdr:from>
    <xdr:to>
      <xdr:col>30</xdr:col>
      <xdr:colOff>509953</xdr:colOff>
      <xdr:row>24</xdr:row>
      <xdr:rowOff>98612</xdr:rowOff>
    </xdr:to>
    <xdr:sp macro="" textlink="">
      <xdr:nvSpPr>
        <xdr:cNvPr id="7" name="Прямоугольник 6"/>
        <xdr:cNvSpPr/>
      </xdr:nvSpPr>
      <xdr:spPr>
        <a:xfrm>
          <a:off x="19808803" y="4554415"/>
          <a:ext cx="149735" cy="8688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0.75996</cdr:x>
      <cdr:y>0.01596</cdr:y>
    </cdr:from>
    <cdr:to>
      <cdr:x>0.8837</cdr:x>
      <cdr:y>0.08373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3476626" y="41500"/>
          <a:ext cx="566057" cy="176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tIns="10800" bIns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accent3">
                  <a:lumMod val="50000"/>
                </a:schemeClr>
              </a:solidFill>
            </a:rPr>
            <a:t>y</a:t>
          </a:r>
          <a:r>
            <a:rPr lang="en-US" sz="900" baseline="0">
              <a:solidFill>
                <a:schemeClr val="accent3">
                  <a:lumMod val="50000"/>
                </a:schemeClr>
              </a:solidFill>
            </a:rPr>
            <a:t> = 0,53</a:t>
          </a:r>
          <a:endParaRPr lang="ru-RU" sz="900">
            <a:solidFill>
              <a:schemeClr val="accent3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0</xdr:row>
      <xdr:rowOff>118110</xdr:rowOff>
    </xdr:from>
    <xdr:to>
      <xdr:col>17</xdr:col>
      <xdr:colOff>365760</xdr:colOff>
      <xdr:row>15</xdr:row>
      <xdr:rowOff>118110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d_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A7">
            <v>1.69</v>
          </cell>
        </row>
        <row r="8">
          <cell r="A8">
            <v>1.69</v>
          </cell>
        </row>
        <row r="9">
          <cell r="A9">
            <v>2.81</v>
          </cell>
        </row>
        <row r="10">
          <cell r="A10">
            <v>2.81</v>
          </cell>
        </row>
        <row r="11">
          <cell r="A11">
            <v>2.71</v>
          </cell>
        </row>
        <row r="12">
          <cell r="A12">
            <v>2.71</v>
          </cell>
        </row>
        <row r="13">
          <cell r="A13">
            <v>2.75</v>
          </cell>
        </row>
        <row r="14">
          <cell r="A14">
            <v>3.08</v>
          </cell>
        </row>
        <row r="15">
          <cell r="A15">
            <v>3.08</v>
          </cell>
        </row>
        <row r="16">
          <cell r="A16">
            <v>2.46</v>
          </cell>
        </row>
        <row r="17">
          <cell r="A17">
            <v>2.57</v>
          </cell>
        </row>
        <row r="18">
          <cell r="A18">
            <v>1.759094853199993</v>
          </cell>
        </row>
        <row r="19">
          <cell r="A19">
            <v>1.5474190133999961</v>
          </cell>
        </row>
        <row r="20">
          <cell r="A20">
            <v>1.05515617679999</v>
          </cell>
        </row>
        <row r="21">
          <cell r="A21">
            <v>1.7244908802000041</v>
          </cell>
        </row>
        <row r="22">
          <cell r="A22">
            <v>1.3416103116000031</v>
          </cell>
        </row>
        <row r="23">
          <cell r="A23">
            <v>1.598238723599996</v>
          </cell>
        </row>
        <row r="24">
          <cell r="A24">
            <v>1.5183920825999939</v>
          </cell>
        </row>
        <row r="25">
          <cell r="A25">
            <v>1.5160689053999949</v>
          </cell>
        </row>
        <row r="26">
          <cell r="A26">
            <v>1.3825680101999891</v>
          </cell>
        </row>
        <row r="27">
          <cell r="A27">
            <v>1.3972884155999981</v>
          </cell>
        </row>
        <row r="28">
          <cell r="A28">
            <v>1.225799038800006</v>
          </cell>
        </row>
        <row r="29">
          <cell r="A29">
            <v>1.554329741400007</v>
          </cell>
        </row>
        <row r="30">
          <cell r="A30">
            <v>1.7290153312712271</v>
          </cell>
        </row>
        <row r="31">
          <cell r="A31">
            <v>1.7709427945317699</v>
          </cell>
        </row>
        <row r="32">
          <cell r="A32">
            <v>1.7436416392789249</v>
          </cell>
        </row>
        <row r="33">
          <cell r="A33">
            <v>1.8043718316612489</v>
          </cell>
        </row>
        <row r="34">
          <cell r="A34">
            <v>2.204039871754699</v>
          </cell>
        </row>
        <row r="35">
          <cell r="A35">
            <v>2.063020294670971</v>
          </cell>
        </row>
        <row r="36">
          <cell r="A36">
            <v>2.0169034876951701</v>
          </cell>
        </row>
        <row r="37">
          <cell r="A37">
            <v>2.1136497507983401</v>
          </cell>
        </row>
        <row r="38">
          <cell r="A38">
            <v>2.3390219687048299</v>
          </cell>
        </row>
        <row r="39">
          <cell r="A39">
            <v>2.3167505278715348</v>
          </cell>
        </row>
        <row r="40">
          <cell r="A40">
            <v>1.724478376766043</v>
          </cell>
        </row>
        <row r="41">
          <cell r="A41">
            <v>1.6658511142043331</v>
          </cell>
        </row>
        <row r="42">
          <cell r="A42">
            <v>1.7251051199999961</v>
          </cell>
        </row>
        <row r="43">
          <cell r="A43">
            <v>2.0705433600000038</v>
          </cell>
        </row>
        <row r="44">
          <cell r="A44">
            <v>1.868013759999992</v>
          </cell>
        </row>
        <row r="45">
          <cell r="A45">
            <v>2.5335758399999908</v>
          </cell>
        </row>
        <row r="46">
          <cell r="A46">
            <v>4.2</v>
          </cell>
        </row>
        <row r="47">
          <cell r="A47">
            <v>5.54</v>
          </cell>
        </row>
        <row r="48">
          <cell r="A48">
            <v>5.07</v>
          </cell>
        </row>
        <row r="49">
          <cell r="A49">
            <v>3.64</v>
          </cell>
        </row>
        <row r="50">
          <cell r="A50">
            <v>2.64</v>
          </cell>
        </row>
        <row r="52">
          <cell r="A52">
            <v>2.58</v>
          </cell>
        </row>
        <row r="53">
          <cell r="A53">
            <v>0.82</v>
          </cell>
        </row>
        <row r="54">
          <cell r="A54">
            <v>1.08</v>
          </cell>
        </row>
        <row r="55">
          <cell r="A55">
            <v>1.03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6"/>
  <sheetViews>
    <sheetView zoomScale="70" zoomScaleNormal="70" workbookViewId="0">
      <pane xSplit="1" topLeftCell="Z1" activePane="topRight" state="frozen"/>
      <selection pane="topRight" activeCell="AV18" sqref="AV18"/>
    </sheetView>
  </sheetViews>
  <sheetFormatPr defaultRowHeight="14.4" x14ac:dyDescent="0.3"/>
  <cols>
    <col min="1" max="1" width="11.44140625" customWidth="1"/>
    <col min="7" max="7" width="8.88671875" style="39"/>
    <col min="11" max="11" width="8.88671875" style="39"/>
    <col min="12" max="12" width="8.88671875" style="55"/>
    <col min="14" max="14" width="15.6640625" customWidth="1"/>
    <col min="15" max="15" width="5.21875" customWidth="1"/>
    <col min="16" max="21" width="6.77734375" customWidth="1"/>
    <col min="22" max="22" width="6.77734375" style="41" customWidth="1"/>
    <col min="23" max="25" width="6.77734375" customWidth="1"/>
    <col min="26" max="26" width="6.77734375" style="48" customWidth="1"/>
    <col min="27" max="28" width="6.77734375" style="41" customWidth="1"/>
    <col min="29" max="29" width="6.77734375" style="43" customWidth="1"/>
    <col min="30" max="30" width="6.77734375" customWidth="1"/>
  </cols>
  <sheetData>
    <row r="1" spans="1:50" s="1" customFormat="1" ht="39.6" x14ac:dyDescent="0.3">
      <c r="A1" s="12" t="s">
        <v>0</v>
      </c>
      <c r="B1" s="12" t="s">
        <v>37</v>
      </c>
      <c r="C1" s="12" t="s">
        <v>1</v>
      </c>
      <c r="D1" s="12" t="s">
        <v>2</v>
      </c>
      <c r="E1" s="12" t="s">
        <v>3</v>
      </c>
      <c r="F1" s="12" t="s">
        <v>4</v>
      </c>
      <c r="G1" s="61" t="s">
        <v>5</v>
      </c>
      <c r="H1" s="12" t="s">
        <v>6</v>
      </c>
      <c r="I1" s="12" t="s">
        <v>7</v>
      </c>
      <c r="J1" s="12" t="s">
        <v>8</v>
      </c>
      <c r="K1" s="57" t="s">
        <v>84</v>
      </c>
      <c r="L1" s="53" t="s">
        <v>95</v>
      </c>
      <c r="M1" s="89" t="s">
        <v>146</v>
      </c>
      <c r="N1" s="12" t="s">
        <v>9</v>
      </c>
      <c r="O1" s="36"/>
      <c r="P1" s="21" t="s">
        <v>149</v>
      </c>
      <c r="Q1" s="21" t="s">
        <v>150</v>
      </c>
      <c r="R1" s="21" t="s">
        <v>151</v>
      </c>
      <c r="S1" s="21" t="s">
        <v>42</v>
      </c>
      <c r="T1" s="21" t="s">
        <v>152</v>
      </c>
      <c r="U1" s="21" t="s">
        <v>41</v>
      </c>
      <c r="V1" s="73" t="s">
        <v>139</v>
      </c>
      <c r="W1" s="21" t="s">
        <v>141</v>
      </c>
      <c r="X1" s="21" t="s">
        <v>142</v>
      </c>
      <c r="Y1" s="21" t="s">
        <v>143</v>
      </c>
      <c r="Z1" s="21" t="s">
        <v>153</v>
      </c>
      <c r="AA1" s="73" t="s">
        <v>43</v>
      </c>
      <c r="AB1" s="73" t="s">
        <v>87</v>
      </c>
      <c r="AC1" s="21" t="s">
        <v>154</v>
      </c>
      <c r="AD1" s="1" t="s">
        <v>155</v>
      </c>
      <c r="AF1" s="1" t="s">
        <v>316</v>
      </c>
      <c r="AG1" s="57" t="s">
        <v>84</v>
      </c>
    </row>
    <row r="2" spans="1:50" x14ac:dyDescent="0.3">
      <c r="A2" s="13" t="s">
        <v>10</v>
      </c>
      <c r="B2" s="14">
        <v>10.7</v>
      </c>
      <c r="C2" s="13" t="s">
        <v>11</v>
      </c>
      <c r="D2" s="15">
        <v>2.1</v>
      </c>
      <c r="E2" s="16">
        <v>536</v>
      </c>
      <c r="F2" s="13">
        <v>1.87</v>
      </c>
      <c r="G2" s="62" t="s">
        <v>11</v>
      </c>
      <c r="H2" s="13" t="s">
        <v>11</v>
      </c>
      <c r="I2" s="13" t="s">
        <v>11</v>
      </c>
      <c r="J2" s="13" t="s">
        <v>11</v>
      </c>
      <c r="K2" s="58" t="s">
        <v>11</v>
      </c>
      <c r="L2" s="55" t="str">
        <f>AB2</f>
        <v>-</v>
      </c>
      <c r="M2" s="87"/>
      <c r="N2" s="13" t="s">
        <v>36</v>
      </c>
      <c r="O2" s="37"/>
      <c r="P2" t="s">
        <v>10</v>
      </c>
      <c r="Q2" t="s">
        <v>156</v>
      </c>
      <c r="R2" t="s">
        <v>157</v>
      </c>
      <c r="S2" t="s">
        <v>158</v>
      </c>
      <c r="T2" t="s">
        <v>99</v>
      </c>
      <c r="U2" t="s">
        <v>159</v>
      </c>
      <c r="V2" s="41" t="s">
        <v>11</v>
      </c>
      <c r="W2" t="s">
        <v>11</v>
      </c>
      <c r="X2" t="s">
        <v>11</v>
      </c>
      <c r="Y2" t="s">
        <v>11</v>
      </c>
      <c r="Z2">
        <v>2.4E-2</v>
      </c>
      <c r="AA2" s="82">
        <v>0.16400000000000001</v>
      </c>
      <c r="AB2" s="85" t="s">
        <v>11</v>
      </c>
      <c r="AC2">
        <v>0.216</v>
      </c>
      <c r="AD2" t="s">
        <v>100</v>
      </c>
    </row>
    <row r="3" spans="1:50" x14ac:dyDescent="0.3">
      <c r="A3" s="13" t="s">
        <v>12</v>
      </c>
      <c r="B3" s="15">
        <v>8.98</v>
      </c>
      <c r="C3" s="13" t="s">
        <v>11</v>
      </c>
      <c r="D3" s="13">
        <v>1.77</v>
      </c>
      <c r="E3" s="16">
        <v>594</v>
      </c>
      <c r="F3" s="15">
        <v>1.3</v>
      </c>
      <c r="G3" s="63">
        <v>9.5000000000000001E-2</v>
      </c>
      <c r="H3" s="75">
        <f>X35</f>
        <v>3.35</v>
      </c>
      <c r="I3" s="15">
        <v>3.2000000000000001E-2</v>
      </c>
      <c r="J3" s="15">
        <v>2.1</v>
      </c>
      <c r="K3" s="58" t="s">
        <v>11</v>
      </c>
      <c r="L3" s="83">
        <f>AB3</f>
        <v>7.3389794849631235E-2</v>
      </c>
      <c r="M3" s="88">
        <f>G3-I3</f>
        <v>6.3E-2</v>
      </c>
      <c r="N3" s="13" t="s">
        <v>36</v>
      </c>
      <c r="O3" s="37"/>
      <c r="P3" t="s">
        <v>12</v>
      </c>
      <c r="Q3" t="s">
        <v>160</v>
      </c>
      <c r="R3" t="s">
        <v>161</v>
      </c>
      <c r="S3" t="s">
        <v>162</v>
      </c>
      <c r="T3" t="s">
        <v>101</v>
      </c>
      <c r="U3" t="s">
        <v>163</v>
      </c>
      <c r="V3" s="41">
        <v>9.5000000000000001E-2</v>
      </c>
      <c r="W3" t="s">
        <v>257</v>
      </c>
      <c r="X3" t="s">
        <v>164</v>
      </c>
      <c r="Y3" t="s">
        <v>258</v>
      </c>
      <c r="Z3">
        <v>1.7000000000000001E-2</v>
      </c>
      <c r="AA3" s="82">
        <v>0.114</v>
      </c>
      <c r="AB3" s="86">
        <f>AD34</f>
        <v>7.3389794849631235E-2</v>
      </c>
      <c r="AC3">
        <v>0.11</v>
      </c>
      <c r="AD3" t="s">
        <v>100</v>
      </c>
    </row>
    <row r="4" spans="1:50" x14ac:dyDescent="0.3">
      <c r="A4" s="13" t="s">
        <v>13</v>
      </c>
      <c r="B4" s="14">
        <v>11.4</v>
      </c>
      <c r="C4" s="13" t="s">
        <v>11</v>
      </c>
      <c r="D4" s="15">
        <v>1.4</v>
      </c>
      <c r="E4" s="16">
        <v>548</v>
      </c>
      <c r="F4" s="13">
        <v>0.89</v>
      </c>
      <c r="G4" s="64">
        <v>0.34</v>
      </c>
      <c r="H4" s="75">
        <f>X36</f>
        <v>2.39</v>
      </c>
      <c r="I4" s="15" t="s">
        <v>11</v>
      </c>
      <c r="J4" s="13" t="s">
        <v>11</v>
      </c>
      <c r="K4" s="58" t="s">
        <v>11</v>
      </c>
      <c r="L4" s="83">
        <f t="shared" ref="L3:L6" si="0">AB4</f>
        <v>0.28450146290772188</v>
      </c>
      <c r="M4" s="88"/>
      <c r="N4" s="13" t="s">
        <v>36</v>
      </c>
      <c r="O4" s="37"/>
      <c r="P4" t="s">
        <v>13</v>
      </c>
      <c r="Q4" t="s">
        <v>166</v>
      </c>
      <c r="R4" t="s">
        <v>167</v>
      </c>
      <c r="S4" t="s">
        <v>168</v>
      </c>
      <c r="T4" t="s">
        <v>102</v>
      </c>
      <c r="U4" t="s">
        <v>169</v>
      </c>
      <c r="V4" s="41">
        <v>0.33500000000000002</v>
      </c>
      <c r="W4" t="s">
        <v>256</v>
      </c>
      <c r="X4" t="s">
        <v>11</v>
      </c>
      <c r="Y4" t="s">
        <v>11</v>
      </c>
      <c r="Z4">
        <v>7.0000000000000001E-3</v>
      </c>
      <c r="AA4" s="82">
        <v>7.6999999999999999E-2</v>
      </c>
      <c r="AB4" s="86">
        <f>AD35</f>
        <v>0.28450146290772188</v>
      </c>
      <c r="AC4">
        <v>3.5000000000000003E-2</v>
      </c>
      <c r="AD4" t="s">
        <v>100</v>
      </c>
    </row>
    <row r="5" spans="1:50" x14ac:dyDescent="0.3">
      <c r="A5" s="13" t="s">
        <v>14</v>
      </c>
      <c r="B5" s="15">
        <v>9.4</v>
      </c>
      <c r="C5" s="13" t="s">
        <v>11</v>
      </c>
      <c r="D5" s="13">
        <v>1.1599999999999999</v>
      </c>
      <c r="E5" s="16">
        <v>273</v>
      </c>
      <c r="F5" s="15">
        <v>0.34899999999999998</v>
      </c>
      <c r="G5" s="62" t="s">
        <v>11</v>
      </c>
      <c r="H5" s="13" t="s">
        <v>11</v>
      </c>
      <c r="I5" s="15" t="s">
        <v>11</v>
      </c>
      <c r="J5" s="13" t="s">
        <v>11</v>
      </c>
      <c r="K5" s="58" t="s">
        <v>11</v>
      </c>
      <c r="L5" s="83" t="str">
        <f t="shared" si="0"/>
        <v>-</v>
      </c>
      <c r="M5" s="88"/>
      <c r="N5" s="13" t="s">
        <v>36</v>
      </c>
      <c r="O5" s="37"/>
      <c r="P5" t="s">
        <v>14</v>
      </c>
      <c r="Q5" t="s">
        <v>170</v>
      </c>
      <c r="R5" t="s">
        <v>171</v>
      </c>
      <c r="S5" t="s">
        <v>172</v>
      </c>
      <c r="T5" t="s">
        <v>103</v>
      </c>
      <c r="U5" t="s">
        <v>173</v>
      </c>
      <c r="V5" s="41" t="s">
        <v>11</v>
      </c>
      <c r="W5" t="s">
        <v>11</v>
      </c>
      <c r="X5" t="s">
        <v>11</v>
      </c>
      <c r="Y5" t="s">
        <v>11</v>
      </c>
      <c r="Z5">
        <v>6.0000000000000001E-3</v>
      </c>
      <c r="AA5" s="82">
        <v>3.1E-2</v>
      </c>
      <c r="AB5" s="85" t="s">
        <v>11</v>
      </c>
      <c r="AC5">
        <v>0.03</v>
      </c>
      <c r="AD5" t="s">
        <v>100</v>
      </c>
      <c r="AS5" s="2" t="e">
        <f>D8*60*60*24</f>
        <v>#VALUE!</v>
      </c>
      <c r="AT5" t="s">
        <v>20</v>
      </c>
      <c r="AV5" s="3" t="e">
        <f>F8*60*60*24</f>
        <v>#VALUE!</v>
      </c>
      <c r="AW5" s="5" t="e">
        <f>AV5/1000000</f>
        <v>#VALUE!</v>
      </c>
      <c r="AX5" t="s">
        <v>24</v>
      </c>
    </row>
    <row r="6" spans="1:50" x14ac:dyDescent="0.3">
      <c r="A6" s="13" t="s">
        <v>15</v>
      </c>
      <c r="B6" s="14">
        <v>10.7</v>
      </c>
      <c r="C6" s="13" t="s">
        <v>11</v>
      </c>
      <c r="D6" s="13">
        <v>1.21</v>
      </c>
      <c r="E6" s="16">
        <v>402</v>
      </c>
      <c r="F6" s="15">
        <v>0.60499999999999998</v>
      </c>
      <c r="G6" s="63">
        <v>3.6999999999999998E-2</v>
      </c>
      <c r="H6" s="13">
        <f>X37</f>
        <v>1.63</v>
      </c>
      <c r="I6" s="15">
        <v>2.4E-2</v>
      </c>
      <c r="J6" s="13">
        <v>3.18</v>
      </c>
      <c r="K6" s="58" t="s">
        <v>11</v>
      </c>
      <c r="L6" s="83">
        <f t="shared" si="0"/>
        <v>0.40709114309588051</v>
      </c>
      <c r="M6" s="88">
        <f t="shared" ref="M4:M6" si="1">G6-I6</f>
        <v>1.2999999999999998E-2</v>
      </c>
      <c r="N6" s="13" t="s">
        <v>36</v>
      </c>
      <c r="O6" s="37"/>
      <c r="P6" t="s">
        <v>15</v>
      </c>
      <c r="Q6" t="s">
        <v>156</v>
      </c>
      <c r="R6" t="s">
        <v>174</v>
      </c>
      <c r="S6" t="s">
        <v>175</v>
      </c>
      <c r="T6" t="s">
        <v>104</v>
      </c>
      <c r="U6" t="s">
        <v>176</v>
      </c>
      <c r="V6" s="41">
        <v>3.6999999999999998E-2</v>
      </c>
      <c r="W6" t="s">
        <v>177</v>
      </c>
      <c r="X6" t="s">
        <v>178</v>
      </c>
      <c r="Y6" t="s">
        <v>179</v>
      </c>
      <c r="Z6">
        <v>4.0000000000000001E-3</v>
      </c>
      <c r="AA6" s="82">
        <v>5.2999999999999999E-2</v>
      </c>
      <c r="AB6" s="86">
        <f>AD36</f>
        <v>0.40709114309588051</v>
      </c>
      <c r="AC6">
        <v>1.6E-2</v>
      </c>
      <c r="AD6" t="s">
        <v>100</v>
      </c>
      <c r="AN6" s="10">
        <v>0.28699999999999998</v>
      </c>
      <c r="AS6" s="2" t="e">
        <f>D9*60*60*24</f>
        <v>#VALUE!</v>
      </c>
      <c r="AT6" t="s">
        <v>21</v>
      </c>
      <c r="AV6" s="3" t="e">
        <f>F9*60*60*24</f>
        <v>#VALUE!</v>
      </c>
      <c r="AW6" s="5" t="e">
        <f t="shared" ref="AW6:AW10" si="2">AV6/1000000</f>
        <v>#VALUE!</v>
      </c>
      <c r="AX6" t="s">
        <v>25</v>
      </c>
    </row>
    <row r="7" spans="1:50" x14ac:dyDescent="0.3">
      <c r="A7" s="17" t="s">
        <v>38</v>
      </c>
      <c r="B7" s="18">
        <f>AVERAGE(B2:B6)</f>
        <v>10.235999999999999</v>
      </c>
      <c r="C7" s="18"/>
      <c r="D7" s="19">
        <f t="shared" ref="D7:J7" si="3">AVERAGE(D2:D6)</f>
        <v>1.528</v>
      </c>
      <c r="E7" s="20">
        <f t="shared" si="3"/>
        <v>470.6</v>
      </c>
      <c r="F7" s="18">
        <f t="shared" si="3"/>
        <v>1.0027999999999999</v>
      </c>
      <c r="G7" s="64">
        <f>AVERAGE(G2:G6)</f>
        <v>0.15733333333333335</v>
      </c>
      <c r="H7" s="64">
        <f t="shared" si="3"/>
        <v>2.4566666666666666</v>
      </c>
      <c r="I7" s="19">
        <f t="shared" si="3"/>
        <v>2.8000000000000001E-2</v>
      </c>
      <c r="J7" s="19">
        <f t="shared" si="3"/>
        <v>2.64</v>
      </c>
      <c r="K7" s="58" t="s">
        <v>11</v>
      </c>
      <c r="L7" s="83">
        <f>AVERAGE(L2:L6)</f>
        <v>0.25499413361774453</v>
      </c>
      <c r="M7" s="90">
        <f>AVERAGE(M3:M6)</f>
        <v>3.7999999999999999E-2</v>
      </c>
      <c r="N7" s="17" t="s">
        <v>36</v>
      </c>
      <c r="O7" s="38"/>
      <c r="Z7"/>
      <c r="AB7" s="85"/>
      <c r="AC7"/>
      <c r="AN7" s="10">
        <v>0.36</v>
      </c>
      <c r="AP7">
        <v>0.17</v>
      </c>
      <c r="AS7" s="2"/>
      <c r="AV7" s="3"/>
      <c r="AW7" s="5"/>
    </row>
    <row r="8" spans="1:50" x14ac:dyDescent="0.3">
      <c r="A8" s="13" t="s">
        <v>10</v>
      </c>
      <c r="B8" s="13" t="s">
        <v>11</v>
      </c>
      <c r="C8" s="16">
        <v>511</v>
      </c>
      <c r="D8" s="16" t="s">
        <v>30</v>
      </c>
      <c r="E8" s="13" t="s">
        <v>11</v>
      </c>
      <c r="F8" s="16" t="s">
        <v>31</v>
      </c>
      <c r="G8" s="64" t="str">
        <f>CONCATENATE(ROUND(Z8,2),"·10⁶")</f>
        <v>2,42·10⁶</v>
      </c>
      <c r="H8" s="13" t="s">
        <v>11</v>
      </c>
      <c r="I8" s="13" t="s">
        <v>11</v>
      </c>
      <c r="J8" s="13" t="s">
        <v>11</v>
      </c>
      <c r="K8" s="65" t="str">
        <f>CONCATENATE(ROUND(AG8,1),"·10⁶")</f>
        <v>18,6·10⁶</v>
      </c>
      <c r="L8" s="51">
        <f>Z8/AA8</f>
        <v>0.14756097560975612</v>
      </c>
      <c r="M8" s="87" t="str">
        <f>AV27</f>
        <v>1,87·10⁶</v>
      </c>
      <c r="N8" s="13" t="s">
        <v>29</v>
      </c>
      <c r="O8" s="37"/>
      <c r="P8" t="s">
        <v>10</v>
      </c>
      <c r="Q8" t="s">
        <v>105</v>
      </c>
      <c r="R8" t="s">
        <v>106</v>
      </c>
      <c r="S8" t="s">
        <v>180</v>
      </c>
      <c r="T8" t="s">
        <v>107</v>
      </c>
      <c r="U8" t="s">
        <v>181</v>
      </c>
      <c r="V8" s="41">
        <v>0</v>
      </c>
      <c r="W8" t="s">
        <v>182</v>
      </c>
      <c r="X8" t="s">
        <v>182</v>
      </c>
      <c r="Y8" t="s">
        <v>182</v>
      </c>
      <c r="Z8">
        <v>2.42</v>
      </c>
      <c r="AA8" s="41">
        <v>16.399999999999999</v>
      </c>
      <c r="AB8" s="86">
        <f>Z8/AA8</f>
        <v>0.14756097560975612</v>
      </c>
      <c r="AC8">
        <v>21.6</v>
      </c>
      <c r="AD8" t="s">
        <v>108</v>
      </c>
      <c r="AE8">
        <f>Z8</f>
        <v>2.42</v>
      </c>
      <c r="AF8">
        <v>16.2</v>
      </c>
      <c r="AG8">
        <f>AF8+AE8</f>
        <v>18.619999999999997</v>
      </c>
      <c r="AN8" s="10">
        <v>0.43</v>
      </c>
      <c r="AP8">
        <v>0.127</v>
      </c>
      <c r="AS8" s="2" t="e">
        <f>D10*60*60*24</f>
        <v>#VALUE!</v>
      </c>
      <c r="AT8" t="s">
        <v>22</v>
      </c>
      <c r="AV8" s="3" t="e">
        <f>F10*60*60*24</f>
        <v>#VALUE!</v>
      </c>
      <c r="AW8" s="4" t="e">
        <f t="shared" si="2"/>
        <v>#VALUE!</v>
      </c>
      <c r="AX8" t="s">
        <v>26</v>
      </c>
    </row>
    <row r="9" spans="1:50" x14ac:dyDescent="0.3">
      <c r="A9" s="13" t="s">
        <v>12</v>
      </c>
      <c r="B9" s="13" t="s">
        <v>11</v>
      </c>
      <c r="C9" s="16">
        <v>570</v>
      </c>
      <c r="D9" s="16" t="s">
        <v>32</v>
      </c>
      <c r="E9" s="13" t="s">
        <v>11</v>
      </c>
      <c r="F9" s="16" t="s">
        <v>33</v>
      </c>
      <c r="G9" s="64" t="str">
        <f t="shared" ref="G9:G12" si="4">CONCATENATE(ROUND(Z9,2),"·10⁶")</f>
        <v>1,72·10⁶</v>
      </c>
      <c r="H9" s="13" t="s">
        <v>11</v>
      </c>
      <c r="I9" s="13" t="s">
        <v>11</v>
      </c>
      <c r="J9" s="13" t="s">
        <v>11</v>
      </c>
      <c r="K9" s="65" t="str">
        <f>CONCATENATE(ROUND(AG9,1),"·10⁶")</f>
        <v>13,1·10⁶</v>
      </c>
      <c r="L9" s="51">
        <f>Z9/AA9</f>
        <v>0.14827586206896551</v>
      </c>
      <c r="M9" s="87" t="str">
        <f t="shared" ref="M9:M13" si="5">AV28</f>
        <v>0,97·10⁶</v>
      </c>
      <c r="N9" s="13" t="s">
        <v>29</v>
      </c>
      <c r="O9" s="37"/>
      <c r="P9" t="s">
        <v>12</v>
      </c>
      <c r="Q9" t="s">
        <v>109</v>
      </c>
      <c r="R9" t="s">
        <v>110</v>
      </c>
      <c r="S9" t="s">
        <v>183</v>
      </c>
      <c r="T9" t="s">
        <v>111</v>
      </c>
      <c r="U9" t="s">
        <v>184</v>
      </c>
      <c r="V9" s="41">
        <v>1.52</v>
      </c>
      <c r="W9" t="s">
        <v>259</v>
      </c>
      <c r="X9" t="s">
        <v>185</v>
      </c>
      <c r="Y9" t="s">
        <v>260</v>
      </c>
      <c r="Z9">
        <v>1.72</v>
      </c>
      <c r="AA9" s="41">
        <v>11.6</v>
      </c>
      <c r="AB9" s="86">
        <f t="shared" ref="AB9:AB12" si="6">Z9/AA9</f>
        <v>0.14827586206896551</v>
      </c>
      <c r="AC9">
        <v>11.2</v>
      </c>
      <c r="AD9" t="s">
        <v>108</v>
      </c>
      <c r="AE9">
        <f t="shared" ref="AE9:AE12" si="7">Z9</f>
        <v>1.72</v>
      </c>
      <c r="AF9">
        <v>11.4</v>
      </c>
      <c r="AG9">
        <f t="shared" ref="AG9:AG12" si="8">AF9+AE9</f>
        <v>13.120000000000001</v>
      </c>
      <c r="AH9" s="5"/>
      <c r="AN9" s="10">
        <v>0.66700000000000004</v>
      </c>
      <c r="AP9">
        <v>9.5000000000000001E-2</v>
      </c>
      <c r="AS9" s="2" t="e">
        <f>D11*60*60*24</f>
        <v>#VALUE!</v>
      </c>
      <c r="AT9" t="s">
        <v>23</v>
      </c>
      <c r="AV9" s="3" t="e">
        <f>F11*60*60*24</f>
        <v>#VALUE!</v>
      </c>
      <c r="AW9" s="4" t="e">
        <f t="shared" si="2"/>
        <v>#VALUE!</v>
      </c>
      <c r="AX9" t="s">
        <v>27</v>
      </c>
    </row>
    <row r="10" spans="1:50" x14ac:dyDescent="0.3">
      <c r="A10" s="13" t="s">
        <v>13</v>
      </c>
      <c r="B10" s="13" t="s">
        <v>11</v>
      </c>
      <c r="C10" s="16">
        <v>482</v>
      </c>
      <c r="D10" s="16" t="s">
        <v>34</v>
      </c>
      <c r="E10" s="13" t="s">
        <v>11</v>
      </c>
      <c r="F10" s="13" t="s">
        <v>136</v>
      </c>
      <c r="G10" s="64" t="str">
        <f t="shared" si="4"/>
        <v>0,75·10⁶</v>
      </c>
      <c r="H10" s="13" t="s">
        <v>11</v>
      </c>
      <c r="I10" s="13" t="s">
        <v>11</v>
      </c>
      <c r="J10" s="13" t="s">
        <v>11</v>
      </c>
      <c r="K10" s="65" t="str">
        <f>CONCATENATE(ROUND(AG10,2),"·10⁶")</f>
        <v>9,05·10⁶</v>
      </c>
      <c r="L10" s="51">
        <f>Z10/AA10</f>
        <v>8.9844683393070501E-2</v>
      </c>
      <c r="M10" s="87" t="str">
        <f t="shared" si="5"/>
        <v>0,33·10⁶</v>
      </c>
      <c r="N10" s="13" t="s">
        <v>29</v>
      </c>
      <c r="O10" s="37"/>
      <c r="P10" t="s">
        <v>13</v>
      </c>
      <c r="Q10" t="s">
        <v>112</v>
      </c>
      <c r="R10" t="s">
        <v>113</v>
      </c>
      <c r="S10" t="s">
        <v>187</v>
      </c>
      <c r="T10" t="s">
        <v>114</v>
      </c>
      <c r="U10" t="s">
        <v>188</v>
      </c>
      <c r="V10" s="41">
        <v>9.3699999999999992</v>
      </c>
      <c r="W10" t="s">
        <v>261</v>
      </c>
      <c r="X10" t="s">
        <v>182</v>
      </c>
      <c r="Y10" t="s">
        <v>182</v>
      </c>
      <c r="Z10">
        <v>0.752</v>
      </c>
      <c r="AA10" s="41">
        <v>8.3699999999999992</v>
      </c>
      <c r="AB10" s="86">
        <f t="shared" si="6"/>
        <v>8.9844683393070501E-2</v>
      </c>
      <c r="AC10">
        <v>3.77</v>
      </c>
      <c r="AD10" t="s">
        <v>108</v>
      </c>
      <c r="AE10">
        <f t="shared" si="7"/>
        <v>0.752</v>
      </c>
      <c r="AF10">
        <v>8.3000000000000007</v>
      </c>
      <c r="AG10">
        <f t="shared" si="8"/>
        <v>9.0520000000000014</v>
      </c>
      <c r="AN10" s="10">
        <v>0.47099999999999997</v>
      </c>
      <c r="AP10">
        <v>4.2999999999999997E-2</v>
      </c>
      <c r="AS10" s="2" t="e">
        <f>D12*60*60*24</f>
        <v>#VALUE!</v>
      </c>
      <c r="AT10" t="s">
        <v>19</v>
      </c>
      <c r="AV10" s="3" t="e">
        <f>F12*60*60*24</f>
        <v>#VALUE!</v>
      </c>
      <c r="AW10" s="4" t="e">
        <f t="shared" si="2"/>
        <v>#VALUE!</v>
      </c>
      <c r="AX10" t="s">
        <v>28</v>
      </c>
    </row>
    <row r="11" spans="1:50" x14ac:dyDescent="0.3">
      <c r="A11" s="13" t="s">
        <v>14</v>
      </c>
      <c r="B11" s="13" t="s">
        <v>11</v>
      </c>
      <c r="C11" s="16">
        <v>536</v>
      </c>
      <c r="D11" s="16" t="s">
        <v>35</v>
      </c>
      <c r="E11" s="13" t="s">
        <v>11</v>
      </c>
      <c r="F11" s="13" t="s">
        <v>135</v>
      </c>
      <c r="G11" s="64" t="str">
        <f t="shared" si="4"/>
        <v>0,61·10⁶</v>
      </c>
      <c r="H11" s="13" t="s">
        <v>11</v>
      </c>
      <c r="I11" s="13" t="s">
        <v>11</v>
      </c>
      <c r="J11" s="13" t="s">
        <v>11</v>
      </c>
      <c r="K11" s="65" t="str">
        <f>CONCATENATE(ROUND(AG11,2),"·10⁶")</f>
        <v>3,61·10⁶</v>
      </c>
      <c r="L11" s="51">
        <f>Z11/AA11</f>
        <v>0.20166112956810633</v>
      </c>
      <c r="M11" s="87" t="str">
        <f t="shared" si="5"/>
        <v>0,25·10⁶</v>
      </c>
      <c r="N11" s="13" t="s">
        <v>29</v>
      </c>
      <c r="O11" s="37"/>
      <c r="P11" t="s">
        <v>14</v>
      </c>
      <c r="Q11" t="s">
        <v>115</v>
      </c>
      <c r="R11" t="s">
        <v>99</v>
      </c>
      <c r="S11" t="s">
        <v>189</v>
      </c>
      <c r="T11" t="s">
        <v>116</v>
      </c>
      <c r="U11" t="s">
        <v>190</v>
      </c>
      <c r="V11" s="41">
        <v>0</v>
      </c>
      <c r="W11" t="s">
        <v>182</v>
      </c>
      <c r="X11" t="s">
        <v>182</v>
      </c>
      <c r="Y11" t="s">
        <v>182</v>
      </c>
      <c r="Z11">
        <v>0.60699999999999998</v>
      </c>
      <c r="AA11" s="41">
        <v>3.01</v>
      </c>
      <c r="AB11" s="86">
        <f t="shared" si="6"/>
        <v>0.20166112956810633</v>
      </c>
      <c r="AC11">
        <v>2.93</v>
      </c>
      <c r="AD11" t="s">
        <v>108</v>
      </c>
      <c r="AE11">
        <f t="shared" si="7"/>
        <v>0.60699999999999998</v>
      </c>
      <c r="AF11">
        <v>3</v>
      </c>
      <c r="AG11">
        <f t="shared" si="8"/>
        <v>3.6070000000000002</v>
      </c>
      <c r="AN11" s="11">
        <v>28.7</v>
      </c>
      <c r="AP11">
        <v>7.3999999999999996E-2</v>
      </c>
    </row>
    <row r="12" spans="1:50" x14ac:dyDescent="0.3">
      <c r="A12" s="13" t="s">
        <v>15</v>
      </c>
      <c r="B12" s="13" t="s">
        <v>11</v>
      </c>
      <c r="C12" s="16">
        <v>746</v>
      </c>
      <c r="D12" s="16" t="s">
        <v>133</v>
      </c>
      <c r="E12" s="13" t="s">
        <v>11</v>
      </c>
      <c r="F12" s="13" t="s">
        <v>137</v>
      </c>
      <c r="G12" s="64" t="str">
        <f t="shared" si="4"/>
        <v>0,46·10⁶</v>
      </c>
      <c r="H12" s="13" t="s">
        <v>11</v>
      </c>
      <c r="I12" s="13" t="s">
        <v>11</v>
      </c>
      <c r="J12" s="13" t="s">
        <v>11</v>
      </c>
      <c r="K12" s="65" t="str">
        <f>CONCATENATE(ROUND(AG12,2),"·10⁶")</f>
        <v>5,96·10⁶</v>
      </c>
      <c r="L12" s="51">
        <f>Z12/AA12</f>
        <v>8.2608695652173922E-2</v>
      </c>
      <c r="M12" s="87" t="str">
        <f t="shared" si="5"/>
        <v>0,14·10⁶</v>
      </c>
      <c r="N12" s="13" t="s">
        <v>29</v>
      </c>
      <c r="O12" s="37"/>
      <c r="P12" t="s">
        <v>15</v>
      </c>
      <c r="Q12" t="s">
        <v>117</v>
      </c>
      <c r="R12" t="s">
        <v>118</v>
      </c>
      <c r="S12" t="s">
        <v>191</v>
      </c>
      <c r="T12" t="s">
        <v>119</v>
      </c>
      <c r="U12" t="s">
        <v>192</v>
      </c>
      <c r="V12" s="41">
        <v>0.37</v>
      </c>
      <c r="W12" t="s">
        <v>193</v>
      </c>
      <c r="X12" t="s">
        <v>194</v>
      </c>
      <c r="Y12" t="s">
        <v>195</v>
      </c>
      <c r="Z12">
        <v>0.45600000000000002</v>
      </c>
      <c r="AA12" s="41">
        <v>5.52</v>
      </c>
      <c r="AB12" s="86">
        <f t="shared" si="6"/>
        <v>8.2608695652173922E-2</v>
      </c>
      <c r="AC12">
        <v>1.64</v>
      </c>
      <c r="AD12" t="s">
        <v>108</v>
      </c>
      <c r="AE12">
        <f t="shared" si="7"/>
        <v>0.45600000000000002</v>
      </c>
      <c r="AF12">
        <v>5.5</v>
      </c>
      <c r="AG12">
        <f t="shared" si="8"/>
        <v>5.9560000000000004</v>
      </c>
      <c r="AN12" s="11">
        <v>36.700000000000003</v>
      </c>
    </row>
    <row r="13" spans="1:50" x14ac:dyDescent="0.3">
      <c r="A13" s="17" t="s">
        <v>38</v>
      </c>
      <c r="B13" s="17" t="s">
        <v>11</v>
      </c>
      <c r="C13" s="17">
        <f>AVERAGE(C8:C12)</f>
        <v>569</v>
      </c>
      <c r="D13" s="17" t="s">
        <v>134</v>
      </c>
      <c r="E13" s="17" t="s">
        <v>11</v>
      </c>
      <c r="F13" s="17" t="s">
        <v>138</v>
      </c>
      <c r="G13" s="64" t="str">
        <f>CONCATENATE(ROUND(Z13,2),"·10⁶")</f>
        <v>1,19·10⁶</v>
      </c>
      <c r="H13" s="17" t="s">
        <v>11</v>
      </c>
      <c r="I13" s="17" t="s">
        <v>11</v>
      </c>
      <c r="J13" s="17" t="s">
        <v>11</v>
      </c>
      <c r="K13" s="65" t="str">
        <f>CONCATENATE(ROUND(AG13,1),"·10⁶")</f>
        <v>10,1·10⁶</v>
      </c>
      <c r="L13" s="52">
        <f>AVERAGE(L8:L12)</f>
        <v>0.13399026925841445</v>
      </c>
      <c r="M13" s="87" t="str">
        <f t="shared" si="5"/>
        <v>0,71·10⁶</v>
      </c>
      <c r="N13" s="17" t="s">
        <v>88</v>
      </c>
      <c r="O13" s="38"/>
      <c r="Z13">
        <f>AVERAGE(Z8:Z12)</f>
        <v>1.1910000000000001</v>
      </c>
      <c r="AB13" s="85"/>
      <c r="AC13"/>
      <c r="AF13">
        <v>8.86</v>
      </c>
      <c r="AG13">
        <f>Z13+AF13</f>
        <v>10.051</v>
      </c>
      <c r="AN13" s="11">
        <v>46.4</v>
      </c>
    </row>
    <row r="14" spans="1:50" x14ac:dyDescent="0.3">
      <c r="A14" s="13" t="s">
        <v>10</v>
      </c>
      <c r="B14" s="15">
        <v>4.9000000000000004</v>
      </c>
      <c r="C14" s="13">
        <v>0</v>
      </c>
      <c r="D14" s="15">
        <v>0.42</v>
      </c>
      <c r="E14" s="16">
        <v>213</v>
      </c>
      <c r="F14" s="15">
        <v>0.09</v>
      </c>
      <c r="G14" s="62" t="s">
        <v>11</v>
      </c>
      <c r="H14" s="13" t="s">
        <v>11</v>
      </c>
      <c r="I14" s="13" t="s">
        <v>11</v>
      </c>
      <c r="J14" s="13" t="s">
        <v>11</v>
      </c>
      <c r="K14" s="58" t="s">
        <v>11</v>
      </c>
      <c r="L14" s="84" t="s">
        <v>322</v>
      </c>
      <c r="M14" s="87">
        <v>0</v>
      </c>
      <c r="N14" s="13" t="s">
        <v>16</v>
      </c>
      <c r="O14" s="37"/>
      <c r="P14" t="s">
        <v>10</v>
      </c>
      <c r="Q14" t="s">
        <v>196</v>
      </c>
      <c r="R14" t="s">
        <v>182</v>
      </c>
      <c r="S14" t="s">
        <v>197</v>
      </c>
      <c r="T14" t="s">
        <v>120</v>
      </c>
      <c r="U14" t="s">
        <v>198</v>
      </c>
      <c r="V14" s="41" t="s">
        <v>11</v>
      </c>
      <c r="W14" t="s">
        <v>11</v>
      </c>
      <c r="X14" t="s">
        <v>11</v>
      </c>
      <c r="Y14" t="s">
        <v>11</v>
      </c>
      <c r="Z14">
        <v>1E-3</v>
      </c>
      <c r="AA14" s="41">
        <v>8.0000000000000002E-3</v>
      </c>
      <c r="AB14" s="85" t="s">
        <v>11</v>
      </c>
      <c r="AC14">
        <v>0</v>
      </c>
      <c r="AD14" t="s">
        <v>16</v>
      </c>
      <c r="AN14" s="11">
        <v>65.400000000000006</v>
      </c>
    </row>
    <row r="15" spans="1:50" x14ac:dyDescent="0.3">
      <c r="A15" s="13" t="s">
        <v>12</v>
      </c>
      <c r="B15" s="15">
        <v>-2.7</v>
      </c>
      <c r="C15" s="13">
        <v>0</v>
      </c>
      <c r="D15" s="15">
        <v>0.53</v>
      </c>
      <c r="E15" s="16">
        <v>214</v>
      </c>
      <c r="F15" s="15">
        <v>0.114</v>
      </c>
      <c r="G15" s="62">
        <v>0.01</v>
      </c>
      <c r="H15" s="64">
        <f>Y35</f>
        <v>1</v>
      </c>
      <c r="I15" s="13">
        <v>0.01</v>
      </c>
      <c r="J15" s="13">
        <v>0.49399999999999999</v>
      </c>
      <c r="K15" s="59" t="str">
        <f>K14</f>
        <v>-</v>
      </c>
      <c r="L15" s="84" t="s">
        <v>322</v>
      </c>
      <c r="M15" s="87">
        <v>0</v>
      </c>
      <c r="N15" s="13" t="s">
        <v>16</v>
      </c>
      <c r="O15" s="37"/>
      <c r="P15" t="s">
        <v>12</v>
      </c>
      <c r="Q15" t="s">
        <v>199</v>
      </c>
      <c r="R15" t="s">
        <v>182</v>
      </c>
      <c r="S15" t="s">
        <v>200</v>
      </c>
      <c r="T15" t="s">
        <v>121</v>
      </c>
      <c r="U15" t="s">
        <v>201</v>
      </c>
      <c r="V15" s="41">
        <v>0.01</v>
      </c>
      <c r="W15" t="s">
        <v>262</v>
      </c>
      <c r="X15" t="s">
        <v>202</v>
      </c>
      <c r="Y15" t="s">
        <v>253</v>
      </c>
      <c r="Z15">
        <v>1E-3</v>
      </c>
      <c r="AA15" s="41">
        <v>0.01</v>
      </c>
      <c r="AB15" s="85">
        <f>AE34</f>
        <v>2.0475630825675141E-3</v>
      </c>
      <c r="AC15">
        <v>0</v>
      </c>
      <c r="AD15" t="s">
        <v>16</v>
      </c>
      <c r="AN15" s="11">
        <v>49.4</v>
      </c>
    </row>
    <row r="16" spans="1:50" x14ac:dyDescent="0.3">
      <c r="A16" s="13" t="s">
        <v>13</v>
      </c>
      <c r="B16" s="15">
        <v>2.7</v>
      </c>
      <c r="C16" s="13">
        <v>0</v>
      </c>
      <c r="D16" s="15">
        <v>0.50900000000000001</v>
      </c>
      <c r="E16" s="16">
        <v>214</v>
      </c>
      <c r="F16" s="15">
        <v>0.109</v>
      </c>
      <c r="G16" s="64">
        <v>0.02</v>
      </c>
      <c r="H16" s="64">
        <f>Y36</f>
        <v>1.1399999999999999</v>
      </c>
      <c r="I16" s="13" t="s">
        <v>11</v>
      </c>
      <c r="J16" s="13" t="s">
        <v>11</v>
      </c>
      <c r="K16" s="59" t="str">
        <f t="shared" ref="K16:K25" si="9">K15</f>
        <v>-</v>
      </c>
      <c r="L16" s="84" t="s">
        <v>322</v>
      </c>
      <c r="M16" s="87">
        <v>0</v>
      </c>
      <c r="N16" s="13" t="s">
        <v>16</v>
      </c>
      <c r="O16" s="37"/>
      <c r="P16" t="s">
        <v>13</v>
      </c>
      <c r="Q16" t="s">
        <v>205</v>
      </c>
      <c r="R16" t="s">
        <v>182</v>
      </c>
      <c r="S16" t="s">
        <v>206</v>
      </c>
      <c r="T16" t="s">
        <v>121</v>
      </c>
      <c r="U16" t="s">
        <v>165</v>
      </c>
      <c r="V16" s="41">
        <v>1.7999999999999999E-2</v>
      </c>
      <c r="W16" t="s">
        <v>182</v>
      </c>
      <c r="X16" t="s">
        <v>11</v>
      </c>
      <c r="Y16" t="s">
        <v>11</v>
      </c>
      <c r="Z16">
        <v>1E-3</v>
      </c>
      <c r="AA16" s="41">
        <v>0.01</v>
      </c>
      <c r="AB16" s="85">
        <f>AE35</f>
        <v>5.8345791266451175E-2</v>
      </c>
      <c r="AC16">
        <v>0</v>
      </c>
      <c r="AD16" t="s">
        <v>16</v>
      </c>
      <c r="AN16" s="10">
        <v>1E-3</v>
      </c>
    </row>
    <row r="17" spans="1:48" x14ac:dyDescent="0.3">
      <c r="A17" s="13" t="s">
        <v>14</v>
      </c>
      <c r="B17" s="15">
        <v>2.14</v>
      </c>
      <c r="C17" s="13">
        <v>0</v>
      </c>
      <c r="D17" s="15">
        <v>0.06</v>
      </c>
      <c r="E17" s="16">
        <v>213</v>
      </c>
      <c r="F17" s="15">
        <v>1.2999999999999999E-2</v>
      </c>
      <c r="G17" s="62" t="s">
        <v>11</v>
      </c>
      <c r="H17" s="13" t="s">
        <v>11</v>
      </c>
      <c r="I17" s="13" t="s">
        <v>11</v>
      </c>
      <c r="J17" s="13" t="s">
        <v>11</v>
      </c>
      <c r="K17" s="59" t="str">
        <f t="shared" si="9"/>
        <v>-</v>
      </c>
      <c r="L17" s="84" t="s">
        <v>322</v>
      </c>
      <c r="M17" s="87">
        <v>0</v>
      </c>
      <c r="N17" s="13" t="s">
        <v>16</v>
      </c>
      <c r="O17" s="37"/>
      <c r="P17" t="s">
        <v>14</v>
      </c>
      <c r="Q17" t="s">
        <v>207</v>
      </c>
      <c r="R17" t="s">
        <v>182</v>
      </c>
      <c r="S17" t="s">
        <v>208</v>
      </c>
      <c r="T17" t="s">
        <v>120</v>
      </c>
      <c r="U17" t="s">
        <v>209</v>
      </c>
      <c r="V17" s="41" t="s">
        <v>11</v>
      </c>
      <c r="W17" t="s">
        <v>11</v>
      </c>
      <c r="X17" t="s">
        <v>11</v>
      </c>
      <c r="Y17" t="s">
        <v>11</v>
      </c>
      <c r="Z17">
        <v>0</v>
      </c>
      <c r="AA17" s="41">
        <v>1E-3</v>
      </c>
      <c r="AB17" s="85" t="s">
        <v>11</v>
      </c>
      <c r="AC17">
        <v>0</v>
      </c>
      <c r="AD17" t="s">
        <v>16</v>
      </c>
      <c r="AN17" s="10">
        <v>1.0999999999999999E-2</v>
      </c>
      <c r="AP17">
        <v>1.6E-2</v>
      </c>
    </row>
    <row r="18" spans="1:48" ht="15.75" customHeight="1" x14ac:dyDescent="0.3">
      <c r="A18" s="13" t="s">
        <v>15</v>
      </c>
      <c r="B18" s="15">
        <v>-1.1299999999999999</v>
      </c>
      <c r="C18" s="13">
        <v>0</v>
      </c>
      <c r="D18" s="15">
        <v>0.57999999999999996</v>
      </c>
      <c r="E18" s="16">
        <v>213</v>
      </c>
      <c r="F18" s="15">
        <v>1.6E-2</v>
      </c>
      <c r="G18" s="62">
        <v>0.02</v>
      </c>
      <c r="H18" s="13">
        <f>Y37</f>
        <v>0.25</v>
      </c>
      <c r="I18" s="13">
        <v>0.01</v>
      </c>
      <c r="J18" s="13">
        <v>0.32</v>
      </c>
      <c r="K18" s="59" t="str">
        <f t="shared" si="9"/>
        <v>-</v>
      </c>
      <c r="L18" s="84" t="s">
        <v>322</v>
      </c>
      <c r="M18" s="87">
        <v>0</v>
      </c>
      <c r="N18" s="13" t="s">
        <v>16</v>
      </c>
      <c r="O18" s="37"/>
      <c r="P18" t="s">
        <v>15</v>
      </c>
      <c r="Q18" t="s">
        <v>210</v>
      </c>
      <c r="R18" t="s">
        <v>182</v>
      </c>
      <c r="S18" t="s">
        <v>211</v>
      </c>
      <c r="T18" t="s">
        <v>212</v>
      </c>
      <c r="U18" t="s">
        <v>204</v>
      </c>
      <c r="V18" s="41">
        <v>0.02</v>
      </c>
      <c r="W18" t="s">
        <v>213</v>
      </c>
      <c r="X18" t="s">
        <v>202</v>
      </c>
      <c r="Y18" t="s">
        <v>214</v>
      </c>
      <c r="Z18">
        <v>1E-3</v>
      </c>
      <c r="AA18" s="41">
        <v>1E-3</v>
      </c>
      <c r="AB18" s="85">
        <f>AE36</f>
        <v>0.20328585861014567</v>
      </c>
      <c r="AC18">
        <v>0</v>
      </c>
      <c r="AD18" t="s">
        <v>16</v>
      </c>
      <c r="AE18" s="6" t="s">
        <v>37</v>
      </c>
      <c r="AF18" s="6" t="s">
        <v>1</v>
      </c>
      <c r="AG18" s="6" t="s">
        <v>2</v>
      </c>
      <c r="AH18" s="6" t="s">
        <v>3</v>
      </c>
      <c r="AI18" s="6" t="s">
        <v>4</v>
      </c>
      <c r="AJ18" s="6" t="s">
        <v>5</v>
      </c>
      <c r="AK18" s="6" t="s">
        <v>6</v>
      </c>
      <c r="AL18" s="6" t="s">
        <v>7</v>
      </c>
      <c r="AM18" s="6" t="s">
        <v>8</v>
      </c>
      <c r="AN18" s="10">
        <v>7.0999999999999994E-2</v>
      </c>
      <c r="AP18">
        <v>0.02</v>
      </c>
    </row>
    <row r="19" spans="1:48" x14ac:dyDescent="0.3">
      <c r="A19" s="17" t="s">
        <v>38</v>
      </c>
      <c r="B19" s="19">
        <f>MIN(B14:B18)</f>
        <v>-2.7</v>
      </c>
      <c r="C19" s="19">
        <f t="shared" ref="C19:J19" si="10">MIN(C14:C18)</f>
        <v>0</v>
      </c>
      <c r="D19" s="19">
        <f>MIN(D14:D18)</f>
        <v>0.06</v>
      </c>
      <c r="E19" s="20">
        <f t="shared" si="10"/>
        <v>213</v>
      </c>
      <c r="F19" s="19">
        <f t="shared" si="10"/>
        <v>1.2999999999999999E-2</v>
      </c>
      <c r="G19" s="63">
        <f>MIN(G14:G18)</f>
        <v>0.01</v>
      </c>
      <c r="H19" s="64">
        <f>MIN(H14:H18)</f>
        <v>0.25</v>
      </c>
      <c r="I19" s="19">
        <f t="shared" si="10"/>
        <v>0.01</v>
      </c>
      <c r="J19" s="19">
        <f t="shared" si="10"/>
        <v>0.32</v>
      </c>
      <c r="K19" s="59" t="str">
        <f t="shared" si="9"/>
        <v>-</v>
      </c>
      <c r="L19" s="84" t="s">
        <v>322</v>
      </c>
      <c r="M19" s="90">
        <f t="shared" ref="M19" si="11">MIN(M14:M18)</f>
        <v>0</v>
      </c>
      <c r="N19" s="17" t="s">
        <v>16</v>
      </c>
      <c r="O19" s="38"/>
      <c r="Z19"/>
      <c r="AB19" s="85"/>
      <c r="AC19"/>
      <c r="AE19" s="6"/>
      <c r="AF19" s="6"/>
      <c r="AG19" s="6"/>
      <c r="AH19" s="6"/>
      <c r="AI19" s="6"/>
      <c r="AJ19" s="6"/>
      <c r="AK19" s="6"/>
      <c r="AL19" s="6"/>
      <c r="AM19" s="6"/>
      <c r="AN19" s="10">
        <v>1.7999999999999999E-2</v>
      </c>
      <c r="AP19">
        <v>1.9E-2</v>
      </c>
    </row>
    <row r="20" spans="1:48" x14ac:dyDescent="0.3">
      <c r="A20" s="13" t="s">
        <v>10</v>
      </c>
      <c r="B20" s="13">
        <v>16.8</v>
      </c>
      <c r="C20" s="13">
        <v>56.9</v>
      </c>
      <c r="D20" s="13">
        <v>7.01</v>
      </c>
      <c r="E20" s="16">
        <v>8680</v>
      </c>
      <c r="F20" s="14">
        <v>60.8</v>
      </c>
      <c r="G20" s="62" t="s">
        <v>11</v>
      </c>
      <c r="H20" s="13" t="s">
        <v>11</v>
      </c>
      <c r="I20" s="13" t="s">
        <v>11</v>
      </c>
      <c r="J20" s="13" t="s">
        <v>11</v>
      </c>
      <c r="K20" s="59" t="str">
        <f t="shared" si="9"/>
        <v>-</v>
      </c>
      <c r="L20" s="54" t="str">
        <f>AB20</f>
        <v>-</v>
      </c>
      <c r="M20" s="88">
        <f>AC20</f>
        <v>3.4</v>
      </c>
      <c r="N20" s="13" t="s">
        <v>17</v>
      </c>
      <c r="O20" s="37"/>
      <c r="P20" t="s">
        <v>10</v>
      </c>
      <c r="Q20" t="s">
        <v>186</v>
      </c>
      <c r="R20" t="s">
        <v>215</v>
      </c>
      <c r="S20" t="s">
        <v>216</v>
      </c>
      <c r="T20" t="s">
        <v>122</v>
      </c>
      <c r="U20" t="s">
        <v>217</v>
      </c>
      <c r="V20" s="41" t="s">
        <v>11</v>
      </c>
      <c r="W20" t="s">
        <v>11</v>
      </c>
      <c r="X20" t="s">
        <v>11</v>
      </c>
      <c r="Y20" t="s">
        <v>11</v>
      </c>
      <c r="Z20">
        <v>4.9000000000000002E-2</v>
      </c>
      <c r="AA20" s="41">
        <v>5.26</v>
      </c>
      <c r="AB20" s="86" t="s">
        <v>11</v>
      </c>
      <c r="AC20">
        <v>3.4</v>
      </c>
      <c r="AD20" t="s">
        <v>17</v>
      </c>
      <c r="AE20" s="7">
        <f>AVERAGE(B2:B6)</f>
        <v>10.235999999999999</v>
      </c>
      <c r="AF20" s="7"/>
      <c r="AG20" s="7">
        <f t="shared" ref="AG20:AM20" si="12">AVERAGE(D2:D6)</f>
        <v>1.528</v>
      </c>
      <c r="AH20" s="7">
        <f t="shared" si="12"/>
        <v>470.6</v>
      </c>
      <c r="AI20" s="7">
        <f t="shared" si="12"/>
        <v>1.0027999999999999</v>
      </c>
      <c r="AJ20" s="7">
        <f t="shared" si="12"/>
        <v>0.15733333333333335</v>
      </c>
      <c r="AK20" s="7">
        <f t="shared" si="12"/>
        <v>2.4566666666666666</v>
      </c>
      <c r="AL20" s="7">
        <f t="shared" si="12"/>
        <v>2.8000000000000001E-2</v>
      </c>
      <c r="AM20" s="7">
        <f t="shared" si="12"/>
        <v>2.64</v>
      </c>
      <c r="AN20" s="10">
        <v>8.7999999999999995E-2</v>
      </c>
      <c r="AP20">
        <v>2E-3</v>
      </c>
    </row>
    <row r="21" spans="1:48" x14ac:dyDescent="0.3">
      <c r="A21" s="13" t="s">
        <v>12</v>
      </c>
      <c r="B21" s="13">
        <v>15.3</v>
      </c>
      <c r="C21" s="13">
        <v>40.299999999999997</v>
      </c>
      <c r="D21" s="13">
        <v>3.67</v>
      </c>
      <c r="E21" s="16">
        <v>6770</v>
      </c>
      <c r="F21" s="14">
        <v>24.8</v>
      </c>
      <c r="G21" s="63">
        <v>0.53700000000000003</v>
      </c>
      <c r="H21" s="64">
        <f>Z35</f>
        <v>7.95</v>
      </c>
      <c r="I21" s="15">
        <v>5.8999999999999997E-2</v>
      </c>
      <c r="J21" s="13">
        <v>3.86</v>
      </c>
      <c r="K21" s="59" t="str">
        <f t="shared" si="9"/>
        <v>-</v>
      </c>
      <c r="L21" s="54">
        <f t="shared" ref="L21:L24" si="13">AB21</f>
        <v>0.27568876582508595</v>
      </c>
      <c r="M21" s="88">
        <f t="shared" ref="M21:M24" si="14">AC21</f>
        <v>0.69099999999999995</v>
      </c>
      <c r="N21" s="13" t="s">
        <v>17</v>
      </c>
      <c r="O21" s="37"/>
      <c r="P21" t="s">
        <v>12</v>
      </c>
      <c r="Q21" t="s">
        <v>218</v>
      </c>
      <c r="R21" t="s">
        <v>219</v>
      </c>
      <c r="S21" t="s">
        <v>220</v>
      </c>
      <c r="T21" t="s">
        <v>123</v>
      </c>
      <c r="U21" t="s">
        <v>221</v>
      </c>
      <c r="V21" s="41">
        <v>0.53700000000000003</v>
      </c>
      <c r="W21" t="s">
        <v>263</v>
      </c>
      <c r="X21" t="s">
        <v>222</v>
      </c>
      <c r="Y21" t="s">
        <v>264</v>
      </c>
      <c r="Z21">
        <v>4.5999999999999999E-2</v>
      </c>
      <c r="AA21" s="41">
        <v>2.15</v>
      </c>
      <c r="AB21" s="86">
        <f>AF34</f>
        <v>0.27568876582508595</v>
      </c>
      <c r="AC21">
        <v>0.69099999999999995</v>
      </c>
      <c r="AD21" t="s">
        <v>17</v>
      </c>
      <c r="AN21" s="10">
        <v>1</v>
      </c>
      <c r="AP21">
        <v>2E-3</v>
      </c>
      <c r="AT21" s="21" t="s">
        <v>9</v>
      </c>
    </row>
    <row r="22" spans="1:48" x14ac:dyDescent="0.3">
      <c r="A22" s="13" t="s">
        <v>13</v>
      </c>
      <c r="B22" s="13">
        <v>17.600000000000001</v>
      </c>
      <c r="C22" s="13">
        <v>97.2</v>
      </c>
      <c r="D22" s="13">
        <v>2.19</v>
      </c>
      <c r="E22" s="16">
        <v>13000</v>
      </c>
      <c r="F22" s="14">
        <v>26</v>
      </c>
      <c r="G22" s="62">
        <v>1.93</v>
      </c>
      <c r="H22" s="76">
        <f>Z36</f>
        <v>14.15</v>
      </c>
      <c r="I22" s="13" t="s">
        <v>11</v>
      </c>
      <c r="J22" s="13" t="s">
        <v>11</v>
      </c>
      <c r="K22" s="59" t="str">
        <f t="shared" si="9"/>
        <v>-</v>
      </c>
      <c r="L22" s="54">
        <f t="shared" si="13"/>
        <v>0.76259068376325334</v>
      </c>
      <c r="M22" s="88">
        <f t="shared" si="14"/>
        <v>0.14799999999999999</v>
      </c>
      <c r="N22" s="13" t="s">
        <v>17</v>
      </c>
      <c r="O22" s="37"/>
      <c r="P22" t="s">
        <v>13</v>
      </c>
      <c r="Q22" t="s">
        <v>224</v>
      </c>
      <c r="R22" t="s">
        <v>225</v>
      </c>
      <c r="S22" t="s">
        <v>223</v>
      </c>
      <c r="T22" t="s">
        <v>124</v>
      </c>
      <c r="U22" t="s">
        <v>226</v>
      </c>
      <c r="V22" s="41">
        <v>1.93</v>
      </c>
      <c r="W22" t="s">
        <v>265</v>
      </c>
      <c r="X22" t="s">
        <v>11</v>
      </c>
      <c r="Y22" t="s">
        <v>11</v>
      </c>
      <c r="Z22">
        <v>2.7E-2</v>
      </c>
      <c r="AA22" s="41">
        <v>2.2400000000000002</v>
      </c>
      <c r="AB22" s="86">
        <f>AF35</f>
        <v>0.76259068376325334</v>
      </c>
      <c r="AC22">
        <v>0.14799999999999999</v>
      </c>
      <c r="AD22" t="s">
        <v>17</v>
      </c>
      <c r="AN22" s="10">
        <v>1</v>
      </c>
      <c r="AP22">
        <v>5.26</v>
      </c>
      <c r="AT22">
        <v>0.23400000000000001</v>
      </c>
    </row>
    <row r="23" spans="1:48" x14ac:dyDescent="0.3">
      <c r="A23" s="13" t="s">
        <v>14</v>
      </c>
      <c r="B23" s="13">
        <v>18.100000000000001</v>
      </c>
      <c r="C23" s="13">
        <v>40.9</v>
      </c>
      <c r="D23" s="13">
        <v>3.17</v>
      </c>
      <c r="E23" s="16">
        <v>2050</v>
      </c>
      <c r="F23" s="15">
        <v>4.2699999999999996</v>
      </c>
      <c r="G23" s="62" t="s">
        <v>11</v>
      </c>
      <c r="H23" s="13" t="s">
        <v>11</v>
      </c>
      <c r="I23" s="13" t="s">
        <v>11</v>
      </c>
      <c r="J23" s="13" t="s">
        <v>11</v>
      </c>
      <c r="K23" s="59" t="str">
        <f t="shared" si="9"/>
        <v>-</v>
      </c>
      <c r="L23" s="54" t="str">
        <f t="shared" si="13"/>
        <v>-</v>
      </c>
      <c r="M23" s="88">
        <f t="shared" si="14"/>
        <v>0.46400000000000002</v>
      </c>
      <c r="N23" s="13" t="s">
        <v>17</v>
      </c>
      <c r="O23" s="37"/>
      <c r="P23" t="s">
        <v>14</v>
      </c>
      <c r="Q23" t="s">
        <v>227</v>
      </c>
      <c r="R23" t="s">
        <v>228</v>
      </c>
      <c r="S23" t="s">
        <v>229</v>
      </c>
      <c r="T23" t="s">
        <v>125</v>
      </c>
      <c r="U23" t="s">
        <v>230</v>
      </c>
      <c r="V23" s="41" t="s">
        <v>11</v>
      </c>
      <c r="W23" t="s">
        <v>11</v>
      </c>
      <c r="X23" t="s">
        <v>11</v>
      </c>
      <c r="Y23" t="s">
        <v>11</v>
      </c>
      <c r="Z23">
        <v>4.5999999999999999E-2</v>
      </c>
      <c r="AA23" s="41">
        <v>0.371</v>
      </c>
      <c r="AB23" s="86" t="s">
        <v>11</v>
      </c>
      <c r="AC23">
        <v>0.46400000000000002</v>
      </c>
      <c r="AD23" t="s">
        <v>17</v>
      </c>
      <c r="AN23" s="10">
        <v>1</v>
      </c>
      <c r="AP23">
        <v>2.17</v>
      </c>
      <c r="AT23">
        <v>0.109</v>
      </c>
    </row>
    <row r="24" spans="1:48" x14ac:dyDescent="0.3">
      <c r="A24" s="13" t="s">
        <v>15</v>
      </c>
      <c r="B24" s="13">
        <v>19.3</v>
      </c>
      <c r="C24" s="16">
        <v>117</v>
      </c>
      <c r="D24" s="13">
        <v>2.0699999999999998</v>
      </c>
      <c r="E24" s="16">
        <v>10900</v>
      </c>
      <c r="F24" s="14">
        <v>19.3</v>
      </c>
      <c r="G24" s="62">
        <v>0.06</v>
      </c>
      <c r="H24" s="13">
        <f>Z37</f>
        <v>3.45</v>
      </c>
      <c r="I24" s="13">
        <v>0.06</v>
      </c>
      <c r="J24" s="13">
        <v>12.8</v>
      </c>
      <c r="K24" s="59" t="str">
        <f t="shared" si="9"/>
        <v>-</v>
      </c>
      <c r="L24" s="54">
        <f>AB24</f>
        <v>0.62438208289594488</v>
      </c>
      <c r="M24" s="88">
        <f t="shared" si="14"/>
        <v>0.121</v>
      </c>
      <c r="N24" s="13" t="s">
        <v>17</v>
      </c>
      <c r="O24" s="37"/>
      <c r="P24" t="s">
        <v>15</v>
      </c>
      <c r="Q24" t="s">
        <v>231</v>
      </c>
      <c r="R24" t="s">
        <v>126</v>
      </c>
      <c r="S24" t="s">
        <v>232</v>
      </c>
      <c r="T24" t="s">
        <v>127</v>
      </c>
      <c r="U24" t="s">
        <v>231</v>
      </c>
      <c r="V24" s="41">
        <v>0.06</v>
      </c>
      <c r="W24" t="s">
        <v>233</v>
      </c>
      <c r="X24" t="s">
        <v>208</v>
      </c>
      <c r="Y24" t="s">
        <v>234</v>
      </c>
      <c r="Z24">
        <v>2.1000000000000001E-2</v>
      </c>
      <c r="AA24" s="41">
        <v>1.67</v>
      </c>
      <c r="AB24" s="86">
        <f>AF36</f>
        <v>0.62438208289594488</v>
      </c>
      <c r="AC24">
        <v>0.121</v>
      </c>
      <c r="AD24" t="s">
        <v>17</v>
      </c>
      <c r="AN24" s="10">
        <v>1</v>
      </c>
      <c r="AP24">
        <v>2.4700000000000002</v>
      </c>
      <c r="AT24">
        <v>2.5999999999999999E-2</v>
      </c>
    </row>
    <row r="25" spans="1:48" x14ac:dyDescent="0.3">
      <c r="A25" s="17" t="s">
        <v>38</v>
      </c>
      <c r="B25" s="17">
        <f>MAX(B20:B24)</f>
        <v>19.3</v>
      </c>
      <c r="C25" s="17">
        <f t="shared" ref="C25:J25" si="15">MAX(C20:C24)</f>
        <v>117</v>
      </c>
      <c r="D25" s="17">
        <f t="shared" si="15"/>
        <v>7.01</v>
      </c>
      <c r="E25" s="17">
        <f t="shared" si="15"/>
        <v>13000</v>
      </c>
      <c r="F25" s="17">
        <f t="shared" si="15"/>
        <v>60.8</v>
      </c>
      <c r="G25" s="62">
        <f>MAX(G20:G24)</f>
        <v>1.93</v>
      </c>
      <c r="H25" s="76">
        <f t="shared" si="15"/>
        <v>14.15</v>
      </c>
      <c r="I25" s="17">
        <f t="shared" si="15"/>
        <v>0.06</v>
      </c>
      <c r="J25" s="17">
        <f t="shared" si="15"/>
        <v>12.8</v>
      </c>
      <c r="K25" s="59" t="str">
        <f t="shared" si="9"/>
        <v>-</v>
      </c>
      <c r="L25" s="50">
        <f t="shared" ref="L25:M25" si="16">MAX(L20:L24)</f>
        <v>0.76259068376325334</v>
      </c>
      <c r="M25" s="90">
        <f t="shared" si="16"/>
        <v>3.4</v>
      </c>
      <c r="N25" s="17" t="s">
        <v>17</v>
      </c>
      <c r="O25" s="38"/>
      <c r="Z25"/>
      <c r="AB25" s="86"/>
      <c r="AC25"/>
      <c r="AN25" s="10">
        <v>1</v>
      </c>
      <c r="AP25">
        <v>0.40100000000000002</v>
      </c>
      <c r="AT25">
        <v>2.9000000000000001E-2</v>
      </c>
    </row>
    <row r="26" spans="1:48" x14ac:dyDescent="0.3">
      <c r="A26" s="13" t="s">
        <v>10</v>
      </c>
      <c r="B26" s="13">
        <v>2.74</v>
      </c>
      <c r="C26" s="13">
        <v>10.3</v>
      </c>
      <c r="D26" s="15">
        <v>0.99199999999999999</v>
      </c>
      <c r="E26" s="16">
        <v>1107</v>
      </c>
      <c r="F26" s="15">
        <v>6.73</v>
      </c>
      <c r="G26" s="62" t="s">
        <v>11</v>
      </c>
      <c r="H26" s="13" t="s">
        <v>11</v>
      </c>
      <c r="I26" s="13" t="s">
        <v>11</v>
      </c>
      <c r="J26" s="13" t="s">
        <v>11</v>
      </c>
      <c r="K26" s="66">
        <f>AA26</f>
        <v>0.58199999999999996</v>
      </c>
      <c r="L26" s="51" t="str">
        <f>AB26</f>
        <v>-</v>
      </c>
      <c r="M26" s="88">
        <f>AC26</f>
        <v>0.38900000000000001</v>
      </c>
      <c r="N26" s="13" t="s">
        <v>18</v>
      </c>
      <c r="O26" s="37"/>
      <c r="P26" t="s">
        <v>10</v>
      </c>
      <c r="Q26" t="s">
        <v>235</v>
      </c>
      <c r="R26" t="s">
        <v>236</v>
      </c>
      <c r="S26" t="s">
        <v>237</v>
      </c>
      <c r="T26" t="s">
        <v>128</v>
      </c>
      <c r="U26" t="s">
        <v>238</v>
      </c>
      <c r="V26" s="41" t="s">
        <v>11</v>
      </c>
      <c r="W26" t="s">
        <v>11</v>
      </c>
      <c r="X26" t="s">
        <v>11</v>
      </c>
      <c r="Y26" t="s">
        <v>11</v>
      </c>
      <c r="Z26">
        <v>1.9E-2</v>
      </c>
      <c r="AA26" s="41">
        <v>0.58199999999999996</v>
      </c>
      <c r="AB26" s="85" t="s">
        <v>11</v>
      </c>
      <c r="AC26">
        <v>0.38900000000000001</v>
      </c>
      <c r="AD26" t="s">
        <v>18</v>
      </c>
      <c r="AI26" s="24" t="s">
        <v>97</v>
      </c>
      <c r="AJ26" s="24" t="s">
        <v>9</v>
      </c>
      <c r="AN26" s="10">
        <v>0.34599999999999997</v>
      </c>
      <c r="AO26">
        <v>1.93</v>
      </c>
      <c r="AT26">
        <v>1.6E-2</v>
      </c>
    </row>
    <row r="27" spans="1:48" x14ac:dyDescent="0.3">
      <c r="A27" s="13" t="s">
        <v>12</v>
      </c>
      <c r="B27" s="13">
        <v>3.46</v>
      </c>
      <c r="C27" s="13">
        <v>9.23</v>
      </c>
      <c r="D27" s="15">
        <v>0.70699999999999996</v>
      </c>
      <c r="E27" s="16">
        <v>972</v>
      </c>
      <c r="F27" s="15">
        <v>2.93</v>
      </c>
      <c r="G27" s="63">
        <v>0.129</v>
      </c>
      <c r="H27" s="75">
        <f>AA35</f>
        <v>1.64</v>
      </c>
      <c r="I27" s="13">
        <v>0.02</v>
      </c>
      <c r="J27" s="15">
        <v>1.3</v>
      </c>
      <c r="K27" s="66">
        <f t="shared" ref="K27:K30" si="17">AA27</f>
        <v>0.254</v>
      </c>
      <c r="L27" s="51">
        <f t="shared" ref="L27:L30" si="18">AB27</f>
        <v>8.3812689617764211E-2</v>
      </c>
      <c r="M27" s="88">
        <f t="shared" ref="M27:M30" si="19">AC27</f>
        <v>0.14299999999999999</v>
      </c>
      <c r="N27" s="13" t="s">
        <v>18</v>
      </c>
      <c r="O27" s="37"/>
      <c r="P27" t="s">
        <v>12</v>
      </c>
      <c r="Q27" t="s">
        <v>239</v>
      </c>
      <c r="R27" t="s">
        <v>240</v>
      </c>
      <c r="S27" t="s">
        <v>241</v>
      </c>
      <c r="T27" t="s">
        <v>129</v>
      </c>
      <c r="U27" t="s">
        <v>242</v>
      </c>
      <c r="V27" s="41">
        <v>0.129</v>
      </c>
      <c r="W27" t="s">
        <v>266</v>
      </c>
      <c r="X27" t="s">
        <v>203</v>
      </c>
      <c r="Y27" t="s">
        <v>267</v>
      </c>
      <c r="Z27">
        <v>1.7000000000000001E-2</v>
      </c>
      <c r="AA27" s="41">
        <v>0.254</v>
      </c>
      <c r="AB27" s="86">
        <f>AG34</f>
        <v>8.3812689617764211E-2</v>
      </c>
      <c r="AC27">
        <v>0.14299999999999999</v>
      </c>
      <c r="AD27" t="s">
        <v>18</v>
      </c>
      <c r="AI27" s="10">
        <v>0.251</v>
      </c>
      <c r="AJ27" s="10"/>
      <c r="AN27" s="10">
        <v>0.34799999999999998</v>
      </c>
      <c r="AO27">
        <v>0.58099999999999996</v>
      </c>
      <c r="AT27">
        <v>21.6</v>
      </c>
      <c r="AU27" s="10">
        <f>AT27*60*60*24/1000000</f>
        <v>1.8662399999999999</v>
      </c>
      <c r="AV27" t="str">
        <f>CONCATENATE(ROUND(AU27,2),"·10⁶")</f>
        <v>1,87·10⁶</v>
      </c>
    </row>
    <row r="28" spans="1:48" x14ac:dyDescent="0.3">
      <c r="A28" s="13" t="s">
        <v>13</v>
      </c>
      <c r="B28" s="13">
        <v>3.18</v>
      </c>
      <c r="C28" s="13">
        <v>11.7</v>
      </c>
      <c r="D28" s="15">
        <v>0.40300000000000002</v>
      </c>
      <c r="E28" s="16">
        <v>1605</v>
      </c>
      <c r="F28" s="15">
        <v>3.02</v>
      </c>
      <c r="G28" s="64">
        <v>0.46</v>
      </c>
      <c r="H28" s="75">
        <f>AA36</f>
        <v>2.95</v>
      </c>
      <c r="I28" s="13" t="s">
        <v>11</v>
      </c>
      <c r="J28" s="13" t="s">
        <v>11</v>
      </c>
      <c r="K28" s="66">
        <f t="shared" si="17"/>
        <v>0.26100000000000001</v>
      </c>
      <c r="L28" s="51">
        <f t="shared" si="18"/>
        <v>0.19566208663126677</v>
      </c>
      <c r="M28" s="88">
        <f t="shared" si="19"/>
        <v>0.03</v>
      </c>
      <c r="N28" s="13" t="s">
        <v>18</v>
      </c>
      <c r="O28" s="37"/>
      <c r="P28" t="s">
        <v>13</v>
      </c>
      <c r="Q28" t="s">
        <v>179</v>
      </c>
      <c r="R28" t="s">
        <v>243</v>
      </c>
      <c r="S28" t="s">
        <v>244</v>
      </c>
      <c r="T28" t="s">
        <v>130</v>
      </c>
      <c r="U28" t="s">
        <v>245</v>
      </c>
      <c r="V28" s="41">
        <v>0.46300000000000002</v>
      </c>
      <c r="W28" t="s">
        <v>268</v>
      </c>
      <c r="X28" t="s">
        <v>11</v>
      </c>
      <c r="Y28" t="s">
        <v>11</v>
      </c>
      <c r="Z28">
        <v>4.0000000000000001E-3</v>
      </c>
      <c r="AA28" s="41">
        <v>0.26100000000000001</v>
      </c>
      <c r="AB28" s="86">
        <f>AG35</f>
        <v>0.19566208663126677</v>
      </c>
      <c r="AC28">
        <v>0.03</v>
      </c>
      <c r="AD28" t="s">
        <v>18</v>
      </c>
      <c r="AI28" s="10">
        <v>0.307</v>
      </c>
      <c r="AJ28" s="10"/>
      <c r="AN28" s="10">
        <v>0.32500000000000001</v>
      </c>
      <c r="AO28">
        <v>0.26</v>
      </c>
      <c r="AT28">
        <v>11.2</v>
      </c>
      <c r="AU28" s="10">
        <f t="shared" ref="AU28:AU31" si="20">AT28*60*60*24/1000000</f>
        <v>0.96767999999999998</v>
      </c>
      <c r="AV28" t="str">
        <f t="shared" ref="AV28:AV32" si="21">CONCATENATE(ROUND(AU28,2),"·10⁶")</f>
        <v>0,97·10⁶</v>
      </c>
    </row>
    <row r="29" spans="1:48" x14ac:dyDescent="0.3">
      <c r="A29" s="13" t="s">
        <v>14</v>
      </c>
      <c r="B29" s="13">
        <v>3.08</v>
      </c>
      <c r="C29" s="13">
        <v>9.35</v>
      </c>
      <c r="D29" s="15">
        <v>0.58199999999999996</v>
      </c>
      <c r="E29" s="16">
        <v>269</v>
      </c>
      <c r="F29" s="15">
        <v>0.54300000000000004</v>
      </c>
      <c r="G29" s="63" t="s">
        <v>11</v>
      </c>
      <c r="H29" s="13" t="s">
        <v>11</v>
      </c>
      <c r="I29" s="13" t="s">
        <v>11</v>
      </c>
      <c r="J29" s="13" t="s">
        <v>11</v>
      </c>
      <c r="K29" s="66">
        <f t="shared" si="17"/>
        <v>4.7E-2</v>
      </c>
      <c r="L29" s="51" t="str">
        <f t="shared" si="18"/>
        <v>-</v>
      </c>
      <c r="M29" s="88">
        <f t="shared" si="19"/>
        <v>6.8000000000000005E-2</v>
      </c>
      <c r="N29" s="13" t="s">
        <v>18</v>
      </c>
      <c r="O29" s="37"/>
      <c r="P29" t="s">
        <v>14</v>
      </c>
      <c r="Q29" t="s">
        <v>246</v>
      </c>
      <c r="R29" t="s">
        <v>247</v>
      </c>
      <c r="S29" t="s">
        <v>248</v>
      </c>
      <c r="T29" t="s">
        <v>131</v>
      </c>
      <c r="U29" t="s">
        <v>249</v>
      </c>
      <c r="V29" s="41" t="s">
        <v>11</v>
      </c>
      <c r="W29" t="s">
        <v>11</v>
      </c>
      <c r="X29" t="s">
        <v>11</v>
      </c>
      <c r="Y29" t="s">
        <v>11</v>
      </c>
      <c r="Z29">
        <v>8.9999999999999993E-3</v>
      </c>
      <c r="AA29" s="41">
        <v>4.7E-2</v>
      </c>
      <c r="AB29" s="86" t="s">
        <v>11</v>
      </c>
      <c r="AC29">
        <v>6.8000000000000005E-2</v>
      </c>
      <c r="AD29" t="s">
        <v>18</v>
      </c>
      <c r="AI29" s="10">
        <v>0.38500000000000001</v>
      </c>
      <c r="AJ29" s="10"/>
      <c r="AN29" s="10">
        <v>0.35299999999999998</v>
      </c>
      <c r="AO29">
        <v>0.29499999999999998</v>
      </c>
      <c r="AT29">
        <v>3.77</v>
      </c>
      <c r="AU29" s="10">
        <f t="shared" si="20"/>
        <v>0.32572800000000002</v>
      </c>
      <c r="AV29" t="str">
        <f t="shared" si="21"/>
        <v>0,33·10⁶</v>
      </c>
    </row>
    <row r="30" spans="1:48" x14ac:dyDescent="0.3">
      <c r="A30" s="13" t="s">
        <v>15</v>
      </c>
      <c r="B30" s="13">
        <v>4.0199999999999996</v>
      </c>
      <c r="C30" s="13">
        <v>18.8</v>
      </c>
      <c r="D30" s="15">
        <v>0.3</v>
      </c>
      <c r="E30" s="16">
        <v>1371</v>
      </c>
      <c r="F30" s="15">
        <v>2.29</v>
      </c>
      <c r="G30" s="63">
        <v>1.4999999999999999E-2</v>
      </c>
      <c r="H30" s="13">
        <f>AA37</f>
        <v>0.99</v>
      </c>
      <c r="I30" s="13">
        <v>0.02</v>
      </c>
      <c r="J30" s="13">
        <v>3.99</v>
      </c>
      <c r="K30" s="66">
        <f t="shared" si="17"/>
        <v>0.19800000000000001</v>
      </c>
      <c r="L30" s="51">
        <f>AB30</f>
        <v>0.13805433700328601</v>
      </c>
      <c r="M30" s="88">
        <f t="shared" si="19"/>
        <v>2.1000000000000001E-2</v>
      </c>
      <c r="N30" s="13" t="s">
        <v>18</v>
      </c>
      <c r="O30" s="37"/>
      <c r="P30" t="s">
        <v>15</v>
      </c>
      <c r="Q30" t="s">
        <v>250</v>
      </c>
      <c r="R30" t="s">
        <v>251</v>
      </c>
      <c r="S30" t="s">
        <v>252</v>
      </c>
      <c r="T30" t="s">
        <v>132</v>
      </c>
      <c r="U30" t="s">
        <v>253</v>
      </c>
      <c r="V30" s="41">
        <v>1.4999999999999999E-2</v>
      </c>
      <c r="W30" t="s">
        <v>254</v>
      </c>
      <c r="X30" t="s">
        <v>203</v>
      </c>
      <c r="Y30" t="s">
        <v>255</v>
      </c>
      <c r="Z30">
        <v>3.0000000000000001E-3</v>
      </c>
      <c r="AA30" s="41">
        <v>0.19800000000000001</v>
      </c>
      <c r="AB30" s="86">
        <f>AG36</f>
        <v>0.13805433700328601</v>
      </c>
      <c r="AC30">
        <v>2.1000000000000001E-2</v>
      </c>
      <c r="AD30" t="s">
        <v>18</v>
      </c>
      <c r="AI30" s="10">
        <v>0.60199999999999998</v>
      </c>
      <c r="AJ30" s="10"/>
      <c r="AN30" s="10">
        <v>0.253</v>
      </c>
      <c r="AO30">
        <v>5.1999999999999998E-2</v>
      </c>
      <c r="AT30">
        <v>2.93</v>
      </c>
      <c r="AU30" s="10">
        <f t="shared" si="20"/>
        <v>0.25315199999999999</v>
      </c>
      <c r="AV30" t="str">
        <f t="shared" si="21"/>
        <v>0,25·10⁶</v>
      </c>
    </row>
    <row r="31" spans="1:48" x14ac:dyDescent="0.3">
      <c r="A31" s="17" t="s">
        <v>38</v>
      </c>
      <c r="B31" s="19">
        <f>AVERAGE(B26:B30)</f>
        <v>3.2960000000000003</v>
      </c>
      <c r="C31" s="18">
        <f t="shared" ref="C31:M31" si="22">AVERAGE(C26:C30)</f>
        <v>11.875999999999999</v>
      </c>
      <c r="D31" s="19">
        <f t="shared" si="22"/>
        <v>0.59679999999999989</v>
      </c>
      <c r="E31" s="20">
        <f t="shared" si="22"/>
        <v>1064.8</v>
      </c>
      <c r="F31" s="19">
        <f t="shared" si="22"/>
        <v>3.1025999999999998</v>
      </c>
      <c r="G31" s="64">
        <f t="shared" si="22"/>
        <v>0.20133333333333334</v>
      </c>
      <c r="H31" s="19">
        <f>AA38</f>
        <v>2.37</v>
      </c>
      <c r="I31" s="19">
        <f>AVERAGE(I26:I30)</f>
        <v>0.02</v>
      </c>
      <c r="J31" s="19">
        <f t="shared" si="22"/>
        <v>2.645</v>
      </c>
      <c r="K31" s="67">
        <f>AVERAGE(K26:K30)</f>
        <v>0.26839999999999997</v>
      </c>
      <c r="L31" s="52">
        <f>AVERAGE(L26:L30)</f>
        <v>0.13917637108410566</v>
      </c>
      <c r="M31" s="90">
        <f t="shared" si="22"/>
        <v>0.13020000000000004</v>
      </c>
      <c r="N31" s="17" t="s">
        <v>18</v>
      </c>
      <c r="O31" s="38"/>
      <c r="P31" s="38"/>
      <c r="Q31" s="38"/>
      <c r="R31" s="38"/>
      <c r="S31" s="38"/>
      <c r="T31" s="38"/>
      <c r="U31" s="8"/>
      <c r="V31" s="42"/>
      <c r="W31" s="8"/>
      <c r="X31" s="8"/>
      <c r="Y31" s="8"/>
      <c r="Z31" s="49"/>
      <c r="AA31" s="74"/>
      <c r="AB31" s="74"/>
      <c r="AI31" s="10">
        <v>0.60599999999999998</v>
      </c>
      <c r="AJ31" s="10"/>
      <c r="AO31">
        <v>0.25600000000000001</v>
      </c>
      <c r="AT31">
        <v>1.64</v>
      </c>
      <c r="AU31" s="10">
        <f t="shared" si="20"/>
        <v>0.14169599999999996</v>
      </c>
      <c r="AV31" t="str">
        <f t="shared" si="21"/>
        <v>0,14·10⁶</v>
      </c>
    </row>
    <row r="32" spans="1:48" ht="15" thickBot="1" x14ac:dyDescent="0.35">
      <c r="AI32" s="27">
        <f>AVERAGE(AI27:AI31)</f>
        <v>0.43019999999999997</v>
      </c>
      <c r="AT32">
        <v>0</v>
      </c>
      <c r="AU32" s="27">
        <f>AVERAGE(AU27:AU31)</f>
        <v>0.71089919999999995</v>
      </c>
      <c r="AV32" t="str">
        <f t="shared" si="21"/>
        <v>0,71·10⁶</v>
      </c>
    </row>
    <row r="33" spans="1:46" ht="15" thickBot="1" x14ac:dyDescent="0.35">
      <c r="R33" s="77"/>
      <c r="W33" s="47"/>
      <c r="X33" s="47" t="s">
        <v>320</v>
      </c>
      <c r="Y33" s="47" t="s">
        <v>318</v>
      </c>
      <c r="Z33" s="47" t="s">
        <v>319</v>
      </c>
      <c r="AA33" s="47" t="s">
        <v>321</v>
      </c>
      <c r="AC33" s="41" t="s">
        <v>87</v>
      </c>
      <c r="AD33" s="41" t="s">
        <v>320</v>
      </c>
      <c r="AE33" s="41" t="s">
        <v>318</v>
      </c>
      <c r="AF33" s="41" t="s">
        <v>319</v>
      </c>
      <c r="AG33" s="41" t="s">
        <v>321</v>
      </c>
      <c r="AJ33" s="11">
        <v>16.899999999999999</v>
      </c>
      <c r="AT33">
        <v>0</v>
      </c>
    </row>
    <row r="34" spans="1:46" x14ac:dyDescent="0.3">
      <c r="N34" s="9" t="s">
        <v>94</v>
      </c>
      <c r="O34" s="9"/>
      <c r="P34" s="9"/>
      <c r="Q34" s="9"/>
      <c r="S34" t="s">
        <v>320</v>
      </c>
      <c r="T34" t="s">
        <v>318</v>
      </c>
      <c r="U34" t="s">
        <v>319</v>
      </c>
      <c r="V34" t="s">
        <v>321</v>
      </c>
      <c r="W34" s="47"/>
      <c r="X34" s="79"/>
      <c r="Y34" s="79"/>
      <c r="Z34" s="78"/>
      <c r="AA34" s="80"/>
      <c r="AC34" s="41">
        <v>2016</v>
      </c>
      <c r="AD34" s="41">
        <v>7.3389794849631235E-2</v>
      </c>
      <c r="AE34" s="41">
        <v>2.0475630825675141E-3</v>
      </c>
      <c r="AF34" s="41">
        <v>0.27568876582508595</v>
      </c>
      <c r="AG34" s="41">
        <v>8.3812689617764211E-2</v>
      </c>
      <c r="AJ34" s="11">
        <v>12.8</v>
      </c>
      <c r="AT34">
        <v>0</v>
      </c>
    </row>
    <row r="35" spans="1:46" x14ac:dyDescent="0.3">
      <c r="N35" s="9" t="s">
        <v>89</v>
      </c>
      <c r="O35" s="9"/>
      <c r="P35" s="9"/>
      <c r="Q35" s="9"/>
      <c r="R35">
        <v>2016</v>
      </c>
      <c r="S35">
        <v>3.3465830104607939</v>
      </c>
      <c r="T35">
        <v>1</v>
      </c>
      <c r="U35">
        <v>7.9458000000000002</v>
      </c>
      <c r="V35">
        <v>1.6439953945778101</v>
      </c>
      <c r="W35" s="47">
        <v>2016</v>
      </c>
      <c r="X35" s="81">
        <f>ROUND(S35,2)</f>
        <v>3.35</v>
      </c>
      <c r="Y35" s="81">
        <f t="shared" ref="Y35:AA35" si="23">ROUND(T35,2)</f>
        <v>1</v>
      </c>
      <c r="Z35" s="81">
        <f t="shared" si="23"/>
        <v>7.95</v>
      </c>
      <c r="AA35" s="81">
        <f t="shared" si="23"/>
        <v>1.64</v>
      </c>
      <c r="AC35" s="41">
        <v>2017</v>
      </c>
      <c r="AD35" s="41">
        <v>0.28450146290772188</v>
      </c>
      <c r="AE35" s="41">
        <v>5.8345791266451175E-2</v>
      </c>
      <c r="AF35" s="41">
        <v>0.76259068376325334</v>
      </c>
      <c r="AG35" s="41">
        <v>0.19566208663126677</v>
      </c>
      <c r="AJ35" s="25">
        <v>9.94</v>
      </c>
      <c r="AT35">
        <v>0</v>
      </c>
    </row>
    <row r="36" spans="1:46" x14ac:dyDescent="0.3">
      <c r="N36" s="9" t="s">
        <v>90</v>
      </c>
      <c r="O36" s="9"/>
      <c r="P36" s="9"/>
      <c r="Q36" s="9"/>
      <c r="R36">
        <v>2017</v>
      </c>
      <c r="S36">
        <v>2.3912337957564125</v>
      </c>
      <c r="T36">
        <v>1.139367816091954</v>
      </c>
      <c r="U36">
        <v>14.145695148914033</v>
      </c>
      <c r="V36">
        <v>2.9496788321078196</v>
      </c>
      <c r="W36" s="47">
        <v>2017</v>
      </c>
      <c r="X36" s="81">
        <f t="shared" ref="X36:X38" si="24">ROUND(S36,2)</f>
        <v>2.39</v>
      </c>
      <c r="Y36" s="81">
        <f t="shared" ref="Y36:Y38" si="25">ROUND(T36,2)</f>
        <v>1.1399999999999999</v>
      </c>
      <c r="Z36" s="81">
        <f t="shared" ref="Z36:Z38" si="26">ROUND(U36,2)</f>
        <v>14.15</v>
      </c>
      <c r="AA36" s="81">
        <f t="shared" ref="AA36:AA38" si="27">ROUND(V36,2)</f>
        <v>2.95</v>
      </c>
      <c r="AC36" s="41">
        <v>2023</v>
      </c>
      <c r="AD36" s="41">
        <v>0.40709114309588051</v>
      </c>
      <c r="AE36" s="41">
        <v>0.20328585861014567</v>
      </c>
      <c r="AF36" s="41">
        <v>0.62438208289594488</v>
      </c>
      <c r="AG36" s="41">
        <v>0.13805433700328601</v>
      </c>
      <c r="AJ36" s="25">
        <v>4.0199999999999996</v>
      </c>
      <c r="AT36">
        <v>0</v>
      </c>
    </row>
    <row r="37" spans="1:46" x14ac:dyDescent="0.3">
      <c r="N37" s="9" t="s">
        <v>91</v>
      </c>
      <c r="O37" s="9"/>
      <c r="P37" s="9"/>
      <c r="Q37" s="9"/>
      <c r="R37" s="41">
        <v>2023</v>
      </c>
      <c r="S37" s="41">
        <v>1.6309882009270225</v>
      </c>
      <c r="T37" s="41">
        <v>0.25393197341419332</v>
      </c>
      <c r="U37" s="41">
        <v>3.4451464015540356</v>
      </c>
      <c r="V37" s="41">
        <v>0.98820845631667664</v>
      </c>
      <c r="W37" s="47">
        <v>2023</v>
      </c>
      <c r="X37" s="81">
        <f t="shared" si="24"/>
        <v>1.63</v>
      </c>
      <c r="Y37" s="81">
        <f t="shared" si="25"/>
        <v>0.25</v>
      </c>
      <c r="Z37" s="81">
        <f t="shared" si="26"/>
        <v>3.45</v>
      </c>
      <c r="AA37" s="81">
        <f t="shared" si="27"/>
        <v>0.99</v>
      </c>
      <c r="AC37" s="41" t="s">
        <v>317</v>
      </c>
      <c r="AD37" s="41">
        <v>0.2446516501846133</v>
      </c>
      <c r="AE37" s="41">
        <v>2.0475630825675141E-3</v>
      </c>
      <c r="AF37" s="41">
        <v>0.76259068376325334</v>
      </c>
      <c r="AG37" s="41">
        <v>0.19849329544528255</v>
      </c>
      <c r="AJ37" s="25">
        <v>7.32</v>
      </c>
      <c r="AT37">
        <v>4.4000000000000004</v>
      </c>
    </row>
    <row r="38" spans="1:46" x14ac:dyDescent="0.3">
      <c r="N38" s="9" t="s">
        <v>92</v>
      </c>
      <c r="O38" s="9"/>
      <c r="P38" s="9"/>
      <c r="Q38" s="9"/>
      <c r="R38" t="s">
        <v>317</v>
      </c>
      <c r="S38">
        <v>2.4770501208266058</v>
      </c>
      <c r="T38">
        <v>0.25393197341419332</v>
      </c>
      <c r="U38">
        <v>14.145695148914033</v>
      </c>
      <c r="V38">
        <v>2.3661096134277999</v>
      </c>
      <c r="W38" s="47" t="s">
        <v>317</v>
      </c>
      <c r="X38" s="81">
        <f t="shared" si="24"/>
        <v>2.48</v>
      </c>
      <c r="Y38" s="81">
        <f t="shared" si="25"/>
        <v>0.25</v>
      </c>
      <c r="Z38" s="81">
        <f t="shared" si="26"/>
        <v>14.15</v>
      </c>
      <c r="AA38" s="81">
        <f t="shared" si="27"/>
        <v>2.37</v>
      </c>
      <c r="AL38" s="26">
        <f>AVERAGE(AJ33:AJ37)</f>
        <v>10.196</v>
      </c>
      <c r="AT38">
        <v>0.79100000000000004</v>
      </c>
    </row>
    <row r="39" spans="1:46" x14ac:dyDescent="0.3">
      <c r="N39" s="9" t="s">
        <v>93</v>
      </c>
      <c r="O39" s="9"/>
      <c r="P39" s="9"/>
      <c r="Q39" s="9"/>
      <c r="AI39" s="10">
        <v>2E-3</v>
      </c>
      <c r="AJ39" s="10">
        <v>1.6E-2</v>
      </c>
      <c r="AT39">
        <v>0.13200000000000001</v>
      </c>
    </row>
    <row r="40" spans="1:46" x14ac:dyDescent="0.3">
      <c r="AC40" s="41" t="s">
        <v>87</v>
      </c>
      <c r="AD40" s="41" t="s">
        <v>320</v>
      </c>
      <c r="AE40" s="41" t="s">
        <v>318</v>
      </c>
      <c r="AF40" s="41" t="s">
        <v>319</v>
      </c>
      <c r="AG40" s="41" t="s">
        <v>321</v>
      </c>
      <c r="AI40" s="10">
        <v>1.4999999999999999E-2</v>
      </c>
      <c r="AJ40" s="10">
        <v>0.02</v>
      </c>
      <c r="AT40">
        <v>0.50600000000000001</v>
      </c>
    </row>
    <row r="41" spans="1:46" x14ac:dyDescent="0.3">
      <c r="N41" t="e">
        <f>AVERAGE(N35:N40)</f>
        <v>#DIV/0!</v>
      </c>
      <c r="AC41" s="41">
        <v>2016</v>
      </c>
      <c r="AD41" s="41">
        <v>7.3389794849631235E-2</v>
      </c>
      <c r="AE41" s="41">
        <v>2.0475630825675141E-3</v>
      </c>
      <c r="AF41" s="41">
        <v>0.27568876582508595</v>
      </c>
      <c r="AG41" s="41">
        <v>8.3812689617764211E-2</v>
      </c>
      <c r="AI41" s="10">
        <v>7.0999999999999994E-2</v>
      </c>
      <c r="AJ41" s="10">
        <v>1.9E-2</v>
      </c>
      <c r="AT41">
        <v>0.104</v>
      </c>
    </row>
    <row r="42" spans="1:46" x14ac:dyDescent="0.3">
      <c r="AC42" s="41">
        <v>2017</v>
      </c>
      <c r="AD42" s="41">
        <v>0.28450146290772188</v>
      </c>
      <c r="AE42" s="41">
        <v>5.8345791266451175E-2</v>
      </c>
      <c r="AF42" s="41">
        <v>0.76259068376325334</v>
      </c>
      <c r="AG42" s="41">
        <v>0.19566208663126677</v>
      </c>
      <c r="AI42" s="10">
        <v>2.3E-2</v>
      </c>
      <c r="AJ42" s="10">
        <v>2E-3</v>
      </c>
      <c r="AT42">
        <v>0.49099999999999999</v>
      </c>
    </row>
    <row r="43" spans="1:46" x14ac:dyDescent="0.3">
      <c r="AC43" s="41">
        <v>2023</v>
      </c>
      <c r="AD43" s="41">
        <v>0.40709114309588051</v>
      </c>
      <c r="AE43" s="41">
        <v>0.20328585861014567</v>
      </c>
      <c r="AF43" s="41">
        <v>0.62438208289594488</v>
      </c>
      <c r="AG43" s="41">
        <v>0.13805433700328601</v>
      </c>
      <c r="AI43" s="10">
        <v>8.5000000000000006E-2</v>
      </c>
      <c r="AJ43" s="10">
        <v>2E-3</v>
      </c>
      <c r="AT43">
        <v>0.154</v>
      </c>
    </row>
    <row r="44" spans="1:46" x14ac:dyDescent="0.3">
      <c r="AC44" s="41" t="s">
        <v>317</v>
      </c>
      <c r="AD44" s="41">
        <v>0.2446516501846133</v>
      </c>
      <c r="AE44" s="41">
        <v>2.0475630825675141E-3</v>
      </c>
      <c r="AF44" s="41">
        <v>0.76259068376325334</v>
      </c>
      <c r="AG44" s="41">
        <v>0.19849329544528255</v>
      </c>
      <c r="AT44">
        <v>2.4E-2</v>
      </c>
    </row>
    <row r="45" spans="1:46" x14ac:dyDescent="0.3">
      <c r="AI45" s="10">
        <v>1</v>
      </c>
      <c r="AJ45" s="10">
        <v>5.27</v>
      </c>
      <c r="AT45">
        <v>6.8000000000000005E-2</v>
      </c>
    </row>
    <row r="46" spans="1:46" x14ac:dyDescent="0.3">
      <c r="AI46" s="10">
        <v>1</v>
      </c>
      <c r="AJ46" s="10">
        <v>2.1800000000000002</v>
      </c>
      <c r="AT46">
        <v>1.4999999999999999E-2</v>
      </c>
    </row>
    <row r="47" spans="1:46" x14ac:dyDescent="0.3">
      <c r="A47" s="21" t="s">
        <v>0</v>
      </c>
      <c r="B47" s="21" t="s">
        <v>96</v>
      </c>
      <c r="C47" s="21" t="s">
        <v>1</v>
      </c>
      <c r="D47" s="22" t="s">
        <v>2</v>
      </c>
      <c r="E47" s="21" t="s">
        <v>3</v>
      </c>
      <c r="F47" s="22" t="s">
        <v>4</v>
      </c>
      <c r="G47" s="60" t="s">
        <v>5</v>
      </c>
      <c r="H47" s="21" t="s">
        <v>6</v>
      </c>
      <c r="I47" s="21" t="s">
        <v>7</v>
      </c>
      <c r="J47" s="21" t="s">
        <v>8</v>
      </c>
      <c r="K47" s="60" t="s">
        <v>97</v>
      </c>
      <c r="L47" s="56" t="s">
        <v>9</v>
      </c>
      <c r="M47" s="21"/>
      <c r="N47" s="21" t="s">
        <v>98</v>
      </c>
      <c r="O47" s="21"/>
      <c r="P47" s="21"/>
      <c r="Q47" s="21"/>
      <c r="R47" s="21"/>
      <c r="S47" s="21"/>
      <c r="T47" s="21"/>
      <c r="AI47" s="10">
        <v>1</v>
      </c>
      <c r="AJ47" s="10">
        <v>2.4500000000000002</v>
      </c>
    </row>
    <row r="48" spans="1:46" x14ac:dyDescent="0.3">
      <c r="A48" t="s">
        <v>10</v>
      </c>
      <c r="B48">
        <v>10.7</v>
      </c>
      <c r="C48">
        <v>5.01</v>
      </c>
      <c r="D48" s="9">
        <v>2.1</v>
      </c>
      <c r="E48" t="s">
        <v>99</v>
      </c>
      <c r="F48" s="9">
        <v>1.87</v>
      </c>
      <c r="G48" s="39" t="s">
        <v>11</v>
      </c>
      <c r="H48" t="s">
        <v>11</v>
      </c>
      <c r="I48" t="s">
        <v>11</v>
      </c>
      <c r="J48" t="s">
        <v>11</v>
      </c>
      <c r="K48" s="39">
        <v>0.28699999999999998</v>
      </c>
      <c r="L48" s="55">
        <v>0.17</v>
      </c>
      <c r="M48" s="9"/>
      <c r="N48" t="s">
        <v>100</v>
      </c>
      <c r="AI48" s="10">
        <v>1</v>
      </c>
      <c r="AJ48" s="10">
        <v>0.4</v>
      </c>
    </row>
    <row r="49" spans="1:36" x14ac:dyDescent="0.3">
      <c r="A49" t="s">
        <v>12</v>
      </c>
      <c r="B49">
        <v>8.98</v>
      </c>
      <c r="C49">
        <v>4.79</v>
      </c>
      <c r="D49" s="9">
        <v>1.77</v>
      </c>
      <c r="E49" t="s">
        <v>101</v>
      </c>
      <c r="F49" s="9">
        <v>1.3</v>
      </c>
      <c r="G49" s="39">
        <v>9.5000000000000001E-2</v>
      </c>
      <c r="H49">
        <v>4.16</v>
      </c>
      <c r="I49">
        <v>3.2000000000000001E-2</v>
      </c>
      <c r="J49">
        <v>2.1</v>
      </c>
      <c r="K49" s="39">
        <v>0.36</v>
      </c>
      <c r="L49" s="55">
        <v>0.127</v>
      </c>
      <c r="M49" s="9"/>
      <c r="N49" t="s">
        <v>100</v>
      </c>
      <c r="AI49" s="10">
        <v>1</v>
      </c>
      <c r="AJ49" s="10">
        <v>1.9</v>
      </c>
    </row>
    <row r="50" spans="1:36" x14ac:dyDescent="0.3">
      <c r="A50" t="s">
        <v>13</v>
      </c>
      <c r="B50">
        <v>11.4</v>
      </c>
      <c r="C50">
        <v>4.42</v>
      </c>
      <c r="D50" s="9">
        <v>1.4</v>
      </c>
      <c r="E50" t="s">
        <v>102</v>
      </c>
      <c r="F50" s="9">
        <v>0.89</v>
      </c>
      <c r="G50" s="39">
        <v>0.39500000000000002</v>
      </c>
      <c r="H50">
        <v>2.96</v>
      </c>
      <c r="I50" t="s">
        <v>11</v>
      </c>
      <c r="J50" t="s">
        <v>11</v>
      </c>
      <c r="K50" s="39">
        <v>0.43</v>
      </c>
      <c r="L50" s="55">
        <v>9.5000000000000001E-2</v>
      </c>
      <c r="M50" s="9"/>
      <c r="N50" t="s">
        <v>100</v>
      </c>
      <c r="AD50">
        <v>17</v>
      </c>
    </row>
    <row r="51" spans="1:36" x14ac:dyDescent="0.3">
      <c r="A51" t="s">
        <v>14</v>
      </c>
      <c r="B51">
        <v>9.4</v>
      </c>
      <c r="C51">
        <v>4.87</v>
      </c>
      <c r="D51" s="9">
        <v>1.1599999999999999</v>
      </c>
      <c r="E51" t="s">
        <v>103</v>
      </c>
      <c r="F51" s="9">
        <v>0.34899999999999998</v>
      </c>
      <c r="G51" s="39" t="s">
        <v>11</v>
      </c>
      <c r="H51" t="s">
        <v>11</v>
      </c>
      <c r="I51" t="s">
        <v>11</v>
      </c>
      <c r="J51" t="s">
        <v>11</v>
      </c>
      <c r="K51" s="39">
        <v>0.66700000000000004</v>
      </c>
      <c r="L51" s="55">
        <v>4.2999999999999997E-2</v>
      </c>
      <c r="M51" s="9"/>
      <c r="N51" t="s">
        <v>100</v>
      </c>
      <c r="AD51">
        <v>13</v>
      </c>
      <c r="AI51" s="10">
        <v>0.32200000000000001</v>
      </c>
      <c r="AJ51" s="10">
        <v>0.58299999999999996</v>
      </c>
    </row>
    <row r="52" spans="1:36" x14ac:dyDescent="0.3">
      <c r="A52" t="s">
        <v>15</v>
      </c>
      <c r="B52">
        <v>10.7</v>
      </c>
      <c r="C52">
        <v>10.1</v>
      </c>
      <c r="D52" s="23">
        <v>1.21</v>
      </c>
      <c r="E52" t="s">
        <v>104</v>
      </c>
      <c r="F52" s="23">
        <v>0.60499999999999998</v>
      </c>
      <c r="G52" s="39">
        <v>3.6999999999999998E-2</v>
      </c>
      <c r="H52">
        <v>2.42</v>
      </c>
      <c r="I52">
        <v>2.4E-2</v>
      </c>
      <c r="J52">
        <v>3.18</v>
      </c>
      <c r="K52" s="39">
        <v>0.68200000000000005</v>
      </c>
      <c r="L52" s="55">
        <v>7.4999999999999997E-2</v>
      </c>
      <c r="M52" s="23"/>
      <c r="N52" t="s">
        <v>100</v>
      </c>
      <c r="AD52">
        <v>10.199999999999999</v>
      </c>
      <c r="AI52" s="10">
        <v>0.32300000000000001</v>
      </c>
      <c r="AJ52" s="10">
        <v>0.26</v>
      </c>
    </row>
    <row r="53" spans="1:36" x14ac:dyDescent="0.3">
      <c r="D53" s="9"/>
      <c r="F53" s="9"/>
      <c r="M53" s="9"/>
      <c r="AD53">
        <v>4.1900000000000004</v>
      </c>
      <c r="AI53" s="10">
        <v>0.33800000000000002</v>
      </c>
      <c r="AJ53" s="10">
        <v>0.29099999999999998</v>
      </c>
    </row>
    <row r="54" spans="1:36" x14ac:dyDescent="0.3">
      <c r="A54" t="s">
        <v>10</v>
      </c>
      <c r="B54" t="s">
        <v>105</v>
      </c>
      <c r="C54" t="s">
        <v>106</v>
      </c>
      <c r="D54" s="9"/>
      <c r="E54" t="s">
        <v>107</v>
      </c>
      <c r="F54" s="9"/>
      <c r="G54" s="39">
        <v>0</v>
      </c>
      <c r="H54">
        <v>0</v>
      </c>
      <c r="I54">
        <v>0</v>
      </c>
      <c r="J54">
        <v>0</v>
      </c>
      <c r="M54" s="9"/>
      <c r="N54" t="s">
        <v>108</v>
      </c>
      <c r="AA54" s="41">
        <f>L54*60*60*24/1000000</f>
        <v>0</v>
      </c>
      <c r="AD54">
        <v>7.85</v>
      </c>
      <c r="AI54" s="10">
        <v>0.373</v>
      </c>
      <c r="AJ54" s="10">
        <v>5.0999999999999997E-2</v>
      </c>
    </row>
    <row r="55" spans="1:36" x14ac:dyDescent="0.3">
      <c r="A55" t="s">
        <v>12</v>
      </c>
      <c r="B55" t="s">
        <v>109</v>
      </c>
      <c r="C55" t="s">
        <v>110</v>
      </c>
      <c r="D55" s="9"/>
      <c r="E55" t="s">
        <v>111</v>
      </c>
      <c r="F55" s="9"/>
      <c r="G55" s="39">
        <v>1.52</v>
      </c>
      <c r="H55">
        <v>66.599999999999994</v>
      </c>
      <c r="I55">
        <v>0.25700000000000001</v>
      </c>
      <c r="J55">
        <v>16.8</v>
      </c>
      <c r="M55" s="9"/>
      <c r="N55" t="s">
        <v>108</v>
      </c>
      <c r="AA55" s="41">
        <f t="shared" ref="AA55:AA58" si="28">L55*60*60*24/1000000</f>
        <v>0</v>
      </c>
      <c r="AD55">
        <f>AVERAGE(AD50:AD54)</f>
        <v>10.448</v>
      </c>
      <c r="AI55" s="10">
        <v>0.35299999999999998</v>
      </c>
      <c r="AJ55" s="10">
        <v>0.24299999999999999</v>
      </c>
    </row>
    <row r="56" spans="1:36" x14ac:dyDescent="0.3">
      <c r="A56" t="s">
        <v>13</v>
      </c>
      <c r="B56" t="s">
        <v>112</v>
      </c>
      <c r="C56" t="s">
        <v>113</v>
      </c>
      <c r="D56" s="9"/>
      <c r="E56" t="s">
        <v>114</v>
      </c>
      <c r="F56" s="9"/>
      <c r="G56" s="39">
        <v>6.32</v>
      </c>
      <c r="H56">
        <v>77</v>
      </c>
      <c r="I56">
        <v>0</v>
      </c>
      <c r="J56">
        <v>0</v>
      </c>
      <c r="M56" s="9"/>
      <c r="N56" t="s">
        <v>108</v>
      </c>
      <c r="AA56" s="41">
        <f t="shared" si="28"/>
        <v>0</v>
      </c>
    </row>
    <row r="57" spans="1:36" x14ac:dyDescent="0.3">
      <c r="A57" t="s">
        <v>14</v>
      </c>
      <c r="B57" t="s">
        <v>115</v>
      </c>
      <c r="C57" t="s">
        <v>99</v>
      </c>
      <c r="D57" s="9"/>
      <c r="E57" t="s">
        <v>116</v>
      </c>
      <c r="F57" s="9"/>
      <c r="G57" s="39">
        <v>0</v>
      </c>
      <c r="H57">
        <v>0</v>
      </c>
      <c r="I57">
        <v>0</v>
      </c>
      <c r="J57">
        <v>0</v>
      </c>
      <c r="M57" s="9"/>
      <c r="N57" t="s">
        <v>108</v>
      </c>
      <c r="AA57" s="41">
        <f t="shared" si="28"/>
        <v>0</v>
      </c>
    </row>
    <row r="58" spans="1:36" x14ac:dyDescent="0.3">
      <c r="A58" t="s">
        <v>15</v>
      </c>
      <c r="B58" t="s">
        <v>117</v>
      </c>
      <c r="C58" t="s">
        <v>118</v>
      </c>
      <c r="D58" s="23"/>
      <c r="E58" t="s">
        <v>119</v>
      </c>
      <c r="F58" s="23"/>
      <c r="G58" s="39">
        <v>0.37</v>
      </c>
      <c r="H58">
        <v>24.2</v>
      </c>
      <c r="I58">
        <v>0.22</v>
      </c>
      <c r="J58">
        <v>28.6</v>
      </c>
      <c r="M58" s="23"/>
      <c r="N58" t="s">
        <v>108</v>
      </c>
      <c r="AA58" s="41">
        <f t="shared" si="28"/>
        <v>0</v>
      </c>
    </row>
    <row r="59" spans="1:36" x14ac:dyDescent="0.3">
      <c r="D59" s="9"/>
      <c r="F59" s="9"/>
      <c r="M59" s="9"/>
      <c r="AA59" s="41" t="e">
        <f>AVERAGE(L54:L58)</f>
        <v>#DIV/0!</v>
      </c>
    </row>
    <row r="60" spans="1:36" x14ac:dyDescent="0.3">
      <c r="A60" t="s">
        <v>10</v>
      </c>
      <c r="B60">
        <v>4.9000000000000004</v>
      </c>
      <c r="C60">
        <v>0</v>
      </c>
      <c r="D60" s="9">
        <v>0.42</v>
      </c>
      <c r="E60" t="s">
        <v>120</v>
      </c>
      <c r="F60" s="9">
        <v>0.09</v>
      </c>
      <c r="G60" s="39" t="s">
        <v>11</v>
      </c>
      <c r="H60" t="s">
        <v>11</v>
      </c>
      <c r="I60" t="s">
        <v>11</v>
      </c>
      <c r="J60" t="s">
        <v>11</v>
      </c>
      <c r="K60" s="39">
        <v>1E-3</v>
      </c>
      <c r="L60" s="55">
        <v>1.6E-2</v>
      </c>
      <c r="M60" s="9"/>
      <c r="N60" t="s">
        <v>16</v>
      </c>
    </row>
    <row r="61" spans="1:36" x14ac:dyDescent="0.3">
      <c r="A61" t="s">
        <v>12</v>
      </c>
      <c r="B61">
        <v>-2.7</v>
      </c>
      <c r="C61">
        <v>0</v>
      </c>
      <c r="D61" s="9">
        <v>0.53</v>
      </c>
      <c r="E61" t="s">
        <v>121</v>
      </c>
      <c r="F61" s="9">
        <v>0.114</v>
      </c>
      <c r="G61" s="39">
        <v>0.01</v>
      </c>
      <c r="H61">
        <v>0.56200000000000006</v>
      </c>
      <c r="I61">
        <v>0.01</v>
      </c>
      <c r="J61">
        <v>0.49399999999999999</v>
      </c>
      <c r="K61" s="39">
        <v>1.0999999999999999E-2</v>
      </c>
      <c r="L61" s="55">
        <v>0.02</v>
      </c>
      <c r="M61" s="9"/>
      <c r="N61" t="s">
        <v>16</v>
      </c>
    </row>
    <row r="62" spans="1:36" x14ac:dyDescent="0.3">
      <c r="A62" t="s">
        <v>13</v>
      </c>
      <c r="B62">
        <v>2.7</v>
      </c>
      <c r="C62">
        <v>0</v>
      </c>
      <c r="D62" s="9">
        <v>0.50900000000000001</v>
      </c>
      <c r="E62" t="s">
        <v>121</v>
      </c>
      <c r="F62" s="9">
        <v>0.109</v>
      </c>
      <c r="G62" s="39">
        <v>4.7E-2</v>
      </c>
      <c r="H62">
        <v>0</v>
      </c>
      <c r="I62" t="s">
        <v>11</v>
      </c>
      <c r="J62" t="s">
        <v>11</v>
      </c>
      <c r="K62" s="39">
        <v>7.0999999999999994E-2</v>
      </c>
      <c r="L62" s="55">
        <v>1.9E-2</v>
      </c>
      <c r="M62" s="9"/>
      <c r="N62" t="s">
        <v>16</v>
      </c>
    </row>
    <row r="63" spans="1:36" x14ac:dyDescent="0.3">
      <c r="A63" t="s">
        <v>14</v>
      </c>
      <c r="B63">
        <v>2.14</v>
      </c>
      <c r="C63">
        <v>0</v>
      </c>
      <c r="D63" s="9">
        <v>0.06</v>
      </c>
      <c r="E63" t="s">
        <v>120</v>
      </c>
      <c r="F63" s="9">
        <v>1.2999999999999999E-2</v>
      </c>
      <c r="G63" s="39" t="s">
        <v>11</v>
      </c>
      <c r="H63" t="s">
        <v>11</v>
      </c>
      <c r="I63" t="s">
        <v>11</v>
      </c>
      <c r="J63" t="s">
        <v>11</v>
      </c>
      <c r="K63" s="39">
        <v>1.7999999999999999E-2</v>
      </c>
      <c r="L63" s="55">
        <v>2E-3</v>
      </c>
      <c r="M63" s="9"/>
      <c r="N63" t="s">
        <v>16</v>
      </c>
    </row>
    <row r="64" spans="1:36" x14ac:dyDescent="0.3">
      <c r="A64" t="s">
        <v>15</v>
      </c>
      <c r="B64">
        <v>-1.1299999999999999</v>
      </c>
      <c r="C64">
        <v>0</v>
      </c>
      <c r="D64" s="23">
        <v>0.58399999999999996</v>
      </c>
      <c r="E64">
        <v>14.2</v>
      </c>
      <c r="F64" s="23">
        <v>1.0999999999999999E-2</v>
      </c>
      <c r="G64" s="39">
        <v>0.02</v>
      </c>
      <c r="H64">
        <v>0.25</v>
      </c>
      <c r="I64">
        <v>0.01</v>
      </c>
      <c r="J64">
        <v>0.32</v>
      </c>
      <c r="K64" s="39">
        <v>8.7999999999999995E-2</v>
      </c>
      <c r="L64" s="55">
        <v>2E-3</v>
      </c>
      <c r="M64" s="23"/>
      <c r="N64" t="s">
        <v>16</v>
      </c>
    </row>
    <row r="65" spans="1:14" x14ac:dyDescent="0.3">
      <c r="D65" s="9"/>
      <c r="F65" s="9"/>
      <c r="M65" s="9"/>
    </row>
    <row r="66" spans="1:14" x14ac:dyDescent="0.3">
      <c r="A66" t="s">
        <v>10</v>
      </c>
      <c r="B66">
        <v>16.8</v>
      </c>
      <c r="C66">
        <v>56.9</v>
      </c>
      <c r="D66" s="9">
        <v>7.01</v>
      </c>
      <c r="E66" t="s">
        <v>122</v>
      </c>
      <c r="F66" s="9">
        <v>60.8</v>
      </c>
      <c r="G66" s="39" t="s">
        <v>11</v>
      </c>
      <c r="H66" t="s">
        <v>11</v>
      </c>
      <c r="I66" t="s">
        <v>11</v>
      </c>
      <c r="J66" t="s">
        <v>11</v>
      </c>
      <c r="K66" s="39">
        <v>1</v>
      </c>
      <c r="L66" s="55">
        <v>5.26</v>
      </c>
      <c r="M66" s="9"/>
      <c r="N66" t="s">
        <v>17</v>
      </c>
    </row>
    <row r="67" spans="1:14" x14ac:dyDescent="0.3">
      <c r="A67" t="s">
        <v>12</v>
      </c>
      <c r="B67">
        <v>15.3</v>
      </c>
      <c r="C67">
        <v>40.299999999999997</v>
      </c>
      <c r="D67" s="9">
        <v>3.67</v>
      </c>
      <c r="E67" t="s">
        <v>123</v>
      </c>
      <c r="F67" s="9">
        <v>24.8</v>
      </c>
      <c r="G67" s="39">
        <v>0.53700000000000003</v>
      </c>
      <c r="H67">
        <v>10</v>
      </c>
      <c r="I67">
        <v>5.8999999999999997E-2</v>
      </c>
      <c r="J67">
        <v>3.86</v>
      </c>
      <c r="K67" s="39">
        <v>1</v>
      </c>
      <c r="L67" s="55">
        <v>2.17</v>
      </c>
      <c r="M67" s="9"/>
      <c r="N67" t="s">
        <v>17</v>
      </c>
    </row>
    <row r="68" spans="1:14" x14ac:dyDescent="0.3">
      <c r="A68" t="s">
        <v>13</v>
      </c>
      <c r="B68">
        <v>17.600000000000001</v>
      </c>
      <c r="C68">
        <v>97.2</v>
      </c>
      <c r="D68" s="9">
        <v>2.19</v>
      </c>
      <c r="E68" t="s">
        <v>124</v>
      </c>
      <c r="F68" s="9">
        <v>26</v>
      </c>
      <c r="G68" s="39">
        <v>1.93</v>
      </c>
      <c r="H68">
        <v>52.5</v>
      </c>
      <c r="I68" t="s">
        <v>11</v>
      </c>
      <c r="J68" t="s">
        <v>11</v>
      </c>
      <c r="K68" s="39">
        <v>1</v>
      </c>
      <c r="L68" s="55">
        <v>2.4700000000000002</v>
      </c>
      <c r="M68" s="9"/>
      <c r="N68" t="s">
        <v>17</v>
      </c>
    </row>
    <row r="69" spans="1:14" x14ac:dyDescent="0.3">
      <c r="A69" t="s">
        <v>14</v>
      </c>
      <c r="B69">
        <v>18.100000000000001</v>
      </c>
      <c r="C69">
        <v>40.9</v>
      </c>
      <c r="D69" s="9">
        <v>3.17</v>
      </c>
      <c r="E69" t="s">
        <v>125</v>
      </c>
      <c r="F69" s="9">
        <v>4.2699999999999996</v>
      </c>
      <c r="G69" s="39" t="s">
        <v>11</v>
      </c>
      <c r="H69" t="s">
        <v>11</v>
      </c>
      <c r="I69" t="s">
        <v>11</v>
      </c>
      <c r="J69" t="s">
        <v>11</v>
      </c>
      <c r="K69" s="39">
        <v>1</v>
      </c>
      <c r="L69" s="55">
        <v>0.40100000000000002</v>
      </c>
      <c r="M69" s="9"/>
      <c r="N69" t="s">
        <v>17</v>
      </c>
    </row>
    <row r="70" spans="1:14" x14ac:dyDescent="0.3">
      <c r="A70" t="s">
        <v>15</v>
      </c>
      <c r="B70">
        <v>19.3</v>
      </c>
      <c r="C70" t="s">
        <v>126</v>
      </c>
      <c r="D70" s="23">
        <v>2.0699999999999998</v>
      </c>
      <c r="E70" t="s">
        <v>127</v>
      </c>
      <c r="F70" s="23">
        <v>19.3</v>
      </c>
      <c r="G70" s="39">
        <v>0.06</v>
      </c>
      <c r="H70">
        <v>7.62</v>
      </c>
      <c r="I70">
        <v>0.06</v>
      </c>
      <c r="J70">
        <v>12.8</v>
      </c>
      <c r="K70" s="39">
        <v>1</v>
      </c>
      <c r="L70" s="55">
        <v>1.93</v>
      </c>
      <c r="M70" s="23"/>
      <c r="N70" t="s">
        <v>17</v>
      </c>
    </row>
    <row r="71" spans="1:14" x14ac:dyDescent="0.3">
      <c r="D71" s="9"/>
      <c r="F71" s="9"/>
      <c r="M71" s="9"/>
    </row>
    <row r="72" spans="1:14" x14ac:dyDescent="0.3">
      <c r="A72" t="s">
        <v>10</v>
      </c>
      <c r="B72">
        <v>2.74</v>
      </c>
      <c r="C72">
        <v>10.3</v>
      </c>
      <c r="D72" s="9">
        <v>0.99199999999999999</v>
      </c>
      <c r="E72" t="s">
        <v>128</v>
      </c>
      <c r="F72" s="9">
        <v>6.73</v>
      </c>
      <c r="G72" s="39" t="s">
        <v>11</v>
      </c>
      <c r="H72" t="s">
        <v>11</v>
      </c>
      <c r="I72" t="s">
        <v>11</v>
      </c>
      <c r="J72" t="s">
        <v>11</v>
      </c>
      <c r="K72" s="39">
        <v>0.34599999999999997</v>
      </c>
      <c r="L72" s="55">
        <v>0.58099999999999996</v>
      </c>
      <c r="M72" s="9"/>
      <c r="N72" t="s">
        <v>18</v>
      </c>
    </row>
    <row r="73" spans="1:14" x14ac:dyDescent="0.3">
      <c r="A73" t="s">
        <v>12</v>
      </c>
      <c r="B73">
        <v>3.46</v>
      </c>
      <c r="C73">
        <v>9.23</v>
      </c>
      <c r="D73" s="9">
        <v>0.70699999999999996</v>
      </c>
      <c r="E73" t="s">
        <v>129</v>
      </c>
      <c r="F73" s="9">
        <v>2.93</v>
      </c>
      <c r="G73" s="39">
        <v>0.129</v>
      </c>
      <c r="H73">
        <v>3.19</v>
      </c>
      <c r="I73">
        <v>0.02</v>
      </c>
      <c r="J73">
        <v>1.3</v>
      </c>
      <c r="K73" s="39">
        <v>0.34799999999999998</v>
      </c>
      <c r="L73" s="55">
        <v>0.26</v>
      </c>
      <c r="M73" s="9"/>
      <c r="N73" t="s">
        <v>18</v>
      </c>
    </row>
    <row r="74" spans="1:14" x14ac:dyDescent="0.3">
      <c r="A74" t="s">
        <v>13</v>
      </c>
      <c r="B74">
        <v>3.18</v>
      </c>
      <c r="C74">
        <v>11.7</v>
      </c>
      <c r="D74" s="9">
        <v>0.40300000000000002</v>
      </c>
      <c r="E74" t="s">
        <v>130</v>
      </c>
      <c r="F74" s="9">
        <v>3.02</v>
      </c>
      <c r="G74" s="39">
        <v>0.57299999999999995</v>
      </c>
      <c r="H74">
        <v>10.199999999999999</v>
      </c>
      <c r="I74" t="s">
        <v>11</v>
      </c>
      <c r="J74" t="s">
        <v>11</v>
      </c>
      <c r="K74" s="39">
        <v>0.32500000000000001</v>
      </c>
      <c r="L74" s="55">
        <v>0.29499999999999998</v>
      </c>
      <c r="M74" s="9"/>
      <c r="N74" t="s">
        <v>18</v>
      </c>
    </row>
    <row r="75" spans="1:14" x14ac:dyDescent="0.3">
      <c r="A75" t="s">
        <v>14</v>
      </c>
      <c r="B75">
        <v>3.08</v>
      </c>
      <c r="C75">
        <v>9.35</v>
      </c>
      <c r="D75" s="9">
        <v>0.58199999999999996</v>
      </c>
      <c r="E75" t="s">
        <v>131</v>
      </c>
      <c r="F75" s="9">
        <v>0.54300000000000004</v>
      </c>
      <c r="G75" s="39" t="s">
        <v>11</v>
      </c>
      <c r="H75" t="s">
        <v>11</v>
      </c>
      <c r="I75" t="s">
        <v>11</v>
      </c>
      <c r="J75" t="s">
        <v>11</v>
      </c>
      <c r="K75" s="39">
        <v>0.35299999999999998</v>
      </c>
      <c r="L75" s="55">
        <v>5.1999999999999998E-2</v>
      </c>
      <c r="M75" s="9"/>
      <c r="N75" t="s">
        <v>18</v>
      </c>
    </row>
    <row r="76" spans="1:14" x14ac:dyDescent="0.3">
      <c r="A76" t="s">
        <v>15</v>
      </c>
      <c r="B76">
        <v>4.0199999999999996</v>
      </c>
      <c r="C76">
        <v>18.8</v>
      </c>
      <c r="D76" s="23">
        <v>0.30199999999999999</v>
      </c>
      <c r="E76" t="s">
        <v>132</v>
      </c>
      <c r="F76" s="23">
        <v>2.29</v>
      </c>
      <c r="G76" s="39">
        <v>1.4999999999999999E-2</v>
      </c>
      <c r="H76">
        <v>2.0299999999999998</v>
      </c>
      <c r="I76">
        <v>0.02</v>
      </c>
      <c r="J76">
        <v>3.99</v>
      </c>
      <c r="K76" s="39">
        <v>0.32600000000000001</v>
      </c>
      <c r="L76" s="55">
        <v>0.25900000000000001</v>
      </c>
      <c r="M76" s="23"/>
      <c r="N76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70" zoomScaleNormal="70" workbookViewId="0">
      <selection activeCell="D43" sqref="D43"/>
    </sheetView>
  </sheetViews>
  <sheetFormatPr defaultRowHeight="14.4" x14ac:dyDescent="0.3"/>
  <sheetData>
    <row r="1" spans="1:12" x14ac:dyDescent="0.3">
      <c r="A1" t="s">
        <v>40</v>
      </c>
      <c r="B1" t="s">
        <v>39</v>
      </c>
      <c r="C1" t="s">
        <v>41</v>
      </c>
      <c r="D1" t="s">
        <v>42</v>
      </c>
      <c r="E1" t="s">
        <v>43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85</v>
      </c>
      <c r="L1" t="s">
        <v>87</v>
      </c>
    </row>
    <row r="2" spans="1:12" x14ac:dyDescent="0.3">
      <c r="A2" s="45" t="s">
        <v>44</v>
      </c>
      <c r="B2" s="44">
        <v>8.4911089999999995E-2</v>
      </c>
      <c r="C2" s="44">
        <v>0.51419749999999997</v>
      </c>
      <c r="D2" s="44">
        <v>1.59</v>
      </c>
      <c r="E2" s="44">
        <v>0.59910859000000005</v>
      </c>
      <c r="F2">
        <f>IF(D2 &lt; 2,E2, "")</f>
        <v>0.59910859000000005</v>
      </c>
      <c r="H2">
        <f>IF(D2 &lt; 2,B2,)</f>
        <v>8.4911089999999995E-2</v>
      </c>
      <c r="I2" t="str">
        <f t="shared" ref="I2:I8" si="0">IF(D2 &gt; 2,B2,"")</f>
        <v/>
      </c>
      <c r="J2">
        <v>0</v>
      </c>
      <c r="K2">
        <v>0</v>
      </c>
      <c r="L2">
        <f>B2/(B2+C2)</f>
        <v>0.14172904781752504</v>
      </c>
    </row>
    <row r="3" spans="1:12" x14ac:dyDescent="0.3">
      <c r="A3" s="45" t="s">
        <v>45</v>
      </c>
      <c r="B3" s="44">
        <v>0.13526750000000001</v>
      </c>
      <c r="C3" s="44">
        <v>0.34211465000000002</v>
      </c>
      <c r="D3" s="44">
        <v>1.6</v>
      </c>
      <c r="E3" s="44">
        <v>0.47738215000000001</v>
      </c>
      <c r="F3">
        <f t="shared" ref="F3:F43" si="1">IF(D3 &lt; 2,E3, "")</f>
        <v>0.47738215000000001</v>
      </c>
      <c r="H3">
        <f t="shared" ref="H3:H43" si="2">IF(D3 &lt; 2,B3,)</f>
        <v>0.13526750000000001</v>
      </c>
      <c r="I3" t="str">
        <f t="shared" si="0"/>
        <v/>
      </c>
      <c r="J3">
        <v>7.5999999999999998E-2</v>
      </c>
      <c r="K3">
        <f>MIN(D:D)</f>
        <v>0.95423389999999997</v>
      </c>
      <c r="L3">
        <f t="shared" ref="L3:L43" si="3">B3/(B3+C3)</f>
        <v>0.28335265572874896</v>
      </c>
    </row>
    <row r="4" spans="1:12" x14ac:dyDescent="0.3">
      <c r="A4" s="45" t="s">
        <v>46</v>
      </c>
      <c r="B4" s="44">
        <v>3.1872869999999998E-2</v>
      </c>
      <c r="C4" s="44">
        <v>0.35252170999999999</v>
      </c>
      <c r="D4" s="44">
        <v>1.65</v>
      </c>
      <c r="E4" s="44">
        <v>0.38439456999999999</v>
      </c>
      <c r="F4">
        <f t="shared" si="1"/>
        <v>0.38439456999999999</v>
      </c>
      <c r="H4">
        <f t="shared" si="2"/>
        <v>3.1872869999999998E-2</v>
      </c>
      <c r="I4" t="str">
        <f t="shared" si="0"/>
        <v/>
      </c>
      <c r="L4">
        <f t="shared" si="3"/>
        <v>8.2917064023119158E-2</v>
      </c>
    </row>
    <row r="5" spans="1:12" x14ac:dyDescent="0.3">
      <c r="A5" s="45" t="s">
        <v>46</v>
      </c>
      <c r="B5" s="44">
        <v>1.9109999999999999E-2</v>
      </c>
      <c r="C5" s="44">
        <v>0.35252170999999999</v>
      </c>
      <c r="D5" s="44">
        <v>1.65</v>
      </c>
      <c r="E5" s="44">
        <v>0.37163171</v>
      </c>
      <c r="F5">
        <f t="shared" si="1"/>
        <v>0.37163171</v>
      </c>
      <c r="H5">
        <f t="shared" si="2"/>
        <v>1.9109999999999999E-2</v>
      </c>
      <c r="I5" t="str">
        <f t="shared" si="0"/>
        <v/>
      </c>
      <c r="L5">
        <f t="shared" si="3"/>
        <v>5.142187678225843E-2</v>
      </c>
    </row>
    <row r="6" spans="1:12" x14ac:dyDescent="0.3">
      <c r="A6" s="45" t="s">
        <v>47</v>
      </c>
      <c r="B6" s="44">
        <v>9.8599999999999993E-2</v>
      </c>
      <c r="C6" s="44">
        <v>0.33555723999999998</v>
      </c>
      <c r="D6" s="44">
        <v>1.57</v>
      </c>
      <c r="E6" s="44">
        <v>0.43415724</v>
      </c>
      <c r="F6">
        <f t="shared" si="1"/>
        <v>0.43415724</v>
      </c>
      <c r="H6">
        <f t="shared" si="2"/>
        <v>9.8599999999999993E-2</v>
      </c>
      <c r="I6" t="str">
        <f t="shared" si="0"/>
        <v/>
      </c>
      <c r="L6">
        <f t="shared" si="3"/>
        <v>0.22710665840790767</v>
      </c>
    </row>
    <row r="7" spans="1:12" x14ac:dyDescent="0.3">
      <c r="A7" s="45" t="s">
        <v>48</v>
      </c>
      <c r="B7" s="44">
        <v>5.1999999999999998E-2</v>
      </c>
      <c r="C7" s="44">
        <v>0.41024515</v>
      </c>
      <c r="D7" s="44">
        <v>1.8</v>
      </c>
      <c r="E7" s="44">
        <v>0.46224514999999999</v>
      </c>
      <c r="F7">
        <f t="shared" si="1"/>
        <v>0.46224514999999999</v>
      </c>
      <c r="H7">
        <f t="shared" si="2"/>
        <v>5.1999999999999998E-2</v>
      </c>
      <c r="I7" t="str">
        <f t="shared" si="0"/>
        <v/>
      </c>
      <c r="L7">
        <f t="shared" si="3"/>
        <v>0.11249441989818605</v>
      </c>
    </row>
    <row r="8" spans="1:12" x14ac:dyDescent="0.3">
      <c r="A8" s="45" t="s">
        <v>48</v>
      </c>
      <c r="B8" s="44">
        <v>1.008E-2</v>
      </c>
      <c r="C8" s="44">
        <v>0.41024515</v>
      </c>
      <c r="D8" s="44">
        <v>1.8</v>
      </c>
      <c r="E8" s="44">
        <v>0.42032514999999998</v>
      </c>
      <c r="F8">
        <f t="shared" si="1"/>
        <v>0.42032514999999998</v>
      </c>
      <c r="H8">
        <f t="shared" si="2"/>
        <v>1.008E-2</v>
      </c>
      <c r="I8" t="str">
        <f t="shared" si="0"/>
        <v/>
      </c>
      <c r="L8">
        <f t="shared" si="3"/>
        <v>2.3981434372889656E-2</v>
      </c>
    </row>
    <row r="9" spans="1:12" x14ac:dyDescent="0.3">
      <c r="A9" s="45" t="s">
        <v>49</v>
      </c>
      <c r="B9" s="44">
        <v>0.21290799999999999</v>
      </c>
      <c r="C9" s="44">
        <v>4.9082366799999999</v>
      </c>
      <c r="D9" s="44">
        <v>3.03</v>
      </c>
      <c r="E9" s="44">
        <v>5.1211446799999996</v>
      </c>
      <c r="G9">
        <f>IF(D9 &gt; 2,E9," ")</f>
        <v>5.1211446799999996</v>
      </c>
      <c r="I9">
        <f>IF(D9 &gt; 2,B9,"")</f>
        <v>0.21290799999999999</v>
      </c>
      <c r="L9">
        <f t="shared" si="3"/>
        <v>4.1574298970987092E-2</v>
      </c>
    </row>
    <row r="10" spans="1:12" x14ac:dyDescent="0.3">
      <c r="A10" s="45" t="s">
        <v>49</v>
      </c>
      <c r="B10" s="44">
        <v>3.9826670000000002E-2</v>
      </c>
      <c r="C10" s="44">
        <v>4.9082366799999999</v>
      </c>
      <c r="D10" s="44">
        <v>3.03</v>
      </c>
      <c r="E10" s="44">
        <v>4.94806334</v>
      </c>
      <c r="G10">
        <f t="shared" ref="G10:G17" si="4">IF(D10 &gt; 2,E10,"")</f>
        <v>4.94806334</v>
      </c>
      <c r="I10">
        <f t="shared" ref="I10:I17" si="5">IF(D10 &gt; 2,B10,"")</f>
        <v>3.9826670000000002E-2</v>
      </c>
      <c r="L10">
        <f t="shared" si="3"/>
        <v>8.0489410063838418E-3</v>
      </c>
    </row>
    <row r="11" spans="1:12" x14ac:dyDescent="0.3">
      <c r="A11" s="45" t="s">
        <v>50</v>
      </c>
      <c r="B11" s="44">
        <v>0.53660571000000001</v>
      </c>
      <c r="C11" s="44">
        <v>1.0499152</v>
      </c>
      <c r="D11" s="44">
        <v>2.87</v>
      </c>
      <c r="E11" s="44">
        <f>C11</f>
        <v>1.0499152</v>
      </c>
      <c r="G11">
        <f t="shared" si="4"/>
        <v>1.0499152</v>
      </c>
      <c r="I11">
        <f t="shared" si="5"/>
        <v>0.53660571000000001</v>
      </c>
      <c r="L11">
        <f t="shared" si="3"/>
        <v>0.33822794683493962</v>
      </c>
    </row>
    <row r="12" spans="1:12" x14ac:dyDescent="0.3">
      <c r="A12" s="45" t="s">
        <v>50</v>
      </c>
      <c r="B12" s="44">
        <v>5.9200000000000003E-2</v>
      </c>
      <c r="C12" s="44">
        <v>1.0499152</v>
      </c>
      <c r="D12" s="44">
        <v>2.87</v>
      </c>
      <c r="E12" s="44">
        <f t="shared" ref="E12:E16" si="6">C12</f>
        <v>1.0499152</v>
      </c>
      <c r="G12">
        <f t="shared" si="4"/>
        <v>1.0499152</v>
      </c>
      <c r="I12">
        <f t="shared" si="5"/>
        <v>5.9200000000000003E-2</v>
      </c>
      <c r="L12">
        <f t="shared" si="3"/>
        <v>5.3375880161050902E-2</v>
      </c>
    </row>
    <row r="13" spans="1:12" x14ac:dyDescent="0.3">
      <c r="A13" s="45" t="s">
        <v>51</v>
      </c>
      <c r="B13" s="44">
        <v>2.5440000000000001E-2</v>
      </c>
      <c r="C13" s="44">
        <v>6.0719422600000001</v>
      </c>
      <c r="D13" s="44">
        <v>2.86</v>
      </c>
      <c r="E13" s="44">
        <f t="shared" si="6"/>
        <v>6.0719422600000001</v>
      </c>
      <c r="G13">
        <f t="shared" si="4"/>
        <v>6.0719422600000001</v>
      </c>
      <c r="I13">
        <f t="shared" si="5"/>
        <v>2.5440000000000001E-2</v>
      </c>
      <c r="L13">
        <f t="shared" si="3"/>
        <v>4.1722822869235694E-3</v>
      </c>
    </row>
    <row r="14" spans="1:12" x14ac:dyDescent="0.3">
      <c r="A14" s="45" t="s">
        <v>52</v>
      </c>
      <c r="B14" s="44">
        <v>0.09</v>
      </c>
      <c r="C14" s="44">
        <v>2.5760984100000002</v>
      </c>
      <c r="D14" s="44">
        <v>3.21</v>
      </c>
      <c r="E14" s="44">
        <f t="shared" si="6"/>
        <v>2.5760984100000002</v>
      </c>
      <c r="G14">
        <f t="shared" si="4"/>
        <v>2.5760984100000002</v>
      </c>
      <c r="I14">
        <f t="shared" si="5"/>
        <v>0.09</v>
      </c>
      <c r="L14">
        <f t="shared" si="3"/>
        <v>3.375719353135205E-2</v>
      </c>
    </row>
    <row r="15" spans="1:12" x14ac:dyDescent="0.3">
      <c r="A15" s="45" t="s">
        <v>52</v>
      </c>
      <c r="B15" s="44">
        <v>1.9588000000000001E-2</v>
      </c>
      <c r="C15" s="44">
        <v>2.5760984100000002</v>
      </c>
      <c r="D15" s="44">
        <v>3.21</v>
      </c>
      <c r="E15" s="44">
        <f t="shared" si="6"/>
        <v>2.5760984100000002</v>
      </c>
      <c r="G15">
        <f t="shared" si="4"/>
        <v>2.5760984100000002</v>
      </c>
      <c r="I15">
        <f t="shared" si="5"/>
        <v>1.9588000000000001E-2</v>
      </c>
      <c r="L15">
        <f t="shared" si="3"/>
        <v>7.5463661267155917E-3</v>
      </c>
    </row>
    <row r="16" spans="1:12" x14ac:dyDescent="0.3">
      <c r="A16" s="45" t="s">
        <v>53</v>
      </c>
      <c r="B16" s="44">
        <v>5.7593329999999998E-2</v>
      </c>
      <c r="C16" s="44">
        <v>24.83942648</v>
      </c>
      <c r="D16" s="44">
        <v>3.67</v>
      </c>
      <c r="E16" s="44">
        <f t="shared" si="6"/>
        <v>24.83942648</v>
      </c>
      <c r="G16">
        <f t="shared" si="4"/>
        <v>24.83942648</v>
      </c>
      <c r="I16">
        <f t="shared" si="5"/>
        <v>5.7593329999999998E-2</v>
      </c>
      <c r="L16">
        <f t="shared" si="3"/>
        <v>2.3132620064377093E-3</v>
      </c>
    </row>
    <row r="17" spans="1:12" x14ac:dyDescent="0.3">
      <c r="A17" s="45" t="s">
        <v>54</v>
      </c>
      <c r="B17" s="44">
        <v>5.0099999999999999E-2</v>
      </c>
      <c r="C17" s="44">
        <v>2.3466887500000002</v>
      </c>
      <c r="D17" s="44">
        <v>2.87</v>
      </c>
      <c r="E17" s="44">
        <v>2.3967887499999998</v>
      </c>
      <c r="G17">
        <f t="shared" si="4"/>
        <v>2.3967887499999998</v>
      </c>
      <c r="I17">
        <f t="shared" si="5"/>
        <v>5.0099999999999999E-2</v>
      </c>
      <c r="L17">
        <f t="shared" si="3"/>
        <v>2.0902968607475311E-2</v>
      </c>
    </row>
    <row r="18" spans="1:12" x14ac:dyDescent="0.3">
      <c r="A18" s="45" t="s">
        <v>55</v>
      </c>
      <c r="B18" s="44">
        <v>0.11537778</v>
      </c>
      <c r="C18" s="44">
        <v>0.35924616999999998</v>
      </c>
      <c r="D18" s="44">
        <v>1.556033</v>
      </c>
      <c r="E18" s="44">
        <v>0.47462394000000002</v>
      </c>
      <c r="F18">
        <f t="shared" si="1"/>
        <v>0.47462394000000002</v>
      </c>
      <c r="H18">
        <f t="shared" si="2"/>
        <v>0.11537778</v>
      </c>
      <c r="L18">
        <f t="shared" si="3"/>
        <v>0.24309304239703877</v>
      </c>
    </row>
    <row r="19" spans="1:12" x14ac:dyDescent="0.3">
      <c r="A19" s="45" t="s">
        <v>56</v>
      </c>
      <c r="B19" s="44">
        <v>4.6822219999999998E-2</v>
      </c>
      <c r="C19" s="44">
        <v>0.36996942999999999</v>
      </c>
      <c r="D19" s="44">
        <v>1.532332</v>
      </c>
      <c r="E19" s="44">
        <v>0.41679165000000001</v>
      </c>
      <c r="F19">
        <f t="shared" si="1"/>
        <v>0.41679165000000001</v>
      </c>
      <c r="H19">
        <f t="shared" si="2"/>
        <v>4.6822219999999998E-2</v>
      </c>
      <c r="L19">
        <f t="shared" si="3"/>
        <v>0.11233963060440391</v>
      </c>
    </row>
    <row r="20" spans="1:12" x14ac:dyDescent="0.3">
      <c r="A20" s="45" t="s">
        <v>57</v>
      </c>
      <c r="B20" s="44">
        <v>7.7288889999999999E-2</v>
      </c>
      <c r="C20" s="44">
        <v>0.43760378</v>
      </c>
      <c r="D20" s="44">
        <v>1.61927</v>
      </c>
      <c r="E20" s="44">
        <v>0.51489267000000005</v>
      </c>
      <c r="F20">
        <f t="shared" si="1"/>
        <v>0.51489267000000005</v>
      </c>
      <c r="H20">
        <f t="shared" si="2"/>
        <v>7.7288889999999999E-2</v>
      </c>
      <c r="L20">
        <f t="shared" si="3"/>
        <v>0.15010679798568505</v>
      </c>
    </row>
    <row r="21" spans="1:12" x14ac:dyDescent="0.3">
      <c r="A21" s="45" t="s">
        <v>58</v>
      </c>
      <c r="B21" s="44">
        <v>0.10053333</v>
      </c>
      <c r="C21" s="44">
        <v>0.42080219000000002</v>
      </c>
      <c r="D21" s="44">
        <v>1.707209</v>
      </c>
      <c r="E21" s="44">
        <v>0.52133552000000005</v>
      </c>
      <c r="F21">
        <f t="shared" si="1"/>
        <v>0.52133552000000005</v>
      </c>
      <c r="H21">
        <f t="shared" si="2"/>
        <v>0.10053333</v>
      </c>
      <c r="L21">
        <f t="shared" si="3"/>
        <v>0.19283805945161764</v>
      </c>
    </row>
    <row r="22" spans="1:12" x14ac:dyDescent="0.3">
      <c r="A22" s="45" t="s">
        <v>59</v>
      </c>
      <c r="B22" s="44">
        <v>1.9328000000000001</v>
      </c>
      <c r="C22" s="44">
        <v>0.41115337000000002</v>
      </c>
      <c r="D22" s="44">
        <v>1.6637960000000001</v>
      </c>
      <c r="E22" s="44">
        <v>2.3439533699999999</v>
      </c>
      <c r="F22">
        <f t="shared" si="1"/>
        <v>2.3439533699999999</v>
      </c>
      <c r="H22">
        <f t="shared" si="2"/>
        <v>1.9328000000000001</v>
      </c>
      <c r="L22">
        <f t="shared" si="3"/>
        <v>0.82458978268838179</v>
      </c>
    </row>
    <row r="23" spans="1:12" x14ac:dyDescent="0.3">
      <c r="A23" s="45" t="s">
        <v>60</v>
      </c>
      <c r="B23" s="44">
        <v>0.45333332999999998</v>
      </c>
      <c r="C23" s="44">
        <v>0.47291751999999998</v>
      </c>
      <c r="D23" s="44">
        <v>1.9445209999999999</v>
      </c>
      <c r="E23" s="44">
        <v>0.92625086000000001</v>
      </c>
      <c r="F23">
        <f t="shared" si="1"/>
        <v>0.92625086000000001</v>
      </c>
      <c r="H23">
        <f t="shared" si="2"/>
        <v>0.45333332999999998</v>
      </c>
      <c r="L23">
        <f t="shared" si="3"/>
        <v>0.48942824721834266</v>
      </c>
    </row>
    <row r="24" spans="1:12" x14ac:dyDescent="0.3">
      <c r="A24" s="45" t="s">
        <v>61</v>
      </c>
      <c r="B24" s="44">
        <v>0.22244443999999999</v>
      </c>
      <c r="C24" s="44">
        <v>0.36015335999999998</v>
      </c>
      <c r="D24" s="44">
        <v>1.5613349999999999</v>
      </c>
      <c r="E24" s="44">
        <v>0.58259780000000005</v>
      </c>
      <c r="F24">
        <f t="shared" si="1"/>
        <v>0.58259780000000005</v>
      </c>
      <c r="H24">
        <f t="shared" si="2"/>
        <v>0.22244443999999999</v>
      </c>
      <c r="L24">
        <f t="shared" si="3"/>
        <v>0.38181476140143339</v>
      </c>
    </row>
    <row r="25" spans="1:12" x14ac:dyDescent="0.3">
      <c r="A25" s="45" t="s">
        <v>62</v>
      </c>
      <c r="B25" s="44">
        <v>0.33800000000000002</v>
      </c>
      <c r="C25" s="44">
        <v>0.43838975000000002</v>
      </c>
      <c r="D25" s="44">
        <v>1.8906540000000001</v>
      </c>
      <c r="E25" s="44">
        <v>0.77638974999999999</v>
      </c>
      <c r="F25">
        <f t="shared" si="1"/>
        <v>0.77638974999999999</v>
      </c>
      <c r="H25">
        <f t="shared" si="2"/>
        <v>0.33800000000000002</v>
      </c>
      <c r="L25">
        <f t="shared" si="3"/>
        <v>0.43534835435424024</v>
      </c>
    </row>
    <row r="26" spans="1:12" x14ac:dyDescent="0.3">
      <c r="A26" s="45" t="s">
        <v>63</v>
      </c>
      <c r="B26" s="44">
        <v>0.23324444</v>
      </c>
      <c r="C26" s="44">
        <v>0.40716722</v>
      </c>
      <c r="D26" s="44">
        <v>1.7472760000000001</v>
      </c>
      <c r="E26" s="44">
        <v>0.64041166999999999</v>
      </c>
      <c r="F26">
        <f t="shared" si="1"/>
        <v>0.64041166999999999</v>
      </c>
      <c r="H26">
        <f t="shared" si="2"/>
        <v>0.23324444</v>
      </c>
      <c r="L26">
        <f t="shared" si="3"/>
        <v>0.36421017068927192</v>
      </c>
    </row>
    <row r="27" spans="1:12" x14ac:dyDescent="0.3">
      <c r="A27" s="45" t="s">
        <v>64</v>
      </c>
      <c r="B27" s="44">
        <v>0.43804443999999998</v>
      </c>
      <c r="C27" s="44">
        <v>0.45437303000000001</v>
      </c>
      <c r="D27" s="44">
        <v>1.889448</v>
      </c>
      <c r="E27" s="44">
        <v>0.89241747000000005</v>
      </c>
      <c r="F27">
        <f t="shared" si="1"/>
        <v>0.89241747000000005</v>
      </c>
      <c r="H27">
        <f t="shared" si="2"/>
        <v>0.43804443999999998</v>
      </c>
      <c r="L27">
        <f t="shared" si="3"/>
        <v>0.49085148456360894</v>
      </c>
    </row>
    <row r="28" spans="1:12" x14ac:dyDescent="0.3">
      <c r="A28" s="45" t="s">
        <v>65</v>
      </c>
      <c r="B28" s="44">
        <v>0.22044443999999999</v>
      </c>
      <c r="C28" s="44">
        <v>0.41983016000000001</v>
      </c>
      <c r="D28" s="44">
        <v>1.8306469999999999</v>
      </c>
      <c r="E28" s="44">
        <v>0.64027460000000003</v>
      </c>
      <c r="F28">
        <f t="shared" si="1"/>
        <v>0.64027460000000003</v>
      </c>
      <c r="H28">
        <f t="shared" si="2"/>
        <v>0.22044443999999999</v>
      </c>
      <c r="L28">
        <f t="shared" si="3"/>
        <v>0.34429671269171069</v>
      </c>
    </row>
    <row r="29" spans="1:12" x14ac:dyDescent="0.3">
      <c r="A29" s="45" t="s">
        <v>66</v>
      </c>
      <c r="B29" s="44">
        <v>9.6777779999999994E-2</v>
      </c>
      <c r="C29" s="44">
        <v>0.32496767999999998</v>
      </c>
      <c r="D29" s="44">
        <v>1.4722230000000001</v>
      </c>
      <c r="E29" s="44">
        <v>0.42174545000000002</v>
      </c>
      <c r="F29">
        <f t="shared" si="1"/>
        <v>0.42174545000000002</v>
      </c>
      <c r="H29">
        <f t="shared" si="2"/>
        <v>9.6777779999999994E-2</v>
      </c>
      <c r="L29">
        <f t="shared" si="3"/>
        <v>0.22946964266076511</v>
      </c>
    </row>
    <row r="30" spans="1:12" x14ac:dyDescent="0.3">
      <c r="A30" s="45" t="s">
        <v>67</v>
      </c>
      <c r="B30" s="44">
        <v>0.11377778</v>
      </c>
      <c r="C30" s="44">
        <v>0.34593348000000002</v>
      </c>
      <c r="D30" s="44">
        <v>1.5552569999999999</v>
      </c>
      <c r="E30" s="44">
        <v>0.45971126000000001</v>
      </c>
      <c r="F30">
        <f t="shared" si="1"/>
        <v>0.45971126000000001</v>
      </c>
      <c r="H30">
        <f t="shared" si="2"/>
        <v>0.11377778</v>
      </c>
      <c r="L30">
        <f t="shared" si="3"/>
        <v>0.24749835364050032</v>
      </c>
    </row>
    <row r="31" spans="1:12" x14ac:dyDescent="0.3">
      <c r="A31" s="45" t="s">
        <v>68</v>
      </c>
      <c r="B31" s="44">
        <v>0.14506667000000001</v>
      </c>
      <c r="C31" s="44">
        <v>0.71970524999999996</v>
      </c>
      <c r="D31" s="44">
        <v>1.6898029999999999</v>
      </c>
      <c r="E31" s="44">
        <v>0.86477192000000003</v>
      </c>
      <c r="F31">
        <f t="shared" si="1"/>
        <v>0.86477192000000003</v>
      </c>
      <c r="H31">
        <f t="shared" si="2"/>
        <v>0.14506667000000001</v>
      </c>
      <c r="L31">
        <f t="shared" si="3"/>
        <v>0.16775136500731894</v>
      </c>
    </row>
    <row r="32" spans="1:12" x14ac:dyDescent="0.3">
      <c r="A32" s="45" t="s">
        <v>69</v>
      </c>
      <c r="B32" s="44">
        <v>7.0000000000000007E-2</v>
      </c>
      <c r="C32" s="44">
        <v>0.32929496000000003</v>
      </c>
      <c r="D32" s="44">
        <v>1.5098259999999999</v>
      </c>
      <c r="E32" s="44">
        <v>0.39929495999999998</v>
      </c>
      <c r="F32">
        <f t="shared" si="1"/>
        <v>0.39929495999999998</v>
      </c>
      <c r="H32">
        <f t="shared" si="2"/>
        <v>7.0000000000000007E-2</v>
      </c>
      <c r="L32">
        <f t="shared" si="3"/>
        <v>0.17530899964277036</v>
      </c>
    </row>
    <row r="33" spans="1:12" x14ac:dyDescent="0.3">
      <c r="A33" s="45" t="s">
        <v>70</v>
      </c>
      <c r="B33" s="44">
        <v>1.71733333</v>
      </c>
      <c r="C33" s="44">
        <v>0.31042851999999999</v>
      </c>
      <c r="D33" s="44">
        <v>1.436002</v>
      </c>
      <c r="E33" s="44">
        <v>2.0277618500000001</v>
      </c>
      <c r="F33">
        <f t="shared" si="1"/>
        <v>2.0277618500000001</v>
      </c>
      <c r="H33">
        <f t="shared" si="2"/>
        <v>1.71733333</v>
      </c>
      <c r="L33">
        <f t="shared" si="3"/>
        <v>0.84691076025520451</v>
      </c>
    </row>
    <row r="34" spans="1:12" x14ac:dyDescent="0.3">
      <c r="A34" s="45" t="s">
        <v>71</v>
      </c>
      <c r="B34" s="44">
        <v>0.03</v>
      </c>
      <c r="C34" s="44">
        <v>5.0251129999999998E-2</v>
      </c>
      <c r="D34" s="46">
        <v>1.4562294</v>
      </c>
      <c r="E34" s="44">
        <v>8.0251130000000004E-2</v>
      </c>
      <c r="F34">
        <f t="shared" si="1"/>
        <v>8.0251130000000004E-2</v>
      </c>
      <c r="H34">
        <f t="shared" si="2"/>
        <v>0.03</v>
      </c>
      <c r="L34">
        <f t="shared" si="3"/>
        <v>0.37382651185098575</v>
      </c>
    </row>
    <row r="35" spans="1:12" x14ac:dyDescent="0.3">
      <c r="A35" s="45" t="s">
        <v>72</v>
      </c>
      <c r="B35" s="44">
        <v>0.02</v>
      </c>
      <c r="C35" s="44">
        <v>0.10430912000000001</v>
      </c>
      <c r="D35" s="46">
        <v>1.4511657</v>
      </c>
      <c r="E35" s="44">
        <v>0.12430912</v>
      </c>
      <c r="F35">
        <f t="shared" si="1"/>
        <v>0.12430912</v>
      </c>
      <c r="H35">
        <f t="shared" si="2"/>
        <v>0.02</v>
      </c>
      <c r="L35">
        <f t="shared" si="3"/>
        <v>0.16088924127208043</v>
      </c>
    </row>
    <row r="36" spans="1:12" x14ac:dyDescent="0.3">
      <c r="A36" s="45" t="s">
        <v>73</v>
      </c>
      <c r="B36" s="44">
        <v>0.05</v>
      </c>
      <c r="C36" s="44">
        <v>7.6219640000000005E-2</v>
      </c>
      <c r="D36" s="46">
        <v>1.3547157999999999</v>
      </c>
      <c r="E36" s="44">
        <v>0.12621963999999999</v>
      </c>
      <c r="F36">
        <f t="shared" si="1"/>
        <v>0.12621963999999999</v>
      </c>
      <c r="H36">
        <f t="shared" si="2"/>
        <v>0.05</v>
      </c>
      <c r="L36">
        <f t="shared" si="3"/>
        <v>0.39613486459001146</v>
      </c>
    </row>
    <row r="37" spans="1:12" x14ac:dyDescent="0.3">
      <c r="A37" s="45" t="s">
        <v>74</v>
      </c>
      <c r="B37" s="44">
        <v>0.03</v>
      </c>
      <c r="C37" s="44">
        <v>4.6224210000000002E-2</v>
      </c>
      <c r="D37" s="46">
        <v>1.1954099</v>
      </c>
      <c r="E37" s="44">
        <v>7.6224210000000001E-2</v>
      </c>
      <c r="F37">
        <f t="shared" si="1"/>
        <v>7.6224210000000001E-2</v>
      </c>
      <c r="H37">
        <f t="shared" si="2"/>
        <v>0.03</v>
      </c>
      <c r="L37">
        <f t="shared" si="3"/>
        <v>0.39357574188043404</v>
      </c>
    </row>
    <row r="38" spans="1:12" x14ac:dyDescent="0.3">
      <c r="A38" s="45" t="s">
        <v>75</v>
      </c>
      <c r="B38" s="44">
        <v>0.05</v>
      </c>
      <c r="C38" s="44">
        <v>6.3651540000000006E-2</v>
      </c>
      <c r="D38" s="46">
        <v>1.1633933999999999</v>
      </c>
      <c r="E38" s="44">
        <v>0.11365154</v>
      </c>
      <c r="F38">
        <f t="shared" si="1"/>
        <v>0.11365154</v>
      </c>
      <c r="H38">
        <f t="shared" si="2"/>
        <v>0.05</v>
      </c>
      <c r="L38">
        <f t="shared" si="3"/>
        <v>0.43994124496685216</v>
      </c>
    </row>
    <row r="39" spans="1:12" x14ac:dyDescent="0.3">
      <c r="A39" s="45" t="s">
        <v>76</v>
      </c>
      <c r="B39" s="44">
        <v>0.05</v>
      </c>
      <c r="C39" s="44">
        <v>2.3757859999999999E-2</v>
      </c>
      <c r="D39" s="46">
        <v>1.0180883999999999</v>
      </c>
      <c r="E39" s="44">
        <v>7.3757859999999995E-2</v>
      </c>
      <c r="F39">
        <f t="shared" si="1"/>
        <v>7.3757859999999995E-2</v>
      </c>
      <c r="H39">
        <f t="shared" si="2"/>
        <v>0.05</v>
      </c>
      <c r="L39">
        <f t="shared" si="3"/>
        <v>0.67789385429566418</v>
      </c>
    </row>
    <row r="40" spans="1:12" x14ac:dyDescent="0.3">
      <c r="A40" s="45" t="s">
        <v>77</v>
      </c>
      <c r="B40" s="44">
        <v>0.06</v>
      </c>
      <c r="C40" s="44">
        <v>5.78481E-2</v>
      </c>
      <c r="D40" s="46">
        <v>1.0016925999999999</v>
      </c>
      <c r="E40" s="44">
        <v>0.1178481</v>
      </c>
      <c r="F40">
        <f t="shared" si="1"/>
        <v>0.1178481</v>
      </c>
      <c r="H40">
        <f t="shared" si="2"/>
        <v>0.06</v>
      </c>
      <c r="L40">
        <f t="shared" si="3"/>
        <v>0.50912997324521991</v>
      </c>
    </row>
    <row r="41" spans="1:12" x14ac:dyDescent="0.3">
      <c r="A41" s="45" t="s">
        <v>78</v>
      </c>
      <c r="B41" s="44">
        <v>0.02</v>
      </c>
      <c r="C41" s="44">
        <v>3.7158499999999997E-2</v>
      </c>
      <c r="D41" s="46">
        <v>1.0046206</v>
      </c>
      <c r="E41" s="44">
        <v>5.7158500000000001E-2</v>
      </c>
      <c r="F41">
        <f t="shared" si="1"/>
        <v>5.7158500000000001E-2</v>
      </c>
      <c r="H41">
        <f t="shared" si="2"/>
        <v>0.02</v>
      </c>
      <c r="L41">
        <f t="shared" si="3"/>
        <v>0.34990421372149372</v>
      </c>
    </row>
    <row r="42" spans="1:12" x14ac:dyDescent="0.3">
      <c r="A42" s="45" t="s">
        <v>78</v>
      </c>
      <c r="B42" s="44">
        <v>0.04</v>
      </c>
      <c r="C42" s="44">
        <v>3.7158499999999997E-2</v>
      </c>
      <c r="D42" s="46">
        <v>1.0046206</v>
      </c>
      <c r="E42" s="44">
        <v>7.7158500000000005E-2</v>
      </c>
      <c r="F42">
        <f t="shared" si="1"/>
        <v>7.7158500000000005E-2</v>
      </c>
      <c r="H42">
        <f t="shared" si="2"/>
        <v>0.04</v>
      </c>
      <c r="L42">
        <f t="shared" si="3"/>
        <v>0.51841339580214763</v>
      </c>
    </row>
    <row r="43" spans="1:12" x14ac:dyDescent="0.3">
      <c r="A43" s="45" t="s">
        <v>79</v>
      </c>
      <c r="B43" s="44">
        <v>0.02</v>
      </c>
      <c r="C43" s="44">
        <v>4.9504510000000002E-2</v>
      </c>
      <c r="D43" s="46">
        <v>0.95423389999999997</v>
      </c>
      <c r="E43" s="44">
        <v>6.9504499999999997E-2</v>
      </c>
      <c r="F43">
        <f t="shared" si="1"/>
        <v>6.9504499999999997E-2</v>
      </c>
      <c r="H43">
        <f t="shared" si="2"/>
        <v>0.02</v>
      </c>
      <c r="L43">
        <f t="shared" si="3"/>
        <v>0.28775111140269888</v>
      </c>
    </row>
  </sheetData>
  <conditionalFormatting sqref="D1:E1048576 F1">
    <cfRule type="colorScale" priority="6">
      <colorScale>
        <cfvo type="min"/>
        <cfvo type="max"/>
        <color rgb="FF63BE7B"/>
        <color rgb="FFFCFCFF"/>
      </colorScale>
    </cfRule>
  </conditionalFormatting>
  <conditionalFormatting sqref="E2:E43">
    <cfRule type="colorScale" priority="5">
      <colorScale>
        <cfvo type="min"/>
        <cfvo type="max"/>
        <color rgb="FFF8696B"/>
        <color rgb="FFFCFCFF"/>
      </colorScale>
    </cfRule>
  </conditionalFormatting>
  <conditionalFormatting sqref="G1">
    <cfRule type="colorScale" priority="4">
      <colorScale>
        <cfvo type="min"/>
        <cfvo type="max"/>
        <color rgb="FF63BE7B"/>
        <color rgb="FFFCFCFF"/>
      </colorScale>
    </cfRule>
  </conditionalFormatting>
  <conditionalFormatting sqref="H1">
    <cfRule type="colorScale" priority="3">
      <colorScale>
        <cfvo type="min"/>
        <cfvo type="max"/>
        <color rgb="FF63BE7B"/>
        <color rgb="FFFCFCFF"/>
      </colorScale>
    </cfRule>
  </conditionalFormatting>
  <conditionalFormatting sqref="I1">
    <cfRule type="colorScale" priority="2">
      <colorScale>
        <cfvo type="min"/>
        <cfvo type="max"/>
        <color rgb="FF63BE7B"/>
        <color rgb="FFFCFCFF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opLeftCell="M1" zoomScale="55" zoomScaleNormal="55" workbookViewId="0">
      <selection activeCell="AC34" sqref="AC34"/>
    </sheetView>
  </sheetViews>
  <sheetFormatPr defaultRowHeight="14.4" x14ac:dyDescent="0.3"/>
  <cols>
    <col min="5" max="5" width="22.33203125" style="68" customWidth="1"/>
    <col min="9" max="9" width="0" hidden="1" customWidth="1"/>
    <col min="13" max="13" width="11.88671875" style="28" customWidth="1"/>
    <col min="17" max="17" width="13" customWidth="1"/>
    <col min="19" max="19" width="9.6640625" customWidth="1"/>
    <col min="23" max="23" width="13.44140625" customWidth="1"/>
    <col min="43" max="43" width="22.33203125" style="68" customWidth="1"/>
  </cols>
  <sheetData>
    <row r="1" spans="1:46" s="30" customFormat="1" ht="28.8" x14ac:dyDescent="0.3">
      <c r="A1" s="21" t="s">
        <v>141</v>
      </c>
      <c r="B1" s="21" t="s">
        <v>142</v>
      </c>
      <c r="C1" s="21" t="s">
        <v>143</v>
      </c>
      <c r="D1" s="21" t="s">
        <v>269</v>
      </c>
      <c r="E1" s="21" t="s">
        <v>140</v>
      </c>
      <c r="F1" s="21" t="s">
        <v>42</v>
      </c>
      <c r="G1" s="21" t="s">
        <v>41</v>
      </c>
      <c r="H1" s="21" t="s">
        <v>314</v>
      </c>
      <c r="I1" s="21" t="s">
        <v>11</v>
      </c>
      <c r="J1" s="1" t="s">
        <v>147</v>
      </c>
      <c r="K1" s="1" t="s">
        <v>315</v>
      </c>
      <c r="L1" s="1" t="s">
        <v>148</v>
      </c>
      <c r="M1" s="29" t="s">
        <v>140</v>
      </c>
      <c r="N1" s="1" t="s">
        <v>141</v>
      </c>
      <c r="O1" s="1" t="s">
        <v>142</v>
      </c>
      <c r="P1" s="1" t="s">
        <v>143</v>
      </c>
      <c r="Q1" s="1" t="str">
        <f>CONCATENATE(N1,"-",P1)</f>
        <v>D50_A-D50_B</v>
      </c>
      <c r="R1" s="30" t="str">
        <f>N1</f>
        <v>D50_A</v>
      </c>
      <c r="S1" s="1" t="str">
        <f>CONCATENATE(H1,"-",O1)</f>
        <v>Все bsd-bsd_B</v>
      </c>
      <c r="T1" s="30" t="s">
        <v>145</v>
      </c>
      <c r="V1" s="31" t="s">
        <v>141</v>
      </c>
      <c r="W1" s="31" t="s">
        <v>143</v>
      </c>
      <c r="X1" s="32" t="s">
        <v>144</v>
      </c>
      <c r="Y1" s="32" t="s">
        <v>145</v>
      </c>
      <c r="AM1" s="21"/>
      <c r="AN1" s="21"/>
      <c r="AO1" s="21"/>
      <c r="AP1" s="21"/>
      <c r="AQ1" s="21"/>
      <c r="AR1" s="21"/>
      <c r="AS1" s="21"/>
      <c r="AT1" s="21"/>
    </row>
    <row r="2" spans="1:46" x14ac:dyDescent="0.3">
      <c r="A2">
        <v>1.3820346320346319</v>
      </c>
      <c r="D2" t="s">
        <v>270</v>
      </c>
      <c r="E2" s="68">
        <v>42539.666666666672</v>
      </c>
      <c r="F2">
        <v>1.67</v>
      </c>
      <c r="G2">
        <v>0.38475655129470382</v>
      </c>
      <c r="H2">
        <v>8.491108641975309E-2</v>
      </c>
      <c r="I2">
        <f>J2+L2</f>
        <v>0</v>
      </c>
      <c r="K2">
        <f>IF(I2 &lt; 0.000000000001,H2,0)</f>
        <v>8.491108641975309E-2</v>
      </c>
      <c r="M2" s="28">
        <v>42539.666666666672</v>
      </c>
      <c r="N2">
        <v>1.3820346320346319</v>
      </c>
      <c r="V2" s="33">
        <f>AVERAGE(R:R)</f>
        <v>3.1260466941398666</v>
      </c>
      <c r="W2" s="33">
        <f>AVERAGE(P:P)</f>
        <v>2.847544122544122</v>
      </c>
      <c r="X2" s="34">
        <f>AVERAGE(T:T)*100</f>
        <v>52.686588740333754</v>
      </c>
      <c r="Y2" s="35">
        <f>(V2-W2)/V2*100</f>
        <v>8.9090982587633629</v>
      </c>
    </row>
    <row r="3" spans="1:46" x14ac:dyDescent="0.3">
      <c r="A3">
        <v>1.8690425531914889</v>
      </c>
      <c r="D3" t="s">
        <v>271</v>
      </c>
      <c r="E3" s="68">
        <v>42540.791666666672</v>
      </c>
      <c r="F3">
        <v>1.66</v>
      </c>
      <c r="G3">
        <v>0.35538542738777062</v>
      </c>
      <c r="H3">
        <v>0.13526750000000001</v>
      </c>
      <c r="I3">
        <f t="shared" ref="I3:I54" si="0">J3+L3</f>
        <v>0</v>
      </c>
      <c r="K3">
        <f t="shared" ref="K3:K54" si="1">IF(I3 &lt; 0.000000000001,H3,0)</f>
        <v>0.13526750000000001</v>
      </c>
      <c r="M3" s="28">
        <v>42540.791666666672</v>
      </c>
      <c r="N3">
        <v>1.901406926406926</v>
      </c>
    </row>
    <row r="4" spans="1:46" x14ac:dyDescent="0.3">
      <c r="A4">
        <v>2.5209641255605382</v>
      </c>
      <c r="D4" t="s">
        <v>272</v>
      </c>
      <c r="E4" s="68">
        <v>42541.5</v>
      </c>
      <c r="F4">
        <v>1.53</v>
      </c>
      <c r="G4">
        <v>0.32849151344768862</v>
      </c>
      <c r="H4">
        <v>3.1872866666666673E-2</v>
      </c>
      <c r="I4">
        <f t="shared" si="0"/>
        <v>0</v>
      </c>
      <c r="K4">
        <f t="shared" si="1"/>
        <v>3.1872866666666673E-2</v>
      </c>
      <c r="M4" s="28">
        <v>42541.5</v>
      </c>
      <c r="N4">
        <v>2.4336580086580089</v>
      </c>
    </row>
    <row r="5" spans="1:46" x14ac:dyDescent="0.3">
      <c r="A5">
        <v>3.2694444444444439</v>
      </c>
      <c r="D5" t="s">
        <v>273</v>
      </c>
      <c r="E5" s="68">
        <v>42541.75</v>
      </c>
      <c r="F5">
        <v>1.56</v>
      </c>
      <c r="G5">
        <v>0.3334114570109209</v>
      </c>
      <c r="H5">
        <v>1.9109999999999999E-2</v>
      </c>
      <c r="I5">
        <f t="shared" si="0"/>
        <v>0</v>
      </c>
      <c r="K5">
        <f t="shared" si="1"/>
        <v>1.9109999999999999E-2</v>
      </c>
      <c r="M5" s="28">
        <v>42541.75</v>
      </c>
      <c r="N5">
        <v>1.6559523809523811</v>
      </c>
    </row>
    <row r="6" spans="1:46" x14ac:dyDescent="0.3">
      <c r="A6">
        <v>2.984655172413794</v>
      </c>
      <c r="D6" t="s">
        <v>274</v>
      </c>
      <c r="E6" s="68">
        <v>42542.75</v>
      </c>
      <c r="F6">
        <v>1.81</v>
      </c>
      <c r="G6">
        <v>0.42232088913100002</v>
      </c>
      <c r="H6">
        <v>9.8599999999999993E-2</v>
      </c>
      <c r="I6">
        <f t="shared" si="0"/>
        <v>0</v>
      </c>
      <c r="K6">
        <f t="shared" si="1"/>
        <v>9.8599999999999993E-2</v>
      </c>
      <c r="M6" s="28">
        <v>42542.75</v>
      </c>
      <c r="N6">
        <v>3.7469696969696979</v>
      </c>
    </row>
    <row r="7" spans="1:46" s="69" customFormat="1" x14ac:dyDescent="0.3">
      <c r="A7" s="69">
        <v>2.9184047350620062</v>
      </c>
      <c r="B7" s="69">
        <v>1.008E-2</v>
      </c>
      <c r="C7" s="69">
        <v>3.1023637820512819</v>
      </c>
      <c r="D7" s="69" t="s">
        <v>275</v>
      </c>
      <c r="E7" s="70">
        <v>42543.583333333328</v>
      </c>
      <c r="F7" s="69">
        <v>1.69</v>
      </c>
      <c r="G7" s="69">
        <v>1.9868034079781409</v>
      </c>
      <c r="H7" s="69">
        <v>5.1999999999999998E-2</v>
      </c>
      <c r="I7" s="69">
        <f t="shared" si="0"/>
        <v>0</v>
      </c>
      <c r="K7" s="69">
        <f t="shared" si="1"/>
        <v>5.1999999999999998E-2</v>
      </c>
      <c r="M7" s="71">
        <v>42543.583333333328</v>
      </c>
      <c r="N7" s="69">
        <v>2.241233766233766</v>
      </c>
      <c r="O7" s="69">
        <v>1.008E-2</v>
      </c>
      <c r="P7" s="69">
        <v>1.6760822510822511</v>
      </c>
      <c r="Q7" s="69">
        <f>N7-P7</f>
        <v>0.56515151515151496</v>
      </c>
      <c r="R7" s="69">
        <f>N7</f>
        <v>2.241233766233766</v>
      </c>
      <c r="S7" s="69">
        <f>H7-B7</f>
        <v>4.1919999999999999E-2</v>
      </c>
      <c r="T7" s="69">
        <f>S7/H7</f>
        <v>0.80615384615384622</v>
      </c>
      <c r="U7" s="69">
        <f t="shared" ref="U7:U51" si="2">LOG10(F7)</f>
        <v>0.22788670461367352</v>
      </c>
      <c r="AQ7" s="70"/>
    </row>
    <row r="8" spans="1:46" s="69" customFormat="1" x14ac:dyDescent="0.3">
      <c r="A8" s="69">
        <v>2.9184047350620062</v>
      </c>
      <c r="B8" s="69">
        <v>1.008E-2</v>
      </c>
      <c r="C8" s="69">
        <v>3.1023637820512819</v>
      </c>
      <c r="D8" s="69" t="s">
        <v>276</v>
      </c>
      <c r="E8" s="70">
        <v>42543.583333333328</v>
      </c>
      <c r="F8" s="69">
        <v>1.69</v>
      </c>
      <c r="G8" s="69">
        <v>1.9868034079781409</v>
      </c>
      <c r="H8" s="69">
        <v>1.008E-2</v>
      </c>
      <c r="I8" s="69">
        <f t="shared" si="0"/>
        <v>0</v>
      </c>
      <c r="K8" s="69">
        <f t="shared" si="1"/>
        <v>1.008E-2</v>
      </c>
      <c r="M8" s="71">
        <v>42545.666666666672</v>
      </c>
      <c r="N8" s="69">
        <v>6.2679653679653669</v>
      </c>
      <c r="O8" s="69">
        <v>3.9826666666666663E-2</v>
      </c>
      <c r="P8" s="69">
        <v>3.8609307359307361</v>
      </c>
      <c r="Q8" s="69">
        <f t="shared" ref="Q8:Q51" si="3">N8-P8</f>
        <v>2.4070346320346308</v>
      </c>
      <c r="R8" s="69">
        <f t="shared" ref="R8:R11" si="4">N8</f>
        <v>6.2679653679653669</v>
      </c>
      <c r="S8" s="69">
        <f t="shared" ref="S8:S55" si="5">H8-B8</f>
        <v>0</v>
      </c>
      <c r="T8" s="69">
        <f t="shared" ref="T8:T51" si="6">S8/H8</f>
        <v>0</v>
      </c>
      <c r="U8" s="69">
        <f t="shared" si="2"/>
        <v>0.22788670461367352</v>
      </c>
      <c r="AQ8" s="70"/>
    </row>
    <row r="9" spans="1:46" s="69" customFormat="1" x14ac:dyDescent="0.3">
      <c r="A9" s="69">
        <v>2.3122005748961998</v>
      </c>
      <c r="B9" s="69">
        <v>3.9826666666666663E-2</v>
      </c>
      <c r="C9" s="69">
        <v>8.6589805825242721</v>
      </c>
      <c r="D9" s="69" t="s">
        <v>277</v>
      </c>
      <c r="E9" s="70">
        <v>42545.666666666672</v>
      </c>
      <c r="F9" s="69">
        <v>2.81</v>
      </c>
      <c r="G9" s="69">
        <v>2.2098957160329058</v>
      </c>
      <c r="H9" s="69">
        <v>0.21290799999999999</v>
      </c>
      <c r="I9" s="69">
        <f t="shared" si="0"/>
        <v>0.21290799999999999</v>
      </c>
      <c r="J9" s="69">
        <f>IF(F9&gt;2.4,H9,0)</f>
        <v>0.21290799999999999</v>
      </c>
      <c r="M9" s="71">
        <v>42546.833333333328</v>
      </c>
      <c r="N9" s="69">
        <v>9.9992424242424232</v>
      </c>
      <c r="O9" s="69">
        <v>5.9200000000000003E-2</v>
      </c>
      <c r="P9" s="69">
        <v>2.387337662337663</v>
      </c>
      <c r="Q9" s="69">
        <f t="shared" si="3"/>
        <v>7.6119047619047606</v>
      </c>
      <c r="R9" s="69">
        <f t="shared" si="4"/>
        <v>9.9992424242424232</v>
      </c>
      <c r="S9" s="69">
        <f t="shared" si="5"/>
        <v>0.17308133333333331</v>
      </c>
      <c r="T9" s="69">
        <f t="shared" si="6"/>
        <v>0.81293954822427206</v>
      </c>
      <c r="U9" s="69">
        <f t="shared" si="2"/>
        <v>0.44870631990507992</v>
      </c>
      <c r="AQ9" s="70"/>
    </row>
    <row r="10" spans="1:46" s="69" customFormat="1" x14ac:dyDescent="0.3">
      <c r="A10" s="69">
        <v>2.3122005748961998</v>
      </c>
      <c r="B10" s="69">
        <v>3.9826666666666663E-2</v>
      </c>
      <c r="C10" s="69">
        <v>8.6589805825242721</v>
      </c>
      <c r="D10" s="69" t="s">
        <v>278</v>
      </c>
      <c r="E10" s="70">
        <v>42545.666666666672</v>
      </c>
      <c r="F10" s="69">
        <v>2.81</v>
      </c>
      <c r="G10" s="69">
        <v>2.2098957160329058</v>
      </c>
      <c r="H10" s="69">
        <v>3.9826666666666663E-2</v>
      </c>
      <c r="I10" s="69">
        <f t="shared" si="0"/>
        <v>3.9826666666666663E-2</v>
      </c>
      <c r="J10" s="69">
        <f>IF(F10&gt;2.4,H10,0)</f>
        <v>3.9826666666666663E-2</v>
      </c>
      <c r="M10" s="71">
        <v>42549.541666666672</v>
      </c>
      <c r="N10" s="69">
        <v>0.5622294372294373</v>
      </c>
      <c r="S10" s="69">
        <f t="shared" si="5"/>
        <v>0</v>
      </c>
      <c r="AQ10" s="70"/>
    </row>
    <row r="11" spans="1:46" s="69" customFormat="1" x14ac:dyDescent="0.3">
      <c r="A11" s="69">
        <v>2.2137483227908761</v>
      </c>
      <c r="B11" s="69">
        <v>5.9200000000000003E-2</v>
      </c>
      <c r="C11" s="69">
        <v>5.3231177606177598</v>
      </c>
      <c r="D11" s="69" t="s">
        <v>279</v>
      </c>
      <c r="E11" s="70">
        <v>42546.833333333328</v>
      </c>
      <c r="F11" s="69">
        <v>2.71</v>
      </c>
      <c r="G11" s="69">
        <v>2.8203249675462909</v>
      </c>
      <c r="H11" s="69">
        <v>0.53660571428571435</v>
      </c>
      <c r="I11" s="69">
        <f t="shared" si="0"/>
        <v>0.53660571428571435</v>
      </c>
      <c r="J11" s="69">
        <f>IF(F11&gt;2.4,H11,0)</f>
        <v>0.53660571428571435</v>
      </c>
      <c r="M11" s="71">
        <v>42551.708333333328</v>
      </c>
      <c r="N11" s="69">
        <v>7.2740259740259727</v>
      </c>
      <c r="O11" s="69">
        <v>1.9588000000000001E-2</v>
      </c>
      <c r="P11" s="69">
        <v>0.49372294372294379</v>
      </c>
      <c r="Q11" s="69">
        <f t="shared" si="3"/>
        <v>6.7803030303030294</v>
      </c>
      <c r="R11" s="69">
        <f t="shared" si="4"/>
        <v>7.2740259740259727</v>
      </c>
      <c r="S11" s="69">
        <f t="shared" si="5"/>
        <v>0.47740571428571432</v>
      </c>
      <c r="T11" s="69">
        <f>X22/H11</f>
        <v>0.96349647519860282</v>
      </c>
      <c r="U11" s="69">
        <f t="shared" si="2"/>
        <v>0.43296929087440572</v>
      </c>
      <c r="AQ11" s="70"/>
    </row>
    <row r="12" spans="1:46" s="69" customFormat="1" x14ac:dyDescent="0.3">
      <c r="A12" s="69">
        <v>2.2137483227908761</v>
      </c>
      <c r="B12" s="69">
        <v>5.9200000000000003E-2</v>
      </c>
      <c r="C12" s="69">
        <v>5.3231177606177598</v>
      </c>
      <c r="D12" s="69" t="s">
        <v>280</v>
      </c>
      <c r="E12" s="70">
        <v>42546.833333333328</v>
      </c>
      <c r="F12" s="69">
        <v>2.71</v>
      </c>
      <c r="G12" s="69">
        <v>2.8203249675462909</v>
      </c>
      <c r="H12" s="69">
        <v>5.9200000000000003E-2</v>
      </c>
      <c r="I12" s="69">
        <f t="shared" si="0"/>
        <v>5.9200000000000003E-2</v>
      </c>
      <c r="J12" s="69">
        <f>IF(F12&gt;2.4,H12,0)</f>
        <v>5.9200000000000003E-2</v>
      </c>
      <c r="M12" s="71">
        <v>42552.541666666672</v>
      </c>
      <c r="N12" s="69">
        <v>2.233874458874459</v>
      </c>
      <c r="S12" s="69">
        <f t="shared" si="5"/>
        <v>0</v>
      </c>
      <c r="AQ12" s="70"/>
    </row>
    <row r="13" spans="1:46" x14ac:dyDescent="0.3">
      <c r="A13">
        <v>2.2547743055555549</v>
      </c>
      <c r="D13" t="s">
        <v>281</v>
      </c>
      <c r="E13" s="68">
        <v>42549.541666666672</v>
      </c>
      <c r="F13">
        <v>2.75</v>
      </c>
      <c r="G13">
        <v>0.7001227092786767</v>
      </c>
      <c r="H13">
        <v>2.5440000000000001E-2</v>
      </c>
      <c r="I13">
        <f t="shared" si="0"/>
        <v>2.5440000000000001E-2</v>
      </c>
      <c r="J13">
        <f>IF(F13&gt;2.4,H13,0)</f>
        <v>2.5440000000000001E-2</v>
      </c>
      <c r="M13" s="28">
        <v>42556.666666666672</v>
      </c>
      <c r="N13">
        <v>1.074891774891775</v>
      </c>
      <c r="S13" s="69"/>
    </row>
    <row r="14" spans="1:46" s="69" customFormat="1" x14ac:dyDescent="0.3">
      <c r="A14" s="69">
        <v>6.7211999999999996</v>
      </c>
      <c r="B14" s="69">
        <v>1.9588000000000001E-2</v>
      </c>
      <c r="C14" s="69">
        <v>2.2901606425702812</v>
      </c>
      <c r="D14" s="69" t="s">
        <v>282</v>
      </c>
      <c r="E14" s="70">
        <v>42551.708333333328</v>
      </c>
      <c r="F14" s="69">
        <v>3.08</v>
      </c>
      <c r="G14" s="69">
        <v>9.5469060273478128</v>
      </c>
      <c r="H14" s="69">
        <v>9.0000000000000011E-2</v>
      </c>
      <c r="I14" s="69">
        <f t="shared" si="0"/>
        <v>9.0000000000000011E-2</v>
      </c>
      <c r="J14" s="69">
        <f>IF(F14&gt;2.4,H14,0)</f>
        <v>9.0000000000000011E-2</v>
      </c>
      <c r="M14" s="71">
        <v>42915.75</v>
      </c>
      <c r="R14" s="72">
        <f>CORREL(H$2:H$1048576,N$2:N$1048576)</f>
        <v>-6.1847120369523452E-2</v>
      </c>
      <c r="S14" s="69">
        <f t="shared" si="5"/>
        <v>7.0412000000000002E-2</v>
      </c>
      <c r="AQ14" s="70"/>
    </row>
    <row r="15" spans="1:46" s="69" customFormat="1" x14ac:dyDescent="0.3">
      <c r="A15" s="69">
        <v>6.7211999999999996</v>
      </c>
      <c r="B15" s="69">
        <v>1.9588000000000001E-2</v>
      </c>
      <c r="C15" s="69">
        <v>2.2901606425702812</v>
      </c>
      <c r="D15" s="69" t="s">
        <v>283</v>
      </c>
      <c r="E15" s="70">
        <v>42551.708333333328</v>
      </c>
      <c r="F15" s="69">
        <v>3.08</v>
      </c>
      <c r="G15" s="69">
        <v>9.5469060273478128</v>
      </c>
      <c r="H15" s="69">
        <v>1.9588000000000001E-2</v>
      </c>
      <c r="I15" s="69">
        <f t="shared" si="0"/>
        <v>1.9588000000000001E-2</v>
      </c>
      <c r="J15" s="69">
        <f>IF(F15&gt;2.4,H15,0)</f>
        <v>1.9588000000000001E-2</v>
      </c>
      <c r="M15" s="71">
        <v>42916.416666666672</v>
      </c>
      <c r="R15" s="69">
        <f>MIN(H:H)</f>
        <v>1.008E-2</v>
      </c>
      <c r="S15" s="69">
        <f t="shared" si="5"/>
        <v>0</v>
      </c>
      <c r="AQ15" s="70"/>
    </row>
    <row r="16" spans="1:46" x14ac:dyDescent="0.3">
      <c r="A16">
        <v>3.16579754601227</v>
      </c>
      <c r="D16" t="s">
        <v>284</v>
      </c>
      <c r="E16" s="68">
        <v>42552.541666666672</v>
      </c>
      <c r="F16">
        <v>2.46</v>
      </c>
      <c r="G16">
        <v>5.0445825188606701</v>
      </c>
      <c r="H16">
        <v>5.7593333333333323E-2</v>
      </c>
      <c r="I16">
        <f t="shared" si="0"/>
        <v>5.7593333333333323E-2</v>
      </c>
      <c r="J16">
        <f>IF(F16&gt;2.4,H16,0)</f>
        <v>5.7593333333333323E-2</v>
      </c>
      <c r="M16" s="28">
        <v>42917.416666666672</v>
      </c>
      <c r="S16" s="69"/>
    </row>
    <row r="17" spans="1:27" x14ac:dyDescent="0.3">
      <c r="A17">
        <v>1.4868263473053891</v>
      </c>
      <c r="D17" t="s">
        <v>285</v>
      </c>
      <c r="E17" s="68">
        <v>42556.666666666672</v>
      </c>
      <c r="F17">
        <v>2.57</v>
      </c>
      <c r="G17">
        <v>4.2899824513948701</v>
      </c>
      <c r="H17">
        <v>5.0099999999999999E-2</v>
      </c>
      <c r="I17">
        <f t="shared" si="0"/>
        <v>5.0099999999999999E-2</v>
      </c>
      <c r="J17">
        <f>IF(F17&gt;2.4,H17,0)</f>
        <v>5.0099999999999999E-2</v>
      </c>
      <c r="M17" s="28">
        <v>42922.75</v>
      </c>
      <c r="S17" s="69"/>
    </row>
    <row r="18" spans="1:27" x14ac:dyDescent="0.3">
      <c r="D18" t="s">
        <v>286</v>
      </c>
      <c r="E18" s="68">
        <v>42915.75</v>
      </c>
      <c r="F18">
        <v>1.759094853199993</v>
      </c>
      <c r="G18">
        <v>0.66131272842557587</v>
      </c>
      <c r="H18">
        <v>0.17849999999999999</v>
      </c>
      <c r="I18">
        <f t="shared" si="0"/>
        <v>0</v>
      </c>
      <c r="K18">
        <f t="shared" si="1"/>
        <v>0.17849999999999999</v>
      </c>
      <c r="M18" s="28">
        <v>42927.375</v>
      </c>
      <c r="S18" s="69"/>
    </row>
    <row r="19" spans="1:27" x14ac:dyDescent="0.3">
      <c r="A19">
        <v>3.0724637681159419</v>
      </c>
      <c r="D19" t="s">
        <v>287</v>
      </c>
      <c r="E19" s="68">
        <v>42916.416666666672</v>
      </c>
      <c r="F19">
        <v>1.5474190133999961</v>
      </c>
      <c r="G19">
        <v>0.33275740445957608</v>
      </c>
      <c r="H19">
        <v>0.28106666666666669</v>
      </c>
      <c r="I19">
        <f t="shared" si="0"/>
        <v>0</v>
      </c>
      <c r="K19" s="40">
        <f>H19</f>
        <v>0.28106666666666669</v>
      </c>
      <c r="M19" s="28">
        <v>42928.75</v>
      </c>
      <c r="S19" s="69"/>
    </row>
    <row r="20" spans="1:27" x14ac:dyDescent="0.3">
      <c r="A20">
        <v>0</v>
      </c>
      <c r="D20" t="s">
        <v>288</v>
      </c>
      <c r="E20" s="68">
        <v>42917.416666666672</v>
      </c>
      <c r="F20">
        <v>1.05515617679999</v>
      </c>
      <c r="G20">
        <v>0.22533008335171931</v>
      </c>
      <c r="H20">
        <v>5.5577777777777768E-2</v>
      </c>
      <c r="I20">
        <f>J20+K20</f>
        <v>5.5577777777777768E-2</v>
      </c>
      <c r="K20">
        <f>IF(F20&lt;1.1,H20,0)</f>
        <v>5.5577777777777768E-2</v>
      </c>
      <c r="M20" s="28">
        <v>42931.583333333328</v>
      </c>
      <c r="S20" s="69"/>
    </row>
    <row r="21" spans="1:27" x14ac:dyDescent="0.3">
      <c r="A21">
        <v>0.69600000000000006</v>
      </c>
      <c r="D21" t="s">
        <v>289</v>
      </c>
      <c r="E21" s="68">
        <v>42922.75</v>
      </c>
      <c r="F21">
        <v>1.7244908802000041</v>
      </c>
      <c r="G21">
        <v>0.4623805277555425</v>
      </c>
      <c r="H21">
        <v>0.72222222222222221</v>
      </c>
      <c r="I21">
        <f t="shared" si="0"/>
        <v>0</v>
      </c>
      <c r="K21">
        <f t="shared" si="1"/>
        <v>0.72222222222222221</v>
      </c>
      <c r="M21" s="28">
        <v>42931.791666666672</v>
      </c>
      <c r="S21" s="69"/>
    </row>
    <row r="22" spans="1:27" x14ac:dyDescent="0.3">
      <c r="A22">
        <v>0</v>
      </c>
      <c r="D22" t="s">
        <v>290</v>
      </c>
      <c r="E22" s="68">
        <v>42927.375</v>
      </c>
      <c r="F22">
        <v>1.3416103116000031</v>
      </c>
      <c r="G22">
        <v>0.28673973012775822</v>
      </c>
      <c r="H22">
        <v>1.776666666666667E-2</v>
      </c>
      <c r="I22">
        <f t="shared" si="0"/>
        <v>0</v>
      </c>
      <c r="K22">
        <f t="shared" si="1"/>
        <v>1.776666666666667E-2</v>
      </c>
      <c r="M22" s="28">
        <v>42932.416666666672</v>
      </c>
      <c r="S22" s="69"/>
      <c r="X22">
        <f>H11-O11</f>
        <v>0.5170177142857143</v>
      </c>
    </row>
    <row r="23" spans="1:27" x14ac:dyDescent="0.3">
      <c r="A23">
        <v>1.1000000000000001</v>
      </c>
      <c r="D23" t="s">
        <v>291</v>
      </c>
      <c r="E23" s="68">
        <v>42928.75</v>
      </c>
      <c r="F23">
        <v>1.598238723599996</v>
      </c>
      <c r="G23">
        <v>0.35241072885034708</v>
      </c>
      <c r="H23">
        <v>7.2800000000000004E-2</v>
      </c>
      <c r="I23">
        <f t="shared" si="0"/>
        <v>0</v>
      </c>
      <c r="K23">
        <f t="shared" si="1"/>
        <v>7.2800000000000004E-2</v>
      </c>
      <c r="M23" s="28">
        <v>42933.458333333328</v>
      </c>
      <c r="S23" s="69"/>
    </row>
    <row r="24" spans="1:27" x14ac:dyDescent="0.3">
      <c r="A24">
        <v>1.098214285714286</v>
      </c>
      <c r="D24" t="s">
        <v>292</v>
      </c>
      <c r="E24" s="68">
        <v>42931.583333333328</v>
      </c>
      <c r="F24">
        <v>1.5183920825999939</v>
      </c>
      <c r="G24">
        <v>0.36706224726737391</v>
      </c>
      <c r="H24">
        <v>0.11946666666666669</v>
      </c>
      <c r="I24">
        <f t="shared" si="0"/>
        <v>0</v>
      </c>
      <c r="K24">
        <f t="shared" si="1"/>
        <v>0.11946666666666669</v>
      </c>
      <c r="M24" s="28">
        <v>42935.291666666672</v>
      </c>
      <c r="S24" s="69"/>
      <c r="AA24">
        <f>CORREL(P:P,U:U)</f>
        <v>-0.32257267323233341</v>
      </c>
    </row>
    <row r="25" spans="1:27" x14ac:dyDescent="0.3">
      <c r="A25">
        <v>1.2960526315789469</v>
      </c>
      <c r="D25" t="s">
        <v>293</v>
      </c>
      <c r="E25" s="68">
        <v>42931.791666666672</v>
      </c>
      <c r="F25">
        <v>1.5160689053999949</v>
      </c>
      <c r="G25">
        <v>0.35406083604836908</v>
      </c>
      <c r="H25">
        <v>0.35466666666666669</v>
      </c>
      <c r="I25">
        <f t="shared" si="0"/>
        <v>0</v>
      </c>
      <c r="K25" s="40">
        <f>H25</f>
        <v>0.35466666666666669</v>
      </c>
      <c r="M25" s="28">
        <v>42935.708333333328</v>
      </c>
      <c r="S25" s="69"/>
    </row>
    <row r="26" spans="1:27" x14ac:dyDescent="0.3">
      <c r="A26">
        <v>14.12953570035115</v>
      </c>
      <c r="D26" t="s">
        <v>294</v>
      </c>
      <c r="E26" s="68">
        <v>42932.416666666672</v>
      </c>
      <c r="F26">
        <v>1.3825680101999891</v>
      </c>
      <c r="G26">
        <v>0.29620246270373912</v>
      </c>
      <c r="H26">
        <v>0.7404222222222222</v>
      </c>
      <c r="I26">
        <f t="shared" si="0"/>
        <v>0</v>
      </c>
      <c r="K26">
        <f t="shared" si="1"/>
        <v>0.7404222222222222</v>
      </c>
      <c r="M26" s="28">
        <v>42942.666666666672</v>
      </c>
      <c r="N26">
        <v>0.57608695652173914</v>
      </c>
      <c r="S26" s="69"/>
    </row>
    <row r="27" spans="1:27" x14ac:dyDescent="0.3">
      <c r="A27">
        <v>1.363333333333334</v>
      </c>
      <c r="D27" t="s">
        <v>295</v>
      </c>
      <c r="E27" s="68">
        <v>42933.458333333328</v>
      </c>
      <c r="F27">
        <v>1.3972884155999981</v>
      </c>
      <c r="G27">
        <v>0.3237142462064157</v>
      </c>
      <c r="H27">
        <v>6.2000000000000013E-2</v>
      </c>
      <c r="I27">
        <f t="shared" si="0"/>
        <v>0</v>
      </c>
      <c r="K27">
        <f t="shared" si="1"/>
        <v>6.2000000000000013E-2</v>
      </c>
      <c r="M27" s="28">
        <v>42943.791666666672</v>
      </c>
      <c r="N27">
        <v>0.38224637681159418</v>
      </c>
      <c r="S27" s="69"/>
    </row>
    <row r="28" spans="1:27" x14ac:dyDescent="0.3">
      <c r="A28">
        <v>0</v>
      </c>
      <c r="D28" t="s">
        <v>296</v>
      </c>
      <c r="E28" s="68">
        <v>42935.291666666672</v>
      </c>
      <c r="F28">
        <v>1.225799038800006</v>
      </c>
      <c r="G28">
        <v>0.34643659019388962</v>
      </c>
      <c r="H28">
        <v>3.3066666666666668E-2</v>
      </c>
      <c r="I28">
        <f t="shared" si="0"/>
        <v>0</v>
      </c>
      <c r="K28">
        <f t="shared" si="1"/>
        <v>3.3066666666666668E-2</v>
      </c>
      <c r="M28" s="28">
        <v>42945.791666666672</v>
      </c>
      <c r="N28">
        <v>0.48641304347826092</v>
      </c>
      <c r="S28" s="69"/>
    </row>
    <row r="29" spans="1:27" x14ac:dyDescent="0.3">
      <c r="A29">
        <v>1.5492318435754191</v>
      </c>
      <c r="D29" t="s">
        <v>297</v>
      </c>
      <c r="E29" s="68">
        <v>42935.708333333328</v>
      </c>
      <c r="F29">
        <v>1.554329741400007</v>
      </c>
      <c r="G29">
        <v>0.49608321366654162</v>
      </c>
      <c r="H29">
        <v>0.41368888888888888</v>
      </c>
      <c r="I29">
        <f t="shared" si="0"/>
        <v>0</v>
      </c>
      <c r="K29" s="40">
        <f>H29</f>
        <v>0.41368888888888888</v>
      </c>
      <c r="M29" s="28">
        <v>42946.75</v>
      </c>
      <c r="N29">
        <v>0.43478260869565211</v>
      </c>
      <c r="S29" s="69"/>
      <c r="X29">
        <v>0</v>
      </c>
      <c r="Y29">
        <v>0</v>
      </c>
    </row>
    <row r="30" spans="1:27" x14ac:dyDescent="0.3">
      <c r="A30">
        <v>1.347457627118644</v>
      </c>
      <c r="D30" t="s">
        <v>298</v>
      </c>
      <c r="E30" s="68">
        <v>42942.666666666672</v>
      </c>
      <c r="F30">
        <v>1.7290153312712271</v>
      </c>
      <c r="G30">
        <v>0.66163952292485151</v>
      </c>
      <c r="H30">
        <v>0.1153777777777778</v>
      </c>
      <c r="I30">
        <f t="shared" si="0"/>
        <v>0</v>
      </c>
      <c r="K30">
        <f t="shared" si="1"/>
        <v>0.1153777777777778</v>
      </c>
      <c r="M30" s="28">
        <v>42947.708333333328</v>
      </c>
      <c r="S30" s="69"/>
      <c r="X30">
        <v>0.85</v>
      </c>
      <c r="Y30">
        <v>0.02</v>
      </c>
      <c r="Z30">
        <v>1.9328000000000001</v>
      </c>
    </row>
    <row r="31" spans="1:27" x14ac:dyDescent="0.3">
      <c r="A31">
        <v>1.0765306122448981</v>
      </c>
      <c r="D31" t="s">
        <v>299</v>
      </c>
      <c r="E31" s="68">
        <v>42943.791666666672</v>
      </c>
      <c r="F31">
        <v>1.7709427945317699</v>
      </c>
      <c r="G31">
        <v>0.45449331628529033</v>
      </c>
      <c r="H31">
        <v>4.6822222222222223E-2</v>
      </c>
      <c r="I31">
        <f t="shared" si="0"/>
        <v>0</v>
      </c>
      <c r="K31">
        <f t="shared" si="1"/>
        <v>4.6822222222222223E-2</v>
      </c>
      <c r="M31" s="28">
        <v>42949.75</v>
      </c>
      <c r="N31">
        <v>1.125</v>
      </c>
      <c r="S31" s="69"/>
    </row>
    <row r="32" spans="1:27" x14ac:dyDescent="0.3">
      <c r="A32">
        <v>1.428191489361702</v>
      </c>
      <c r="D32" t="s">
        <v>300</v>
      </c>
      <c r="E32" s="68">
        <v>42945.791666666672</v>
      </c>
      <c r="F32">
        <v>1.7436416392789249</v>
      </c>
      <c r="G32">
        <v>0.5238613821004301</v>
      </c>
      <c r="H32">
        <v>7.7288888888888893E-2</v>
      </c>
      <c r="I32">
        <f t="shared" si="0"/>
        <v>0</v>
      </c>
      <c r="K32">
        <f t="shared" si="1"/>
        <v>7.7288888888888893E-2</v>
      </c>
      <c r="M32" s="28">
        <v>42953.791666666672</v>
      </c>
      <c r="N32">
        <v>0.63949275362318847</v>
      </c>
      <c r="S32" s="69"/>
    </row>
    <row r="33" spans="1:43" x14ac:dyDescent="0.3">
      <c r="A33">
        <v>1.0344827586206899</v>
      </c>
      <c r="D33" t="s">
        <v>301</v>
      </c>
      <c r="E33" s="68">
        <v>42946.75</v>
      </c>
      <c r="F33">
        <v>1.8043718316612489</v>
      </c>
      <c r="G33">
        <v>0.66810840127549009</v>
      </c>
      <c r="H33">
        <v>0.10053333333333329</v>
      </c>
      <c r="I33">
        <f t="shared" si="0"/>
        <v>0</v>
      </c>
      <c r="K33">
        <f t="shared" si="1"/>
        <v>0.10053333333333329</v>
      </c>
      <c r="M33" s="28">
        <v>42954.75</v>
      </c>
      <c r="N33">
        <v>1.0923913043478259</v>
      </c>
      <c r="S33" s="69"/>
    </row>
    <row r="34" spans="1:43" x14ac:dyDescent="0.3">
      <c r="A34">
        <v>2.1330022075055188</v>
      </c>
      <c r="D34" t="s">
        <v>302</v>
      </c>
      <c r="E34" s="68">
        <v>42947.708333333328</v>
      </c>
      <c r="F34">
        <v>2.204039871754699</v>
      </c>
      <c r="G34">
        <v>0.60171824307892929</v>
      </c>
      <c r="H34">
        <v>1.9328000000000001</v>
      </c>
      <c r="I34">
        <f t="shared" si="0"/>
        <v>0</v>
      </c>
      <c r="K34">
        <f t="shared" si="1"/>
        <v>1.9328000000000001</v>
      </c>
      <c r="M34" s="28">
        <v>42956.708333333328</v>
      </c>
      <c r="N34">
        <v>0.6557971014492755</v>
      </c>
      <c r="S34" s="69"/>
    </row>
    <row r="35" spans="1:43" x14ac:dyDescent="0.3">
      <c r="A35">
        <v>1.0349999999999999</v>
      </c>
      <c r="D35" t="s">
        <v>303</v>
      </c>
      <c r="E35" s="68">
        <v>42949.75</v>
      </c>
      <c r="F35">
        <v>2.063020294670971</v>
      </c>
      <c r="G35">
        <v>0.49399926459924942</v>
      </c>
      <c r="H35">
        <v>0.45333333333333331</v>
      </c>
      <c r="I35">
        <f t="shared" si="0"/>
        <v>0</v>
      </c>
      <c r="K35">
        <f t="shared" si="1"/>
        <v>0.45333333333333331</v>
      </c>
      <c r="M35" s="28">
        <v>42957.708333333328</v>
      </c>
      <c r="N35">
        <v>1.442028985507247</v>
      </c>
      <c r="S35" s="69"/>
    </row>
    <row r="36" spans="1:43" x14ac:dyDescent="0.3">
      <c r="A36">
        <v>1.1461038961038961</v>
      </c>
      <c r="D36" t="s">
        <v>304</v>
      </c>
      <c r="E36" s="68">
        <v>42953.791666666672</v>
      </c>
      <c r="F36">
        <v>2.0169034876951701</v>
      </c>
      <c r="G36">
        <v>0.53739045435681432</v>
      </c>
      <c r="H36">
        <v>0.2224444444444445</v>
      </c>
      <c r="I36">
        <f t="shared" si="0"/>
        <v>0</v>
      </c>
      <c r="K36">
        <f t="shared" si="1"/>
        <v>0.2224444444444445</v>
      </c>
      <c r="M36" s="28">
        <v>42958.75</v>
      </c>
      <c r="N36">
        <v>0.65217391304347816</v>
      </c>
      <c r="S36" s="69"/>
    </row>
    <row r="37" spans="1:43" x14ac:dyDescent="0.3">
      <c r="A37">
        <v>1.2884615384615381</v>
      </c>
      <c r="D37" t="s">
        <v>305</v>
      </c>
      <c r="E37" s="68">
        <v>42954.75</v>
      </c>
      <c r="F37">
        <v>2.1136497507983401</v>
      </c>
      <c r="G37">
        <v>0.75038495730024724</v>
      </c>
      <c r="H37">
        <v>0.33800000000000002</v>
      </c>
      <c r="I37">
        <f t="shared" si="0"/>
        <v>0</v>
      </c>
      <c r="K37">
        <f t="shared" si="1"/>
        <v>0.33800000000000002</v>
      </c>
      <c r="M37" s="28">
        <v>42960.791666666672</v>
      </c>
      <c r="N37">
        <v>0.59510869565217395</v>
      </c>
      <c r="S37" s="69"/>
    </row>
    <row r="38" spans="1:43" x14ac:dyDescent="0.3">
      <c r="A38">
        <v>1.1036585365853659</v>
      </c>
      <c r="D38" t="s">
        <v>306</v>
      </c>
      <c r="E38" s="68">
        <v>42956.708333333328</v>
      </c>
      <c r="F38">
        <v>2.3390219687048299</v>
      </c>
      <c r="G38">
        <v>2.652974380028279</v>
      </c>
      <c r="H38">
        <v>0.23324444444444439</v>
      </c>
      <c r="I38">
        <f t="shared" si="0"/>
        <v>0</v>
      </c>
      <c r="K38">
        <f t="shared" si="1"/>
        <v>0.23324444444444439</v>
      </c>
      <c r="M38" s="28">
        <v>42963.75</v>
      </c>
      <c r="N38">
        <v>0.3731884057971015</v>
      </c>
      <c r="S38" s="69"/>
    </row>
    <row r="39" spans="1:43" x14ac:dyDescent="0.3">
      <c r="A39">
        <v>1.2922077922077919</v>
      </c>
      <c r="D39" t="s">
        <v>307</v>
      </c>
      <c r="E39" s="68">
        <v>42957.708333333328</v>
      </c>
      <c r="F39">
        <v>2.3167505278715348</v>
      </c>
      <c r="G39">
        <v>1.224241995699098</v>
      </c>
      <c r="H39">
        <v>0.43804444444444451</v>
      </c>
      <c r="I39">
        <f t="shared" si="0"/>
        <v>0</v>
      </c>
      <c r="K39">
        <f t="shared" si="1"/>
        <v>0.43804444444444451</v>
      </c>
      <c r="M39" s="28">
        <v>42965.708333333328</v>
      </c>
      <c r="N39">
        <v>0.44112318840579712</v>
      </c>
      <c r="S39" s="69"/>
    </row>
    <row r="40" spans="1:43" x14ac:dyDescent="0.3">
      <c r="A40">
        <v>1.125</v>
      </c>
      <c r="D40" t="s">
        <v>308</v>
      </c>
      <c r="E40" s="68">
        <v>42958.75</v>
      </c>
      <c r="F40">
        <v>1.724478376766043</v>
      </c>
      <c r="G40">
        <v>0.37621056705897932</v>
      </c>
      <c r="H40">
        <v>0.2204444444444445</v>
      </c>
      <c r="I40">
        <f t="shared" si="0"/>
        <v>0</v>
      </c>
      <c r="K40">
        <f t="shared" si="1"/>
        <v>0.2204444444444445</v>
      </c>
      <c r="M40" s="28">
        <v>42967.541666666672</v>
      </c>
      <c r="N40">
        <v>0.25905797101449268</v>
      </c>
      <c r="S40" s="69"/>
    </row>
    <row r="41" spans="1:43" x14ac:dyDescent="0.3">
      <c r="A41">
        <v>1.2257462686567171</v>
      </c>
      <c r="D41" t="s">
        <v>309</v>
      </c>
      <c r="E41" s="68">
        <v>42960.791666666672</v>
      </c>
      <c r="F41">
        <v>1.6658511142043331</v>
      </c>
      <c r="G41">
        <v>0.38495153441409929</v>
      </c>
      <c r="H41">
        <v>9.6777777777777782E-2</v>
      </c>
      <c r="I41">
        <f t="shared" si="0"/>
        <v>0</v>
      </c>
      <c r="K41">
        <f t="shared" si="1"/>
        <v>9.6777777777777782E-2</v>
      </c>
      <c r="M41" s="28">
        <v>42970.708333333328</v>
      </c>
      <c r="S41" s="69"/>
      <c r="Z41">
        <v>1.7173333333333329</v>
      </c>
    </row>
    <row r="42" spans="1:43" x14ac:dyDescent="0.3">
      <c r="A42">
        <v>1.2875000000000001</v>
      </c>
      <c r="D42" t="s">
        <v>310</v>
      </c>
      <c r="E42" s="68">
        <v>42963.75</v>
      </c>
      <c r="F42">
        <v>1.7251051199999961</v>
      </c>
      <c r="G42">
        <v>0.55295702694936411</v>
      </c>
      <c r="H42">
        <v>0.1137777777777778</v>
      </c>
      <c r="I42">
        <f t="shared" si="0"/>
        <v>0</v>
      </c>
      <c r="K42">
        <f t="shared" si="1"/>
        <v>0.1137777777777778</v>
      </c>
      <c r="M42" s="28">
        <v>45149.708333333328</v>
      </c>
      <c r="N42">
        <v>0.25</v>
      </c>
      <c r="O42">
        <v>0.06</v>
      </c>
      <c r="P42">
        <v>0.32</v>
      </c>
      <c r="Q42">
        <f t="shared" si="3"/>
        <v>-7.0000000000000007E-2</v>
      </c>
      <c r="R42">
        <f>N42</f>
        <v>0.25</v>
      </c>
      <c r="S42" s="69">
        <f t="shared" si="5"/>
        <v>0.1137777777777778</v>
      </c>
      <c r="T42">
        <f t="shared" si="6"/>
        <v>1</v>
      </c>
      <c r="U42">
        <f t="shared" si="2"/>
        <v>0.23681556413101137</v>
      </c>
    </row>
    <row r="43" spans="1:43" x14ac:dyDescent="0.3">
      <c r="A43">
        <v>1.1936274509803919</v>
      </c>
      <c r="D43" t="s">
        <v>311</v>
      </c>
      <c r="E43" s="68">
        <v>42965.708333333328</v>
      </c>
      <c r="F43">
        <v>2.0705433600000038</v>
      </c>
      <c r="G43">
        <v>0.89707629536983313</v>
      </c>
      <c r="H43">
        <v>0.1450666666666667</v>
      </c>
      <c r="I43">
        <f t="shared" si="0"/>
        <v>0</v>
      </c>
      <c r="K43">
        <f t="shared" si="1"/>
        <v>0.1450666666666667</v>
      </c>
      <c r="M43" s="28">
        <v>45150.708333333328</v>
      </c>
      <c r="N43">
        <v>2.15</v>
      </c>
      <c r="O43">
        <v>0.01</v>
      </c>
      <c r="P43">
        <v>0.33</v>
      </c>
      <c r="Q43">
        <f t="shared" si="3"/>
        <v>1.8199999999999998</v>
      </c>
      <c r="R43">
        <f t="shared" ref="R43:R51" si="7">N43</f>
        <v>2.15</v>
      </c>
      <c r="S43" s="69">
        <f t="shared" si="5"/>
        <v>0.1450666666666667</v>
      </c>
      <c r="T43">
        <f t="shared" si="6"/>
        <v>1</v>
      </c>
      <c r="U43">
        <f t="shared" si="2"/>
        <v>0.31608432965199845</v>
      </c>
    </row>
    <row r="44" spans="1:43" x14ac:dyDescent="0.3">
      <c r="A44">
        <v>1.43</v>
      </c>
      <c r="D44" t="s">
        <v>312</v>
      </c>
      <c r="E44" s="68">
        <v>42967.541666666672</v>
      </c>
      <c r="F44">
        <v>1.868013759999992</v>
      </c>
      <c r="G44">
        <v>0.54202768311960292</v>
      </c>
      <c r="H44">
        <v>7.0000000000000007E-2</v>
      </c>
      <c r="I44">
        <f t="shared" si="0"/>
        <v>0</v>
      </c>
      <c r="K44">
        <f t="shared" si="1"/>
        <v>7.0000000000000007E-2</v>
      </c>
      <c r="M44" s="28">
        <v>45152.458333333328</v>
      </c>
      <c r="N44">
        <v>0.7</v>
      </c>
      <c r="O44">
        <v>0.05</v>
      </c>
      <c r="P44">
        <v>4.78</v>
      </c>
      <c r="Q44">
        <f t="shared" si="3"/>
        <v>-4.08</v>
      </c>
      <c r="R44">
        <f t="shared" si="7"/>
        <v>0.7</v>
      </c>
      <c r="S44" s="69">
        <f t="shared" si="5"/>
        <v>7.0000000000000007E-2</v>
      </c>
      <c r="T44">
        <f t="shared" si="6"/>
        <v>1</v>
      </c>
      <c r="U44">
        <f t="shared" si="2"/>
        <v>0.27138007096798133</v>
      </c>
    </row>
    <row r="45" spans="1:43" x14ac:dyDescent="0.3">
      <c r="D45" t="s">
        <v>313</v>
      </c>
      <c r="E45" s="68">
        <v>42970.708333333328</v>
      </c>
      <c r="F45">
        <v>2.5335758399999908</v>
      </c>
      <c r="G45">
        <v>2.4601821987741759</v>
      </c>
      <c r="H45">
        <v>1.7173333333333329</v>
      </c>
      <c r="I45">
        <f t="shared" si="0"/>
        <v>1.7173333333333329</v>
      </c>
      <c r="J45">
        <f>IF(F45&gt;2.4,H45,0)</f>
        <v>1.7173333333333329</v>
      </c>
      <c r="M45" s="28">
        <v>45155.541666666672</v>
      </c>
      <c r="N45">
        <v>2.5499999999999998</v>
      </c>
      <c r="O45">
        <v>0.04</v>
      </c>
      <c r="P45">
        <v>4.63</v>
      </c>
      <c r="Q45">
        <f t="shared" si="3"/>
        <v>-2.08</v>
      </c>
      <c r="R45">
        <f t="shared" si="7"/>
        <v>2.5499999999999998</v>
      </c>
      <c r="S45" s="69">
        <f t="shared" si="5"/>
        <v>1.7173333333333329</v>
      </c>
      <c r="T45">
        <f t="shared" si="6"/>
        <v>1</v>
      </c>
      <c r="U45">
        <f t="shared" si="2"/>
        <v>0.4037339089821399</v>
      </c>
    </row>
    <row r="46" spans="1:43" s="69" customFormat="1" x14ac:dyDescent="0.3">
      <c r="A46" s="69">
        <v>0.25</v>
      </c>
      <c r="B46" s="69">
        <v>0.06</v>
      </c>
      <c r="C46" s="69">
        <v>0.32</v>
      </c>
      <c r="D46" s="69" t="s">
        <v>270</v>
      </c>
      <c r="E46" s="70">
        <v>45149.708333333328</v>
      </c>
      <c r="F46" s="69">
        <v>1.54105469888</v>
      </c>
      <c r="G46" s="69">
        <v>6.9504160998344902E-2</v>
      </c>
      <c r="H46" s="69">
        <v>0.03</v>
      </c>
      <c r="I46" s="69">
        <f t="shared" si="0"/>
        <v>0</v>
      </c>
      <c r="K46" s="69">
        <f t="shared" si="1"/>
        <v>0.03</v>
      </c>
      <c r="M46" s="71">
        <v>45156.458333333328</v>
      </c>
      <c r="N46" s="69">
        <v>2.41</v>
      </c>
      <c r="O46" s="69">
        <v>0.02</v>
      </c>
      <c r="P46" s="69">
        <v>2.2400000000000002</v>
      </c>
      <c r="Q46" s="69">
        <f t="shared" si="3"/>
        <v>0.16999999999999993</v>
      </c>
      <c r="R46" s="69">
        <f t="shared" si="7"/>
        <v>2.41</v>
      </c>
      <c r="S46" s="69">
        <f t="shared" si="5"/>
        <v>-0.03</v>
      </c>
      <c r="T46" s="69">
        <f t="shared" si="6"/>
        <v>-1</v>
      </c>
      <c r="U46" s="69">
        <f t="shared" si="2"/>
        <v>0.187818054033249</v>
      </c>
      <c r="AQ46" s="70"/>
    </row>
    <row r="47" spans="1:43" s="69" customFormat="1" x14ac:dyDescent="0.3">
      <c r="A47" s="69">
        <v>2.15</v>
      </c>
      <c r="B47" s="69">
        <v>0.01</v>
      </c>
      <c r="C47" s="69">
        <v>0.33</v>
      </c>
      <c r="D47" s="69" t="s">
        <v>271</v>
      </c>
      <c r="E47" s="70">
        <v>45150.708333333328</v>
      </c>
      <c r="F47" s="69">
        <v>1.5320506224799999</v>
      </c>
      <c r="G47" s="69">
        <v>2.6182502766707211E-2</v>
      </c>
      <c r="H47" s="69">
        <v>0.02</v>
      </c>
      <c r="I47" s="69">
        <f t="shared" si="0"/>
        <v>0</v>
      </c>
      <c r="K47" s="69">
        <f t="shared" si="1"/>
        <v>0.02</v>
      </c>
      <c r="M47" s="71">
        <v>45158.666666666672</v>
      </c>
      <c r="N47" s="69">
        <v>3.06</v>
      </c>
      <c r="S47" s="69">
        <f t="shared" si="5"/>
        <v>0.01</v>
      </c>
      <c r="AQ47" s="70"/>
    </row>
    <row r="48" spans="1:43" s="69" customFormat="1" x14ac:dyDescent="0.3">
      <c r="A48" s="69">
        <v>0.7</v>
      </c>
      <c r="B48" s="69">
        <v>0.05</v>
      </c>
      <c r="C48" s="69">
        <v>4.78</v>
      </c>
      <c r="D48" s="69" t="s">
        <v>272</v>
      </c>
      <c r="E48" s="70">
        <v>45152.458333333328</v>
      </c>
      <c r="F48" s="69">
        <v>1.32184636616</v>
      </c>
      <c r="G48" s="69">
        <v>8.5124124253491293E-2</v>
      </c>
      <c r="H48" s="69">
        <v>0.05</v>
      </c>
      <c r="I48" s="69">
        <f t="shared" si="0"/>
        <v>0</v>
      </c>
      <c r="K48" s="69">
        <f t="shared" si="1"/>
        <v>0.05</v>
      </c>
      <c r="M48" s="71">
        <v>45159.541666666672</v>
      </c>
      <c r="N48" s="69">
        <v>7.62</v>
      </c>
      <c r="O48" s="69">
        <v>0.01</v>
      </c>
      <c r="P48" s="69">
        <v>0.42</v>
      </c>
      <c r="Q48" s="69">
        <f t="shared" si="3"/>
        <v>7.2</v>
      </c>
      <c r="R48" s="69">
        <f t="shared" si="7"/>
        <v>7.62</v>
      </c>
      <c r="S48" s="69">
        <f t="shared" si="5"/>
        <v>0</v>
      </c>
      <c r="T48" s="69">
        <f t="shared" si="6"/>
        <v>0</v>
      </c>
      <c r="U48" s="69">
        <f t="shared" si="2"/>
        <v>0.12118098146864303</v>
      </c>
      <c r="AQ48" s="70"/>
    </row>
    <row r="49" spans="1:43" s="69" customFormat="1" x14ac:dyDescent="0.3">
      <c r="A49" s="69">
        <v>2.5499999999999998</v>
      </c>
      <c r="B49" s="69">
        <v>0.04</v>
      </c>
      <c r="C49" s="69">
        <v>4.63</v>
      </c>
      <c r="D49" s="69" t="s">
        <v>273</v>
      </c>
      <c r="E49" s="70">
        <v>45155.541666666672</v>
      </c>
      <c r="F49" s="69">
        <v>1.31873586704</v>
      </c>
      <c r="G49" s="69">
        <v>0.1175754398515881</v>
      </c>
      <c r="H49" s="69">
        <v>0.03</v>
      </c>
      <c r="I49" s="69">
        <f t="shared" si="0"/>
        <v>0</v>
      </c>
      <c r="K49" s="69">
        <f t="shared" si="1"/>
        <v>0.03</v>
      </c>
      <c r="M49" s="71">
        <v>45161.375</v>
      </c>
      <c r="N49" s="69">
        <v>2.36</v>
      </c>
      <c r="O49" s="69">
        <v>0.01</v>
      </c>
      <c r="P49" s="69">
        <v>1.54</v>
      </c>
      <c r="Q49" s="69">
        <f t="shared" si="3"/>
        <v>0.81999999999999984</v>
      </c>
      <c r="R49" s="69">
        <f t="shared" si="7"/>
        <v>2.36</v>
      </c>
      <c r="S49" s="69">
        <f t="shared" si="5"/>
        <v>-1.0000000000000002E-2</v>
      </c>
      <c r="T49" s="69">
        <f t="shared" si="6"/>
        <v>-0.33333333333333343</v>
      </c>
      <c r="U49" s="69">
        <f t="shared" si="2"/>
        <v>0.12015781831044599</v>
      </c>
      <c r="AQ49" s="70"/>
    </row>
    <row r="50" spans="1:43" s="69" customFormat="1" x14ac:dyDescent="0.3">
      <c r="A50" s="69">
        <v>2.41</v>
      </c>
      <c r="B50" s="69">
        <v>0.02</v>
      </c>
      <c r="C50" s="69">
        <v>2.2400000000000002</v>
      </c>
      <c r="D50" s="69" t="s">
        <v>274</v>
      </c>
      <c r="E50" s="70">
        <v>45156.458333333328</v>
      </c>
      <c r="F50" s="69">
        <v>1.1116966800000001</v>
      </c>
      <c r="G50" s="69">
        <v>6.4729317387144311E-2</v>
      </c>
      <c r="H50" s="69">
        <v>0.05</v>
      </c>
      <c r="I50" s="69">
        <f t="shared" si="0"/>
        <v>0</v>
      </c>
      <c r="K50" s="69">
        <f t="shared" si="1"/>
        <v>0.05</v>
      </c>
      <c r="M50" s="71">
        <v>45161.75</v>
      </c>
      <c r="N50" s="69">
        <v>1.91</v>
      </c>
      <c r="O50" s="69">
        <v>0.01</v>
      </c>
      <c r="P50" s="69">
        <v>12.8</v>
      </c>
      <c r="Q50" s="69">
        <f t="shared" si="3"/>
        <v>-10.89</v>
      </c>
      <c r="R50" s="69">
        <f t="shared" si="7"/>
        <v>1.91</v>
      </c>
      <c r="S50" s="69">
        <f t="shared" si="5"/>
        <v>3.0000000000000002E-2</v>
      </c>
      <c r="T50" s="69">
        <f t="shared" si="6"/>
        <v>0.6</v>
      </c>
      <c r="U50" s="69">
        <f t="shared" si="2"/>
        <v>4.5986308674520686E-2</v>
      </c>
      <c r="AQ50" s="70"/>
    </row>
    <row r="51" spans="1:43" x14ac:dyDescent="0.3">
      <c r="A51">
        <v>3.06</v>
      </c>
      <c r="D51" t="s">
        <v>276</v>
      </c>
      <c r="E51" s="68">
        <v>45158.666666666672</v>
      </c>
      <c r="F51">
        <v>1.3179173146400001</v>
      </c>
      <c r="G51">
        <v>3.5161597389239428E-2</v>
      </c>
      <c r="H51">
        <v>0.05</v>
      </c>
      <c r="I51">
        <f t="shared" si="0"/>
        <v>0</v>
      </c>
      <c r="K51">
        <f t="shared" si="1"/>
        <v>0.05</v>
      </c>
      <c r="M51" s="28">
        <v>45163.458333333328</v>
      </c>
      <c r="N51">
        <v>1.21</v>
      </c>
      <c r="O51">
        <v>0.01</v>
      </c>
      <c r="P51">
        <v>1.54</v>
      </c>
      <c r="Q51">
        <f t="shared" si="3"/>
        <v>-0.33000000000000007</v>
      </c>
      <c r="R51">
        <f t="shared" si="7"/>
        <v>1.21</v>
      </c>
      <c r="S51" s="69">
        <f t="shared" si="5"/>
        <v>0.05</v>
      </c>
      <c r="T51">
        <f t="shared" si="6"/>
        <v>1</v>
      </c>
      <c r="U51">
        <f t="shared" si="2"/>
        <v>0.11988816373140657</v>
      </c>
    </row>
    <row r="52" spans="1:43" s="69" customFormat="1" x14ac:dyDescent="0.3">
      <c r="A52" s="69">
        <v>7.62</v>
      </c>
      <c r="B52" s="69">
        <v>0.01</v>
      </c>
      <c r="C52" s="69">
        <v>0.42</v>
      </c>
      <c r="D52" s="69" t="s">
        <v>275</v>
      </c>
      <c r="E52" s="70">
        <v>45159.541666666672</v>
      </c>
      <c r="F52" s="69">
        <v>1.1872217814399999</v>
      </c>
      <c r="G52" s="69">
        <v>0.20705040057415949</v>
      </c>
      <c r="H52" s="69">
        <v>0.06</v>
      </c>
      <c r="I52" s="69">
        <f t="shared" si="0"/>
        <v>0</v>
      </c>
      <c r="K52" s="69">
        <f t="shared" si="1"/>
        <v>0.06</v>
      </c>
      <c r="M52" s="71"/>
      <c r="S52" s="69">
        <f t="shared" si="5"/>
        <v>4.9999999999999996E-2</v>
      </c>
      <c r="AQ52" s="70"/>
    </row>
    <row r="53" spans="1:43" s="69" customFormat="1" x14ac:dyDescent="0.3">
      <c r="A53" s="69">
        <v>2.36</v>
      </c>
      <c r="B53" s="69">
        <v>0.01</v>
      </c>
      <c r="C53" s="69">
        <v>1.54</v>
      </c>
      <c r="D53" s="69" t="s">
        <v>277</v>
      </c>
      <c r="E53" s="70">
        <v>45161.375</v>
      </c>
      <c r="F53" s="69">
        <v>0.85658118200000022</v>
      </c>
      <c r="G53" s="69">
        <v>1.203166866550375E-2</v>
      </c>
      <c r="H53" s="69">
        <v>0.02</v>
      </c>
      <c r="I53" s="69">
        <f>J53+K53</f>
        <v>0.02</v>
      </c>
      <c r="K53" s="69">
        <f>IF(F53&lt;1.1,H53,0)</f>
        <v>0.02</v>
      </c>
      <c r="M53" s="71"/>
      <c r="S53" s="69">
        <f t="shared" si="5"/>
        <v>0.01</v>
      </c>
      <c r="AQ53" s="70"/>
    </row>
    <row r="54" spans="1:43" s="69" customFormat="1" x14ac:dyDescent="0.3">
      <c r="A54" s="69">
        <v>1.91</v>
      </c>
      <c r="B54" s="69">
        <v>0.01</v>
      </c>
      <c r="C54" s="69">
        <v>12.8</v>
      </c>
      <c r="D54" s="69" t="s">
        <v>278</v>
      </c>
      <c r="E54" s="70">
        <v>45161.75</v>
      </c>
      <c r="F54" s="69">
        <v>1.2718055294399999</v>
      </c>
      <c r="G54" s="69">
        <v>5.1345072379289453E-2</v>
      </c>
      <c r="H54" s="69">
        <v>0.04</v>
      </c>
      <c r="I54" s="69">
        <f t="shared" si="0"/>
        <v>0</v>
      </c>
      <c r="K54" s="69">
        <f t="shared" si="1"/>
        <v>0.04</v>
      </c>
      <c r="M54" s="71"/>
      <c r="S54" s="69">
        <f t="shared" si="5"/>
        <v>0.03</v>
      </c>
      <c r="AQ54" s="70"/>
    </row>
    <row r="55" spans="1:43" s="69" customFormat="1" ht="10.199999999999999" customHeight="1" x14ac:dyDescent="0.3">
      <c r="A55" s="69">
        <v>1.21</v>
      </c>
      <c r="B55" s="69">
        <v>0.01</v>
      </c>
      <c r="C55" s="69">
        <v>1.54</v>
      </c>
      <c r="D55" s="69" t="s">
        <v>280</v>
      </c>
      <c r="E55" s="70">
        <v>45163.458333333328</v>
      </c>
      <c r="F55" s="69">
        <v>0.99540766904</v>
      </c>
      <c r="G55" s="69">
        <v>2.4135509684951061E-2</v>
      </c>
      <c r="H55" s="69">
        <v>0.02</v>
      </c>
      <c r="I55" s="69">
        <f>J55+K55</f>
        <v>0.02</v>
      </c>
      <c r="K55" s="69">
        <f>IF(F55&lt;1.1,H55,0)</f>
        <v>0.02</v>
      </c>
      <c r="M55" s="71"/>
      <c r="S55" s="69">
        <f t="shared" si="5"/>
        <v>0.01</v>
      </c>
      <c r="AQ55" s="70"/>
    </row>
  </sheetData>
  <conditionalFormatting sqref="Z41 Z30 J1:J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K1:L19 K55 K53 K20 K21:L52 K54:L54 K56:L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K1" workbookViewId="0">
      <selection activeCell="X6" sqref="X6"/>
    </sheetView>
  </sheetViews>
  <sheetFormatPr defaultRowHeight="14.4" x14ac:dyDescent="0.3"/>
  <cols>
    <col min="5" max="5" width="20.6640625" style="68" customWidth="1"/>
    <col min="6" max="6" width="12.44140625" customWidth="1"/>
    <col min="20" max="20" width="12" bestFit="1" customWidth="1"/>
  </cols>
  <sheetData>
    <row r="1" spans="1:21" s="21" customFormat="1" x14ac:dyDescent="0.3">
      <c r="A1" s="21" t="s">
        <v>42</v>
      </c>
      <c r="B1" s="21" t="s">
        <v>41</v>
      </c>
      <c r="C1" s="21" t="s">
        <v>139</v>
      </c>
      <c r="D1" s="21" t="s">
        <v>269</v>
      </c>
      <c r="E1" s="21" t="s">
        <v>140</v>
      </c>
      <c r="F1" s="21" t="s">
        <v>141</v>
      </c>
      <c r="G1" s="21" t="s">
        <v>142</v>
      </c>
      <c r="H1" s="21" t="s">
        <v>143</v>
      </c>
      <c r="I1" s="21" t="s">
        <v>323</v>
      </c>
    </row>
    <row r="2" spans="1:21" x14ac:dyDescent="0.3">
      <c r="A2">
        <v>1.67</v>
      </c>
      <c r="B2">
        <v>0.38475655129470382</v>
      </c>
      <c r="C2">
        <v>8.491108641975309E-2</v>
      </c>
      <c r="D2" t="s">
        <v>270</v>
      </c>
      <c r="E2" s="68">
        <v>42539.666666666672</v>
      </c>
      <c r="F2">
        <v>1.3820346320346319</v>
      </c>
      <c r="I2" t="str">
        <f>IF(G2 &gt; 0,C2-G2,"")</f>
        <v/>
      </c>
      <c r="J2" t="str">
        <f>I2</f>
        <v/>
      </c>
    </row>
    <row r="3" spans="1:21" x14ac:dyDescent="0.3">
      <c r="A3">
        <v>1.66</v>
      </c>
      <c r="B3">
        <v>0.35538542738777062</v>
      </c>
      <c r="C3">
        <v>0.13526750000000001</v>
      </c>
      <c r="D3" t="s">
        <v>271</v>
      </c>
      <c r="E3" s="68">
        <v>42540.791666666672</v>
      </c>
      <c r="F3">
        <v>1.8690425531914889</v>
      </c>
      <c r="I3" t="str">
        <f t="shared" ref="I3:J50" si="0">IF(G3 &gt; 0,C3-G3,"")</f>
        <v/>
      </c>
      <c r="J3" t="str">
        <f t="shared" ref="J3:J50" si="1">I3</f>
        <v/>
      </c>
      <c r="S3" t="s">
        <v>324</v>
      </c>
      <c r="T3">
        <f>0.71*10^6</f>
        <v>710000</v>
      </c>
      <c r="U3" t="s">
        <v>332</v>
      </c>
    </row>
    <row r="4" spans="1:21" x14ac:dyDescent="0.3">
      <c r="A4">
        <v>1.53</v>
      </c>
      <c r="B4">
        <v>0.32849151344768862</v>
      </c>
      <c r="C4">
        <v>3.1872866666666673E-2</v>
      </c>
      <c r="D4" t="s">
        <v>272</v>
      </c>
      <c r="E4" s="68">
        <v>42541.5</v>
      </c>
      <c r="F4">
        <v>2.5209641255605382</v>
      </c>
      <c r="I4" t="str">
        <f t="shared" si="0"/>
        <v/>
      </c>
      <c r="J4" t="str">
        <f t="shared" si="1"/>
        <v/>
      </c>
      <c r="S4" t="s">
        <v>325</v>
      </c>
      <c r="T4">
        <v>70170</v>
      </c>
      <c r="U4" t="s">
        <v>327</v>
      </c>
    </row>
    <row r="5" spans="1:21" x14ac:dyDescent="0.3">
      <c r="A5">
        <v>1.56</v>
      </c>
      <c r="B5">
        <v>0.3334114570109209</v>
      </c>
      <c r="C5">
        <v>1.9109999999999999E-2</v>
      </c>
      <c r="D5" t="s">
        <v>273</v>
      </c>
      <c r="E5" s="68">
        <v>42541.75</v>
      </c>
      <c r="F5">
        <v>3.2694444444444439</v>
      </c>
      <c r="I5" t="str">
        <f t="shared" si="0"/>
        <v/>
      </c>
      <c r="J5" t="str">
        <f t="shared" si="1"/>
        <v/>
      </c>
      <c r="S5" t="s">
        <v>326</v>
      </c>
      <c r="T5">
        <v>2100</v>
      </c>
      <c r="U5" t="s">
        <v>328</v>
      </c>
    </row>
    <row r="6" spans="1:21" x14ac:dyDescent="0.3">
      <c r="A6">
        <v>1.81</v>
      </c>
      <c r="B6">
        <v>0.42232088913100002</v>
      </c>
      <c r="C6">
        <v>9.8599999999999993E-2</v>
      </c>
      <c r="D6" t="s">
        <v>274</v>
      </c>
      <c r="E6" s="68">
        <v>42542.75</v>
      </c>
      <c r="F6">
        <v>2.984655172413794</v>
      </c>
      <c r="I6" t="str">
        <f t="shared" si="0"/>
        <v/>
      </c>
      <c r="J6" t="str">
        <f t="shared" si="1"/>
        <v/>
      </c>
      <c r="S6" t="s">
        <v>329</v>
      </c>
      <c r="T6">
        <f>T3/(T4*T5)</f>
        <v>4.8182305557252112E-3</v>
      </c>
      <c r="U6" t="s">
        <v>330</v>
      </c>
    </row>
    <row r="7" spans="1:21" x14ac:dyDescent="0.3">
      <c r="A7">
        <v>1.69</v>
      </c>
      <c r="B7">
        <v>1.9868034079781409</v>
      </c>
      <c r="C7">
        <v>5.1999999999999998E-2</v>
      </c>
      <c r="D7" t="s">
        <v>275</v>
      </c>
      <c r="E7" s="68">
        <v>42543.583333333328</v>
      </c>
      <c r="F7">
        <v>2.9184047350620062</v>
      </c>
      <c r="G7">
        <v>1.008E-2</v>
      </c>
      <c r="H7">
        <v>3.1023637820512819</v>
      </c>
      <c r="I7">
        <f t="shared" si="0"/>
        <v>4.1919999999999999E-2</v>
      </c>
      <c r="J7">
        <f t="shared" si="1"/>
        <v>4.1919999999999999E-2</v>
      </c>
      <c r="S7" t="s">
        <v>329</v>
      </c>
      <c r="T7">
        <f>T6*1000</f>
        <v>4.8182305557252114</v>
      </c>
      <c r="U7" t="s">
        <v>331</v>
      </c>
    </row>
    <row r="8" spans="1:21" x14ac:dyDescent="0.3">
      <c r="A8">
        <v>2.81</v>
      </c>
      <c r="B8">
        <v>2.2098957160329058</v>
      </c>
      <c r="C8">
        <v>0.21290799999999999</v>
      </c>
      <c r="D8" t="s">
        <v>277</v>
      </c>
      <c r="E8" s="68">
        <v>42545.666666666672</v>
      </c>
      <c r="F8">
        <v>2.3122005748961998</v>
      </c>
      <c r="G8">
        <v>3.9826666666666663E-2</v>
      </c>
      <c r="H8">
        <v>8.6589805825242721</v>
      </c>
      <c r="I8">
        <f t="shared" si="0"/>
        <v>0.17308133333333331</v>
      </c>
      <c r="J8">
        <f t="shared" si="1"/>
        <v>0.17308133333333331</v>
      </c>
    </row>
    <row r="9" spans="1:21" x14ac:dyDescent="0.3">
      <c r="A9">
        <v>2.71</v>
      </c>
      <c r="B9">
        <v>2.8203249675462909</v>
      </c>
      <c r="C9">
        <v>0.53660571428571435</v>
      </c>
      <c r="D9" t="s">
        <v>279</v>
      </c>
      <c r="E9" s="68">
        <v>42546.833333333328</v>
      </c>
      <c r="F9">
        <v>2.2137483227908761</v>
      </c>
      <c r="G9">
        <v>5.9200000000000003E-2</v>
      </c>
      <c r="H9">
        <v>5.3231177606177598</v>
      </c>
      <c r="I9">
        <f t="shared" si="0"/>
        <v>0.47740571428571432</v>
      </c>
      <c r="J9">
        <f t="shared" si="1"/>
        <v>0.47740571428571432</v>
      </c>
    </row>
    <row r="10" spans="1:21" x14ac:dyDescent="0.3">
      <c r="A10">
        <v>2.75</v>
      </c>
      <c r="B10">
        <v>0.7001227092786767</v>
      </c>
      <c r="C10">
        <v>2.5440000000000001E-2</v>
      </c>
      <c r="D10" t="s">
        <v>281</v>
      </c>
      <c r="E10" s="68">
        <v>42549.541666666672</v>
      </c>
      <c r="F10">
        <v>2.2547743055555549</v>
      </c>
    </row>
    <row r="11" spans="1:21" x14ac:dyDescent="0.3">
      <c r="A11">
        <v>3.08</v>
      </c>
      <c r="B11">
        <v>9.5469060273478128</v>
      </c>
      <c r="C11">
        <v>9.0000000000000011E-2</v>
      </c>
      <c r="D11" t="s">
        <v>282</v>
      </c>
      <c r="E11" s="68">
        <v>42551.708333333328</v>
      </c>
      <c r="F11">
        <v>6.7211999999999996</v>
      </c>
      <c r="G11">
        <v>1.9588000000000001E-2</v>
      </c>
      <c r="H11">
        <v>2.2901606425702812</v>
      </c>
      <c r="I11">
        <f t="shared" si="0"/>
        <v>7.0412000000000002E-2</v>
      </c>
      <c r="K11">
        <f>I11</f>
        <v>7.0412000000000002E-2</v>
      </c>
    </row>
    <row r="12" spans="1:21" x14ac:dyDescent="0.3">
      <c r="A12">
        <v>2.46</v>
      </c>
      <c r="B12">
        <v>5.0445825188606701</v>
      </c>
      <c r="C12">
        <v>5.7593333333333323E-2</v>
      </c>
      <c r="D12" t="s">
        <v>284</v>
      </c>
      <c r="E12" s="68">
        <v>42552.541666666672</v>
      </c>
      <c r="F12">
        <v>3.16579754601227</v>
      </c>
    </row>
    <row r="13" spans="1:21" x14ac:dyDescent="0.3">
      <c r="A13">
        <v>2.57</v>
      </c>
      <c r="B13">
        <v>4.2899824513948701</v>
      </c>
      <c r="C13">
        <v>5.0099999999999999E-2</v>
      </c>
      <c r="D13" t="s">
        <v>285</v>
      </c>
      <c r="E13" s="68">
        <v>42556.666666666672</v>
      </c>
      <c r="F13">
        <v>1.4868263473053891</v>
      </c>
    </row>
    <row r="14" spans="1:21" x14ac:dyDescent="0.3">
      <c r="A14">
        <v>1.759094853199993</v>
      </c>
      <c r="B14">
        <v>0.66131272842557587</v>
      </c>
      <c r="C14">
        <v>0.17849999999999999</v>
      </c>
      <c r="D14" t="s">
        <v>286</v>
      </c>
      <c r="E14" s="68">
        <v>42915.75</v>
      </c>
    </row>
    <row r="15" spans="1:21" x14ac:dyDescent="0.3">
      <c r="A15">
        <v>1.5474190133999961</v>
      </c>
      <c r="B15">
        <v>0.33275740445957608</v>
      </c>
      <c r="C15">
        <v>0.28106666666666669</v>
      </c>
      <c r="D15" t="s">
        <v>287</v>
      </c>
      <c r="E15" s="68">
        <v>42916.416666666672</v>
      </c>
      <c r="F15">
        <v>3.0724637681159419</v>
      </c>
    </row>
    <row r="16" spans="1:21" x14ac:dyDescent="0.3">
      <c r="A16">
        <v>1.05515617679999</v>
      </c>
      <c r="B16">
        <v>0.22533008335171931</v>
      </c>
      <c r="C16">
        <v>5.5577777777777768E-2</v>
      </c>
      <c r="D16" t="s">
        <v>288</v>
      </c>
      <c r="E16" s="68">
        <v>42917.416666666672</v>
      </c>
      <c r="F16">
        <v>0</v>
      </c>
    </row>
    <row r="17" spans="1:6" x14ac:dyDescent="0.3">
      <c r="A17">
        <v>1.7244908802000041</v>
      </c>
      <c r="B17">
        <v>0.4623805277555425</v>
      </c>
      <c r="C17">
        <v>0.72222222222222221</v>
      </c>
      <c r="D17" t="s">
        <v>289</v>
      </c>
      <c r="E17" s="68">
        <v>42922.75</v>
      </c>
      <c r="F17">
        <v>0.69600000000000006</v>
      </c>
    </row>
    <row r="18" spans="1:6" x14ac:dyDescent="0.3">
      <c r="A18">
        <v>1.3416103116000031</v>
      </c>
      <c r="B18">
        <v>0.28673973012775822</v>
      </c>
      <c r="C18">
        <v>1.776666666666667E-2</v>
      </c>
      <c r="D18" t="s">
        <v>290</v>
      </c>
      <c r="E18" s="68">
        <v>42927.375</v>
      </c>
      <c r="F18">
        <v>0</v>
      </c>
    </row>
    <row r="19" spans="1:6" x14ac:dyDescent="0.3">
      <c r="A19">
        <v>1.598238723599996</v>
      </c>
      <c r="B19">
        <v>0.35241072885034708</v>
      </c>
      <c r="C19">
        <v>7.2800000000000004E-2</v>
      </c>
      <c r="D19" t="s">
        <v>291</v>
      </c>
      <c r="E19" s="68">
        <v>42928.75</v>
      </c>
      <c r="F19">
        <v>1.1000000000000001</v>
      </c>
    </row>
    <row r="20" spans="1:6" x14ac:dyDescent="0.3">
      <c r="A20">
        <v>1.5183920825999939</v>
      </c>
      <c r="B20">
        <v>0.36706224726737391</v>
      </c>
      <c r="C20">
        <v>0.11946666666666669</v>
      </c>
      <c r="D20" t="s">
        <v>292</v>
      </c>
      <c r="E20" s="68">
        <v>42931.583333333328</v>
      </c>
      <c r="F20">
        <v>1.098214285714286</v>
      </c>
    </row>
    <row r="21" spans="1:6" x14ac:dyDescent="0.3">
      <c r="A21">
        <v>1.5160689053999949</v>
      </c>
      <c r="B21">
        <v>0.35406083604836908</v>
      </c>
      <c r="C21">
        <v>0.35466666666666669</v>
      </c>
      <c r="D21" t="s">
        <v>293</v>
      </c>
      <c r="E21" s="68">
        <v>42931.791666666672</v>
      </c>
      <c r="F21">
        <v>1.2960526315789469</v>
      </c>
    </row>
    <row r="22" spans="1:6" x14ac:dyDescent="0.3">
      <c r="A22">
        <v>1.3825680101999891</v>
      </c>
      <c r="B22">
        <v>0.29620246270373912</v>
      </c>
      <c r="C22">
        <v>0.7404222222222222</v>
      </c>
      <c r="D22" t="s">
        <v>294</v>
      </c>
      <c r="E22" s="68">
        <v>42932.416666666672</v>
      </c>
      <c r="F22">
        <v>14.12953570035115</v>
      </c>
    </row>
    <row r="23" spans="1:6" x14ac:dyDescent="0.3">
      <c r="A23">
        <v>1.3972884155999981</v>
      </c>
      <c r="B23">
        <v>0.3237142462064157</v>
      </c>
      <c r="C23">
        <v>6.2000000000000013E-2</v>
      </c>
      <c r="D23" t="s">
        <v>295</v>
      </c>
      <c r="E23" s="68">
        <v>42933.458333333328</v>
      </c>
      <c r="F23">
        <v>1.363333333333334</v>
      </c>
    </row>
    <row r="24" spans="1:6" x14ac:dyDescent="0.3">
      <c r="A24">
        <v>1.225799038800006</v>
      </c>
      <c r="B24">
        <v>0.34643659019388962</v>
      </c>
      <c r="C24">
        <v>3.3066666666666668E-2</v>
      </c>
      <c r="D24" t="s">
        <v>296</v>
      </c>
      <c r="E24" s="68">
        <v>42935.291666666672</v>
      </c>
      <c r="F24">
        <v>0</v>
      </c>
    </row>
    <row r="25" spans="1:6" x14ac:dyDescent="0.3">
      <c r="A25">
        <v>1.554329741400007</v>
      </c>
      <c r="B25">
        <v>0.49608321366654162</v>
      </c>
      <c r="C25">
        <v>0.41368888888888888</v>
      </c>
      <c r="D25" t="s">
        <v>297</v>
      </c>
      <c r="E25" s="68">
        <v>42935.708333333328</v>
      </c>
      <c r="F25">
        <v>1.5492318435754191</v>
      </c>
    </row>
    <row r="26" spans="1:6" x14ac:dyDescent="0.3">
      <c r="A26">
        <v>1.7290153312712271</v>
      </c>
      <c r="B26">
        <v>0.66163952292485151</v>
      </c>
      <c r="C26">
        <v>0.1153777777777778</v>
      </c>
      <c r="D26" t="s">
        <v>298</v>
      </c>
      <c r="E26" s="68">
        <v>42942.666666666672</v>
      </c>
      <c r="F26">
        <v>1.347457627118644</v>
      </c>
    </row>
    <row r="27" spans="1:6" x14ac:dyDescent="0.3">
      <c r="A27">
        <v>1.7709427945317699</v>
      </c>
      <c r="B27">
        <v>0.45449331628529033</v>
      </c>
      <c r="C27">
        <v>4.6822222222222223E-2</v>
      </c>
      <c r="D27" t="s">
        <v>299</v>
      </c>
      <c r="E27" s="68">
        <v>42943.791666666672</v>
      </c>
      <c r="F27">
        <v>1.0765306122448981</v>
      </c>
    </row>
    <row r="28" spans="1:6" x14ac:dyDescent="0.3">
      <c r="A28">
        <v>1.7436416392789249</v>
      </c>
      <c r="B28">
        <v>0.5238613821004301</v>
      </c>
      <c r="C28">
        <v>7.7288888888888893E-2</v>
      </c>
      <c r="D28" t="s">
        <v>300</v>
      </c>
      <c r="E28" s="68">
        <v>42945.791666666672</v>
      </c>
      <c r="F28">
        <v>1.428191489361702</v>
      </c>
    </row>
    <row r="29" spans="1:6" x14ac:dyDescent="0.3">
      <c r="A29">
        <v>1.8043718316612489</v>
      </c>
      <c r="B29">
        <v>0.66810840127549009</v>
      </c>
      <c r="C29">
        <v>0.10053333333333329</v>
      </c>
      <c r="D29" t="s">
        <v>301</v>
      </c>
      <c r="E29" s="68">
        <v>42946.75</v>
      </c>
      <c r="F29">
        <v>1.0344827586206899</v>
      </c>
    </row>
    <row r="30" spans="1:6" x14ac:dyDescent="0.3">
      <c r="A30">
        <v>2.204039871754699</v>
      </c>
      <c r="B30">
        <v>0.60171824307892929</v>
      </c>
      <c r="C30">
        <v>1.9328000000000001</v>
      </c>
      <c r="D30" t="s">
        <v>302</v>
      </c>
      <c r="E30" s="68">
        <v>42947.708333333328</v>
      </c>
      <c r="F30">
        <v>2.1330022075055188</v>
      </c>
    </row>
    <row r="31" spans="1:6" x14ac:dyDescent="0.3">
      <c r="A31">
        <v>2.063020294670971</v>
      </c>
      <c r="B31">
        <v>0.49399926459924942</v>
      </c>
      <c r="C31">
        <v>0.45333333333333331</v>
      </c>
      <c r="D31" t="s">
        <v>303</v>
      </c>
      <c r="E31" s="68">
        <v>42949.75</v>
      </c>
      <c r="F31">
        <v>1.0349999999999999</v>
      </c>
    </row>
    <row r="32" spans="1:6" x14ac:dyDescent="0.3">
      <c r="A32">
        <v>2.0169034876951701</v>
      </c>
      <c r="B32">
        <v>0.53739045435681432</v>
      </c>
      <c r="C32">
        <v>0.2224444444444445</v>
      </c>
      <c r="D32" t="s">
        <v>304</v>
      </c>
      <c r="E32" s="68">
        <v>42953.791666666672</v>
      </c>
      <c r="F32">
        <v>1.1461038961038961</v>
      </c>
    </row>
    <row r="33" spans="1:10" x14ac:dyDescent="0.3">
      <c r="A33">
        <v>2.1136497507983401</v>
      </c>
      <c r="B33">
        <v>0.75038495730024724</v>
      </c>
      <c r="C33">
        <v>0.33800000000000002</v>
      </c>
      <c r="D33" t="s">
        <v>305</v>
      </c>
      <c r="E33" s="68">
        <v>42954.75</v>
      </c>
      <c r="F33">
        <v>1.2884615384615381</v>
      </c>
    </row>
    <row r="34" spans="1:10" x14ac:dyDescent="0.3">
      <c r="A34">
        <v>2.3390219687048299</v>
      </c>
      <c r="B34">
        <v>2.652974380028279</v>
      </c>
      <c r="C34">
        <v>0.23324444444444439</v>
      </c>
      <c r="D34" t="s">
        <v>306</v>
      </c>
      <c r="E34" s="68">
        <v>42956.708333333328</v>
      </c>
      <c r="F34">
        <v>1.1036585365853659</v>
      </c>
    </row>
    <row r="35" spans="1:10" x14ac:dyDescent="0.3">
      <c r="A35">
        <v>2.3167505278715348</v>
      </c>
      <c r="B35">
        <v>1.224241995699098</v>
      </c>
      <c r="C35">
        <v>0.43804444444444451</v>
      </c>
      <c r="D35" t="s">
        <v>307</v>
      </c>
      <c r="E35" s="68">
        <v>42957.708333333328</v>
      </c>
      <c r="F35">
        <v>1.2922077922077919</v>
      </c>
    </row>
    <row r="36" spans="1:10" x14ac:dyDescent="0.3">
      <c r="A36">
        <v>1.724478376766043</v>
      </c>
      <c r="B36">
        <v>0.37621056705897932</v>
      </c>
      <c r="C36">
        <v>0.2204444444444445</v>
      </c>
      <c r="D36" t="s">
        <v>308</v>
      </c>
      <c r="E36" s="68">
        <v>42958.75</v>
      </c>
      <c r="F36">
        <v>1.125</v>
      </c>
    </row>
    <row r="37" spans="1:10" x14ac:dyDescent="0.3">
      <c r="A37">
        <v>1.6658511142043331</v>
      </c>
      <c r="B37">
        <v>0.38495153441409929</v>
      </c>
      <c r="C37">
        <v>9.6777777777777782E-2</v>
      </c>
      <c r="D37" t="s">
        <v>309</v>
      </c>
      <c r="E37" s="68">
        <v>42960.791666666672</v>
      </c>
      <c r="F37">
        <v>1.2257462686567171</v>
      </c>
    </row>
    <row r="38" spans="1:10" x14ac:dyDescent="0.3">
      <c r="A38">
        <v>1.7251051199999961</v>
      </c>
      <c r="B38">
        <v>0.55295702694936411</v>
      </c>
      <c r="C38">
        <v>0.1137777777777778</v>
      </c>
      <c r="D38" t="s">
        <v>310</v>
      </c>
      <c r="E38" s="68">
        <v>42963.75</v>
      </c>
      <c r="F38">
        <v>1.2875000000000001</v>
      </c>
    </row>
    <row r="39" spans="1:10" x14ac:dyDescent="0.3">
      <c r="A39">
        <v>2.0705433600000038</v>
      </c>
      <c r="B39">
        <v>0.89707629536983313</v>
      </c>
      <c r="C39">
        <v>0.1450666666666667</v>
      </c>
      <c r="D39" t="s">
        <v>311</v>
      </c>
      <c r="E39" s="68">
        <v>42965.708333333328</v>
      </c>
      <c r="F39">
        <v>1.1936274509803919</v>
      </c>
    </row>
    <row r="40" spans="1:10" x14ac:dyDescent="0.3">
      <c r="A40">
        <v>1.868013759999992</v>
      </c>
      <c r="B40">
        <v>0.54202768311960292</v>
      </c>
      <c r="C40">
        <v>7.0000000000000007E-2</v>
      </c>
      <c r="D40" t="s">
        <v>312</v>
      </c>
      <c r="E40" s="68">
        <v>42967.541666666672</v>
      </c>
      <c r="F40">
        <v>1.43</v>
      </c>
    </row>
    <row r="41" spans="1:10" x14ac:dyDescent="0.3">
      <c r="A41">
        <v>2.5335758399999908</v>
      </c>
      <c r="B41">
        <v>2.4601821987741759</v>
      </c>
      <c r="C41">
        <v>1.7173333333333329</v>
      </c>
      <c r="D41" t="s">
        <v>313</v>
      </c>
      <c r="E41" s="68">
        <v>42970.708333333328</v>
      </c>
    </row>
    <row r="42" spans="1:10" x14ac:dyDescent="0.3">
      <c r="A42">
        <v>1.54105469888</v>
      </c>
      <c r="B42">
        <v>6.9504160998344902E-2</v>
      </c>
      <c r="C42">
        <v>0.03</v>
      </c>
      <c r="D42" t="s">
        <v>270</v>
      </c>
      <c r="E42" s="68">
        <v>45149.708333333328</v>
      </c>
      <c r="F42">
        <v>0.25</v>
      </c>
      <c r="G42">
        <v>0.06</v>
      </c>
      <c r="H42">
        <v>0.32</v>
      </c>
      <c r="I42">
        <f t="shared" si="0"/>
        <v>-0.03</v>
      </c>
      <c r="J42">
        <f t="shared" si="1"/>
        <v>-0.03</v>
      </c>
    </row>
    <row r="43" spans="1:10" x14ac:dyDescent="0.3">
      <c r="A43">
        <v>1.5320506224799999</v>
      </c>
      <c r="B43">
        <v>2.6182502766707211E-2</v>
      </c>
      <c r="C43">
        <v>0.02</v>
      </c>
      <c r="D43" t="s">
        <v>271</v>
      </c>
      <c r="E43" s="68">
        <v>45150.708333333328</v>
      </c>
      <c r="F43">
        <v>2.15</v>
      </c>
      <c r="G43">
        <v>0.01</v>
      </c>
      <c r="H43">
        <v>0.33</v>
      </c>
      <c r="I43">
        <f t="shared" si="0"/>
        <v>0.01</v>
      </c>
      <c r="J43">
        <f t="shared" si="1"/>
        <v>0.01</v>
      </c>
    </row>
    <row r="44" spans="1:10" x14ac:dyDescent="0.3">
      <c r="A44">
        <v>1.31873586704</v>
      </c>
      <c r="B44">
        <v>0.1175754398515881</v>
      </c>
      <c r="C44">
        <v>0.03</v>
      </c>
      <c r="D44" t="s">
        <v>273</v>
      </c>
      <c r="E44" s="68">
        <v>45155.541666666672</v>
      </c>
      <c r="F44">
        <v>2.5499999999999998</v>
      </c>
      <c r="G44">
        <v>0.04</v>
      </c>
      <c r="H44">
        <v>4.63</v>
      </c>
      <c r="I44">
        <f t="shared" si="0"/>
        <v>-1.0000000000000002E-2</v>
      </c>
      <c r="J44">
        <f t="shared" si="1"/>
        <v>-1.0000000000000002E-2</v>
      </c>
    </row>
    <row r="45" spans="1:10" x14ac:dyDescent="0.3">
      <c r="A45">
        <v>1.1116966800000001</v>
      </c>
      <c r="B45">
        <v>6.4729317387144311E-2</v>
      </c>
      <c r="C45">
        <v>0.05</v>
      </c>
      <c r="D45" t="s">
        <v>274</v>
      </c>
      <c r="E45" s="68">
        <v>45156.458333333328</v>
      </c>
      <c r="F45">
        <v>2.41</v>
      </c>
      <c r="G45">
        <v>0.02</v>
      </c>
      <c r="H45">
        <v>2.2400000000000002</v>
      </c>
      <c r="I45">
        <f t="shared" si="0"/>
        <v>3.0000000000000002E-2</v>
      </c>
      <c r="J45">
        <f t="shared" si="1"/>
        <v>3.0000000000000002E-2</v>
      </c>
    </row>
    <row r="46" spans="1:10" x14ac:dyDescent="0.3">
      <c r="A46">
        <v>1.3179173146400001</v>
      </c>
      <c r="B46">
        <v>3.5161597389239428E-2</v>
      </c>
      <c r="C46">
        <v>0.05</v>
      </c>
      <c r="D46" t="s">
        <v>276</v>
      </c>
      <c r="E46" s="68">
        <v>45158.666666666672</v>
      </c>
      <c r="F46">
        <v>3.06</v>
      </c>
    </row>
    <row r="47" spans="1:10" x14ac:dyDescent="0.3">
      <c r="A47">
        <v>1.1872217814399999</v>
      </c>
      <c r="B47">
        <v>0.20705040057415949</v>
      </c>
      <c r="C47">
        <v>0.06</v>
      </c>
      <c r="D47" t="s">
        <v>275</v>
      </c>
      <c r="E47" s="68">
        <v>45159.541666666672</v>
      </c>
      <c r="F47">
        <v>7.62</v>
      </c>
      <c r="G47">
        <v>0.01</v>
      </c>
      <c r="H47">
        <v>0.42</v>
      </c>
      <c r="I47">
        <f t="shared" si="0"/>
        <v>4.9999999999999996E-2</v>
      </c>
      <c r="J47">
        <f t="shared" si="1"/>
        <v>4.9999999999999996E-2</v>
      </c>
    </row>
    <row r="48" spans="1:10" x14ac:dyDescent="0.3">
      <c r="A48">
        <v>0.85658118200000022</v>
      </c>
      <c r="B48">
        <v>1.203166866550375E-2</v>
      </c>
      <c r="C48">
        <v>0.02</v>
      </c>
      <c r="D48" t="s">
        <v>277</v>
      </c>
      <c r="E48" s="68">
        <v>45161.375</v>
      </c>
      <c r="F48">
        <v>2.36</v>
      </c>
      <c r="G48">
        <v>0.01</v>
      </c>
      <c r="H48">
        <v>1.54</v>
      </c>
      <c r="I48">
        <f t="shared" si="0"/>
        <v>0.01</v>
      </c>
      <c r="J48">
        <f t="shared" si="1"/>
        <v>0.01</v>
      </c>
    </row>
    <row r="49" spans="1:10" x14ac:dyDescent="0.3">
      <c r="A49">
        <v>1.2718055294399999</v>
      </c>
      <c r="B49">
        <v>5.1345072379289453E-2</v>
      </c>
      <c r="C49">
        <v>0.04</v>
      </c>
      <c r="D49" t="s">
        <v>278</v>
      </c>
      <c r="E49" s="68">
        <v>45161.75</v>
      </c>
      <c r="F49">
        <v>1.91</v>
      </c>
      <c r="G49">
        <v>0.01</v>
      </c>
      <c r="H49">
        <v>12.8</v>
      </c>
      <c r="I49">
        <f t="shared" si="0"/>
        <v>0.03</v>
      </c>
      <c r="J49">
        <f t="shared" si="1"/>
        <v>0.03</v>
      </c>
    </row>
    <row r="50" spans="1:10" x14ac:dyDescent="0.3">
      <c r="A50">
        <v>0.99540766904</v>
      </c>
      <c r="B50">
        <v>2.4135509684951061E-2</v>
      </c>
      <c r="C50">
        <v>0.02</v>
      </c>
      <c r="D50" t="s">
        <v>280</v>
      </c>
      <c r="E50" s="68">
        <v>45163.458333333328</v>
      </c>
      <c r="F50">
        <v>1.21</v>
      </c>
      <c r="G50">
        <v>0.01</v>
      </c>
      <c r="H50">
        <v>1.54</v>
      </c>
      <c r="I50">
        <f t="shared" si="0"/>
        <v>0.01</v>
      </c>
      <c r="J50">
        <f t="shared" si="1"/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Главная таблица</vt:lpstr>
      <vt:lpstr>суммарный сток наносов</vt:lpstr>
      <vt:lpstr>влекомый сток</vt:lpstr>
      <vt:lpstr>Баланс наносов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Рецензент</cp:lastModifiedBy>
  <dcterms:created xsi:type="dcterms:W3CDTF">2024-02-20T11:13:11Z</dcterms:created>
  <dcterms:modified xsi:type="dcterms:W3CDTF">2024-05-15T22:35:06Z</dcterms:modified>
</cp:coreProperties>
</file>