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itanya\Desktop\iit istoodant\"/>
    </mc:Choice>
  </mc:AlternateContent>
  <xr:revisionPtr revIDLastSave="0" documentId="13_ncr:1_{A85567F1-E357-483F-AA40-2F5B0639D3A4}" xr6:coauthVersionLast="47" xr6:coauthVersionMax="47" xr10:uidLastSave="{00000000-0000-0000-0000-000000000000}"/>
  <bookViews>
    <workbookView xWindow="-110" yWindow="-110" windowWidth="25820" windowHeight="16220" activeTab="3" xr2:uid="{6FD56F1B-DE95-43AE-9DC6-8A768631D168}"/>
  </bookViews>
  <sheets>
    <sheet name="Inputs and design constants" sheetId="1" r:id="rId1"/>
    <sheet name="Output calculations for GNVR" sheetId="6" r:id="rId2"/>
    <sheet name="Output Calculations for OS" sheetId="7" r:id="rId3"/>
    <sheet name="Required Payload to Volume" sheetId="3" r:id="rId4"/>
    <sheet name="Volume To Payload" sheetId="11" r:id="rId5"/>
    <sheet name="Scenarios" sheetId="9" r:id="rId6"/>
    <sheet name="Miscellanous Information" sheetId="2" r:id="rId7"/>
    <sheet name="Report Information" sheetId="10" r:id="rId8"/>
  </sheets>
  <externalReferences>
    <externalReference r:id="rId9"/>
  </externalReferences>
  <definedNames>
    <definedName name="rho_a_a">'[1]ISA Conditions'!$B$27</definedName>
    <definedName name="rho_he_a">'[1]ISA Conditions'!$C$27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2" i="11" l="1"/>
  <c r="L17" i="1"/>
  <c r="L18" i="1"/>
  <c r="F8" i="11"/>
  <c r="F12" i="11" s="1"/>
  <c r="G5" i="11"/>
  <c r="F5" i="11" s="1"/>
  <c r="B2" i="11"/>
  <c r="B3" i="11" s="1"/>
  <c r="B11" i="7"/>
  <c r="B13" i="7" s="1"/>
  <c r="F10" i="7" s="1"/>
  <c r="B2" i="6"/>
  <c r="B10" i="6"/>
  <c r="D15" i="9"/>
  <c r="D12" i="9"/>
  <c r="B13" i="9"/>
  <c r="D14" i="9" s="1"/>
  <c r="B12" i="6" l="1"/>
  <c r="F14" i="11" s="1"/>
  <c r="B4" i="11"/>
  <c r="B5" i="11" s="1"/>
  <c r="B6" i="11"/>
  <c r="B7" i="11" s="1"/>
  <c r="B8" i="11" s="1"/>
  <c r="B9" i="11" s="1"/>
  <c r="B14" i="7"/>
  <c r="B11" i="6"/>
  <c r="F13" i="11" s="1"/>
  <c r="L15" i="1" s="1"/>
  <c r="D13" i="9"/>
  <c r="B2" i="3"/>
  <c r="B3" i="3" s="1"/>
  <c r="L6" i="1"/>
  <c r="L3" i="1"/>
  <c r="B15" i="7" l="1"/>
  <c r="B16" i="7" s="1"/>
  <c r="F11" i="7"/>
  <c r="F17" i="11"/>
  <c r="F18" i="11" s="1"/>
  <c r="B13" i="6"/>
  <c r="F15" i="11" s="1"/>
  <c r="L16" i="1" s="1"/>
  <c r="L19" i="1" s="1"/>
  <c r="L20" i="1" s="1"/>
  <c r="B10" i="11"/>
  <c r="F19" i="11"/>
  <c r="B11" i="11"/>
  <c r="B2" i="7"/>
  <c r="B4" i="7" s="1"/>
  <c r="B5" i="7" s="1"/>
  <c r="B12" i="11" l="1"/>
  <c r="F20" i="11" s="1"/>
  <c r="F23" i="11" s="1"/>
  <c r="B4" i="6"/>
  <c r="B5" i="6" s="1"/>
  <c r="B3" i="6"/>
  <c r="F1" i="7"/>
  <c r="F18" i="3" s="1"/>
  <c r="B20" i="1" l="1"/>
  <c r="B6" i="7"/>
  <c r="B7" i="7" s="1"/>
  <c r="F2" i="7"/>
  <c r="F19" i="3" s="1"/>
  <c r="B8" i="1" s="1"/>
  <c r="L4" i="1" s="1"/>
  <c r="F17" i="3" l="1"/>
  <c r="L5" i="1"/>
  <c r="F23" i="3" l="1"/>
  <c r="F21" i="3"/>
  <c r="F22" i="3" s="1"/>
  <c r="L2" i="1"/>
  <c r="L7" i="1" s="1"/>
  <c r="G5" i="3" l="1"/>
  <c r="F5" i="3" s="1"/>
  <c r="B6" i="3"/>
  <c r="B7" i="3" l="1"/>
  <c r="B8" i="3" s="1"/>
  <c r="B9" i="3" s="1"/>
  <c r="B4" i="3"/>
  <c r="B5" i="3" s="1"/>
  <c r="B11" i="3" s="1"/>
  <c r="B10" i="3" l="1"/>
  <c r="B12" i="3" l="1"/>
  <c r="L8" i="1"/>
  <c r="L9" i="1" s="1"/>
  <c r="F16" i="11" l="1"/>
  <c r="F12" i="3"/>
  <c r="B19" i="3" s="1"/>
  <c r="F20" i="3"/>
  <c r="F21" i="11"/>
  <c r="P4" i="1" s="1"/>
</calcChain>
</file>

<file path=xl/sharedStrings.xml><?xml version="1.0" encoding="utf-8"?>
<sst xmlns="http://schemas.openxmlformats.org/spreadsheetml/2006/main" count="362" uniqueCount="136">
  <si>
    <t>Payload</t>
  </si>
  <si>
    <t>Gas Purity</t>
  </si>
  <si>
    <t>Floating Altitude</t>
  </si>
  <si>
    <t>deployment altitude</t>
  </si>
  <si>
    <t>Rings Weight</t>
  </si>
  <si>
    <t>Duration</t>
  </si>
  <si>
    <t>Fin Weight</t>
  </si>
  <si>
    <t>Leakage</t>
  </si>
  <si>
    <t>INPUTS</t>
  </si>
  <si>
    <t>Designs Constants</t>
  </si>
  <si>
    <t>Shape</t>
  </si>
  <si>
    <t xml:space="preserve">Gas Used </t>
  </si>
  <si>
    <t>Free Lift</t>
  </si>
  <si>
    <t>Envelope Patch Factor</t>
  </si>
  <si>
    <t>Tether Length Factor</t>
  </si>
  <si>
    <t>Ring Weight/length</t>
  </si>
  <si>
    <t>Volume</t>
  </si>
  <si>
    <t>Length</t>
  </si>
  <si>
    <t>Surface Area</t>
  </si>
  <si>
    <t>Relative Humidity</t>
  </si>
  <si>
    <t>Envelope Material</t>
  </si>
  <si>
    <t xml:space="preserve">70m3 </t>
  </si>
  <si>
    <t xml:space="preserve">7 day leakage </t>
  </si>
  <si>
    <t>24 day leak</t>
  </si>
  <si>
    <t>enter GN or OS</t>
  </si>
  <si>
    <t>gsm</t>
  </si>
  <si>
    <t>kg</t>
  </si>
  <si>
    <t>%</t>
  </si>
  <si>
    <t>m</t>
  </si>
  <si>
    <t>days</t>
  </si>
  <si>
    <t>litre/m^2/day</t>
  </si>
  <si>
    <t>k</t>
  </si>
  <si>
    <t>Pressure Ratio</t>
  </si>
  <si>
    <t>Pressure at OA</t>
  </si>
  <si>
    <t>Operating altitude (OA)</t>
  </si>
  <si>
    <t>Super Pressure</t>
  </si>
  <si>
    <t>&lt;- assumed</t>
  </si>
  <si>
    <t>Super Heat</t>
  </si>
  <si>
    <t>c</t>
  </si>
  <si>
    <t xml:space="preserve">Ln </t>
  </si>
  <si>
    <t>Tether weight/length</t>
  </si>
  <si>
    <t>Universal Constants</t>
  </si>
  <si>
    <t>value</t>
  </si>
  <si>
    <t>temperature decrease for altitude</t>
  </si>
  <si>
    <t>K/m</t>
  </si>
  <si>
    <t>relative density of water vapour</t>
  </si>
  <si>
    <t>aerostatic lift constant</t>
  </si>
  <si>
    <t>enter H or He</t>
  </si>
  <si>
    <t>He</t>
  </si>
  <si>
    <t>kg/m</t>
  </si>
  <si>
    <t>all values not given are roughly assumed</t>
  </si>
  <si>
    <t>a</t>
  </si>
  <si>
    <t>e</t>
  </si>
  <si>
    <t>m2</t>
  </si>
  <si>
    <t>m3</t>
  </si>
  <si>
    <t>Net Lift</t>
  </si>
  <si>
    <t>GN</t>
  </si>
  <si>
    <t>OS</t>
  </si>
  <si>
    <t>volume</t>
  </si>
  <si>
    <t>a/c</t>
  </si>
  <si>
    <t xml:space="preserve">a </t>
  </si>
  <si>
    <t xml:space="preserve">c </t>
  </si>
  <si>
    <t>Length/Height</t>
  </si>
  <si>
    <t>% of initial volume</t>
  </si>
  <si>
    <t>Days taken for bouyancy to reach 90% of initial volume</t>
  </si>
  <si>
    <t>tether extensions</t>
  </si>
  <si>
    <t>LTA system mass broken down</t>
  </si>
  <si>
    <t>Envelope</t>
  </si>
  <si>
    <t>Ring Weight</t>
  </si>
  <si>
    <t>Total tether and extension weight</t>
  </si>
  <si>
    <t xml:space="preserve">total </t>
  </si>
  <si>
    <t>Value</t>
  </si>
  <si>
    <t>Units</t>
  </si>
  <si>
    <t>N</t>
  </si>
  <si>
    <t>GNVR</t>
  </si>
  <si>
    <t>Values</t>
  </si>
  <si>
    <t>Lift Required</t>
  </si>
  <si>
    <t>Kg</t>
  </si>
  <si>
    <t>Option or Units</t>
  </si>
  <si>
    <t>Pa</t>
  </si>
  <si>
    <t>Variable</t>
  </si>
  <si>
    <t>Temperature</t>
  </si>
  <si>
    <t>Ambient Temperature</t>
  </si>
  <si>
    <t>Saturation Vapour Pressure</t>
  </si>
  <si>
    <t>Actual Vapour Pressure</t>
  </si>
  <si>
    <t>Gross Lift</t>
  </si>
  <si>
    <t>Weight of Lifting Gas</t>
  </si>
  <si>
    <t>H</t>
  </si>
  <si>
    <t>relative density of lifting gas</t>
  </si>
  <si>
    <t xml:space="preserve">Required Net Lift : </t>
  </si>
  <si>
    <t>OUTPUT</t>
  </si>
  <si>
    <t>Required Volume</t>
  </si>
  <si>
    <t>Max Diameter</t>
  </si>
  <si>
    <t>Mass of System</t>
  </si>
  <si>
    <t>Gas Leaked per 7 days</t>
  </si>
  <si>
    <t>phi</t>
  </si>
  <si>
    <t xml:space="preserve">m </t>
  </si>
  <si>
    <t>eccentricity</t>
  </si>
  <si>
    <t>semi major axis</t>
  </si>
  <si>
    <t>semi minor axis</t>
  </si>
  <si>
    <t>Oblate Spheroid</t>
  </si>
  <si>
    <t>Variables</t>
  </si>
  <si>
    <t>Meaning</t>
  </si>
  <si>
    <t>major axis (Max Diameter)</t>
  </si>
  <si>
    <t>minor axis (Height)</t>
  </si>
  <si>
    <t>Days</t>
  </si>
  <si>
    <t>Scenario One</t>
  </si>
  <si>
    <t>Remaining Lift</t>
  </si>
  <si>
    <t>Envelope Weight</t>
  </si>
  <si>
    <t>Tether Weight</t>
  </si>
  <si>
    <t>Since the basic Components leave no room for the payload, a volume of 70m3 is insufficient for this purpose</t>
  </si>
  <si>
    <t>Scenario Two</t>
  </si>
  <si>
    <t>Required Lift</t>
  </si>
  <si>
    <t>The User specifies all these values after which the software outputs volume, surface area, dimensions of the envelope and the total weight of the system</t>
  </si>
  <si>
    <t>provided outputs</t>
  </si>
  <si>
    <t>The formulae for volume of GNVR shape were taken from gnvr sizing spreadsheet available at https://github.com/suvarnasohan/ModGNVRAirshipSizing/</t>
  </si>
  <si>
    <t>2 scenarios were carried out, one assuming a volume of 70m3 and one using the spreadsheet in the intended way</t>
  </si>
  <si>
    <t>formulae and derivations used are available in the sheet titled miscelanneous information</t>
  </si>
  <si>
    <t>&lt;-- assumed</t>
  </si>
  <si>
    <t>Gas Leaked During Deployment</t>
  </si>
  <si>
    <t>For Required Payload to Volume</t>
  </si>
  <si>
    <t>For Required Volume to Payload</t>
  </si>
  <si>
    <t>For Required Payload To Volume</t>
  </si>
  <si>
    <t>For Required Volume To Payload</t>
  </si>
  <si>
    <t xml:space="preserve">Given Volume : </t>
  </si>
  <si>
    <t>For Payload to Volume</t>
  </si>
  <si>
    <t>LTA System mass before Payload</t>
  </si>
  <si>
    <t>Total Tether and Extension Weight</t>
  </si>
  <si>
    <t xml:space="preserve">Total </t>
  </si>
  <si>
    <t>Total Lift</t>
  </si>
  <si>
    <t>Maximum Acceptable Payload</t>
  </si>
  <si>
    <t>Payload in Kg</t>
  </si>
  <si>
    <t>Difference</t>
  </si>
  <si>
    <t>In kg</t>
  </si>
  <si>
    <t>Volume To Payload</t>
  </si>
  <si>
    <t>Click button until difference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</si>
</sst>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10" fontId="0" fillId="0" borderId="0" xfId="0" applyNumberFormat="1"/>
    <xf numFmtId="9" fontId="0" fillId="0" borderId="0" xfId="0" applyNumberFormat="1"/>
    <xf numFmtId="0" fontId="2" fillId="0" borderId="0" xfId="0" applyFont="1"/>
    <xf numFmtId="0" fontId="2" fillId="0" borderId="0" xfId="0" applyFont="1" applyFill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1" fontId="0" fillId="3" borderId="0" xfId="0" applyNumberFormat="1" applyFill="1"/>
    <xf numFmtId="0" fontId="3" fillId="2" borderId="0" xfId="0" applyFont="1" applyFill="1"/>
    <xf numFmtId="0" fontId="4" fillId="0" borderId="0" xfId="0" applyFont="1" applyAlignment="1">
      <alignment horizontal="center"/>
    </xf>
    <xf numFmtId="0" fontId="3" fillId="2" borderId="0" xfId="0" applyFont="1" applyFill="1" applyAlignment="1">
      <alignment horizontal="left"/>
    </xf>
    <xf numFmtId="2" fontId="3" fillId="2" borderId="0" xfId="0" applyNumberFormat="1" applyFont="1" applyFill="1" applyAlignment="1">
      <alignment horizontal="left"/>
    </xf>
    <xf numFmtId="0" fontId="5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4" borderId="0" xfId="0" applyFont="1" applyFill="1"/>
    <xf numFmtId="2" fontId="5" fillId="4" borderId="0" xfId="0" applyNumberFormat="1" applyFont="1" applyFill="1"/>
    <xf numFmtId="2" fontId="5" fillId="3" borderId="0" xfId="0" applyNumberFormat="1" applyFont="1" applyFill="1"/>
    <xf numFmtId="0" fontId="3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2" borderId="0" xfId="0" applyFont="1" applyFill="1"/>
    <xf numFmtId="0" fontId="6" fillId="3" borderId="0" xfId="0" applyFont="1" applyFill="1"/>
    <xf numFmtId="0" fontId="6" fillId="4" borderId="0" xfId="0" applyFont="1" applyFill="1"/>
    <xf numFmtId="0" fontId="6" fillId="2" borderId="0" xfId="0" applyFont="1" applyFill="1" applyAlignment="1">
      <alignment wrapText="1"/>
    </xf>
    <xf numFmtId="2" fontId="6" fillId="3" borderId="0" xfId="0" applyNumberFormat="1" applyFont="1" applyFill="1"/>
    <xf numFmtId="0" fontId="4" fillId="2" borderId="0" xfId="0" applyFont="1" applyFill="1"/>
    <xf numFmtId="0" fontId="4" fillId="4" borderId="0" xfId="0" applyFont="1" applyFill="1"/>
    <xf numFmtId="0" fontId="4" fillId="2" borderId="0" xfId="0" applyFont="1" applyFill="1" applyAlignment="1">
      <alignment wrapText="1"/>
    </xf>
    <xf numFmtId="2" fontId="4" fillId="3" borderId="0" xfId="0" applyNumberFormat="1" applyFont="1" applyFill="1"/>
    <xf numFmtId="0" fontId="0" fillId="0" borderId="0" xfId="0" applyAlignment="1"/>
    <xf numFmtId="0" fontId="0" fillId="0" borderId="0" xfId="0" applyBorder="1"/>
    <xf numFmtId="0" fontId="0" fillId="0" borderId="0" xfId="0" applyFill="1" applyBorder="1"/>
    <xf numFmtId="0" fontId="3" fillId="2" borderId="0" xfId="0" applyFont="1" applyFill="1" applyAlignment="1">
      <alignment horizontal="right"/>
    </xf>
    <xf numFmtId="2" fontId="3" fillId="2" borderId="0" xfId="0" applyNumberFormat="1" applyFont="1" applyFill="1" applyAlignment="1">
      <alignment horizontal="center"/>
    </xf>
    <xf numFmtId="0" fontId="7" fillId="0" borderId="0" xfId="0" applyFont="1"/>
    <xf numFmtId="2" fontId="7" fillId="0" borderId="0" xfId="0" applyNumberFormat="1" applyFont="1"/>
    <xf numFmtId="2" fontId="0" fillId="3" borderId="0" xfId="0" applyNumberFormat="1" applyFill="1"/>
    <xf numFmtId="2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3" xfId="0" applyFont="1" applyFill="1" applyBorder="1" applyAlignment="1"/>
    <xf numFmtId="0" fontId="0" fillId="0" borderId="2" xfId="0" applyFont="1" applyFill="1" applyBorder="1" applyAlignment="1"/>
    <xf numFmtId="0" fontId="0" fillId="0" borderId="1" xfId="0" applyFont="1" applyFill="1" applyBorder="1" applyAlignment="1"/>
  </cellXfs>
  <cellStyles count="1">
    <cellStyle name="Normal" xfId="0" builtinId="0"/>
  </cellStyles>
  <dxfs count="65">
    <dxf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20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26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26"/>
        <color rgb="FF000000"/>
        <name val="Calibri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</dxf>
    <dxf>
      <font>
        <b/>
        <i val="0"/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8"/>
        <color theme="1"/>
        <name val="Calibri"/>
        <family val="2"/>
        <scheme val="minor"/>
      </font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7.png"/><Relationship Id="rId5" Type="http://schemas.openxmlformats.org/officeDocument/2006/relationships/image" Target="../media/image13.png"/><Relationship Id="rId10" Type="http://schemas.openxmlformats.org/officeDocument/2006/relationships/image" Target="../media/image6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285750</xdr:colOff>
      <xdr:row>0</xdr:row>
      <xdr:rowOff>0</xdr:rowOff>
    </xdr:from>
    <xdr:to>
      <xdr:col>16</xdr:col>
      <xdr:colOff>81357</xdr:colOff>
      <xdr:row>5</xdr:row>
      <xdr:rowOff>165100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7D73484-D220-2724-5A81-1CAAFFB0E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50" y="0"/>
          <a:ext cx="4672407" cy="24511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342899</xdr:colOff>
      <xdr:row>5</xdr:row>
      <xdr:rowOff>114300</xdr:rowOff>
    </xdr:from>
    <xdr:to>
      <xdr:col>11</xdr:col>
      <xdr:colOff>116284</xdr:colOff>
      <xdr:row>8</xdr:row>
      <xdr:rowOff>444500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96E1982-77C2-D9D1-7407-7D92D03DC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56149" y="2400300"/>
          <a:ext cx="4808935" cy="882650"/>
        </a:xfrm>
        <a:prstGeom prst="rect">
          <a:avLst/>
        </a:prstGeom>
      </xdr:spPr>
    </xdr:pic>
    <xdr:clientData/>
  </xdr:twoCellAnchor>
  <xdr:twoCellAnchor editAs="oneCell">
    <xdr:from>
      <xdr:col>3</xdr:col>
      <xdr:colOff>336551</xdr:colOff>
      <xdr:row>0</xdr:row>
      <xdr:rowOff>101600</xdr:rowOff>
    </xdr:from>
    <xdr:to>
      <xdr:col>8</xdr:col>
      <xdr:colOff>482601</xdr:colOff>
      <xdr:row>1</xdr:row>
      <xdr:rowOff>215901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8F4879-224E-B0E7-109C-40E9E7232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49801" y="101600"/>
          <a:ext cx="3352800" cy="571501"/>
        </a:xfrm>
        <a:prstGeom prst="rect">
          <a:avLst/>
        </a:prstGeom>
      </xdr:spPr>
    </xdr:pic>
    <xdr:clientData/>
  </xdr:twoCellAnchor>
  <xdr:twoCellAnchor editAs="oneCell">
    <xdr:from>
      <xdr:col>3</xdr:col>
      <xdr:colOff>425450</xdr:colOff>
      <xdr:row>1</xdr:row>
      <xdr:rowOff>215900</xdr:rowOff>
    </xdr:from>
    <xdr:to>
      <xdr:col>8</xdr:col>
      <xdr:colOff>298450</xdr:colOff>
      <xdr:row>5</xdr:row>
      <xdr:rowOff>72638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2ABF7D3-E2F5-492A-61BB-E781F3F13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8700" y="673100"/>
          <a:ext cx="3079750" cy="1685538"/>
        </a:xfrm>
        <a:prstGeom prst="rect">
          <a:avLst/>
        </a:prstGeom>
      </xdr:spPr>
    </xdr:pic>
    <xdr:clientData/>
  </xdr:twoCellAnchor>
  <xdr:twoCellAnchor editAs="oneCell">
    <xdr:from>
      <xdr:col>8</xdr:col>
      <xdr:colOff>476249</xdr:colOff>
      <xdr:row>2</xdr:row>
      <xdr:rowOff>355600</xdr:rowOff>
    </xdr:from>
    <xdr:to>
      <xdr:col>16</xdr:col>
      <xdr:colOff>312934</xdr:colOff>
      <xdr:row>5</xdr:row>
      <xdr:rowOff>146050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319CD67-D531-3389-CA90-77D2164BF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96249" y="1270000"/>
          <a:ext cx="4713485" cy="1162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666750</xdr:colOff>
      <xdr:row>5</xdr:row>
      <xdr:rowOff>317500</xdr:rowOff>
    </xdr:from>
    <xdr:to>
      <xdr:col>6</xdr:col>
      <xdr:colOff>25977</xdr:colOff>
      <xdr:row>8</xdr:row>
      <xdr:rowOff>368300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3E13F4C-DFDD-488E-94F8-65AEA2F6C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0" y="2603500"/>
          <a:ext cx="2343727" cy="1422400"/>
        </a:xfrm>
        <a:prstGeom prst="rect">
          <a:avLst/>
        </a:prstGeom>
      </xdr:spPr>
    </xdr:pic>
    <xdr:clientData/>
  </xdr:twoCellAnchor>
  <xdr:twoCellAnchor editAs="oneCell">
    <xdr:from>
      <xdr:col>4</xdr:col>
      <xdr:colOff>6349</xdr:colOff>
      <xdr:row>2</xdr:row>
      <xdr:rowOff>63500</xdr:rowOff>
    </xdr:from>
    <xdr:to>
      <xdr:col>5</xdr:col>
      <xdr:colOff>584200</xdr:colOff>
      <xdr:row>5</xdr:row>
      <xdr:rowOff>446088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68648-E729-47DD-B2C3-83E5EC0A5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24649" y="977900"/>
          <a:ext cx="2159001" cy="1754188"/>
        </a:xfrm>
        <a:prstGeom prst="rect">
          <a:avLst/>
        </a:prstGeom>
      </xdr:spPr>
    </xdr:pic>
    <xdr:clientData/>
  </xdr:twoCellAnchor>
  <xdr:twoCellAnchor editAs="oneCell">
    <xdr:from>
      <xdr:col>5</xdr:col>
      <xdr:colOff>654050</xdr:colOff>
      <xdr:row>2</xdr:row>
      <xdr:rowOff>196850</xdr:rowOff>
    </xdr:from>
    <xdr:to>
      <xdr:col>8</xdr:col>
      <xdr:colOff>1077480</xdr:colOff>
      <xdr:row>5</xdr:row>
      <xdr:rowOff>279400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7DFF5F-3FD9-4980-B997-B92AF603F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82100" y="1111250"/>
          <a:ext cx="3503180" cy="1454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25400</xdr:rowOff>
    </xdr:from>
    <xdr:to>
      <xdr:col>3</xdr:col>
      <xdr:colOff>895350</xdr:colOff>
      <xdr:row>17</xdr:row>
      <xdr:rowOff>19050</xdr:rowOff>
    </xdr:to>
    <xdr:sp macro="[0]!Module1.xddxx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D106B6D-B80D-BAEE-7651-10CFC6B80823}"/>
            </a:ext>
          </a:extLst>
        </xdr:cNvPr>
        <xdr:cNvSpPr/>
      </xdr:nvSpPr>
      <xdr:spPr>
        <a:xfrm>
          <a:off x="0" y="5607050"/>
          <a:ext cx="7232650" cy="984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4400" baseline="0"/>
            <a:t>Required Lift To Volume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4</xdr:row>
      <xdr:rowOff>57150</xdr:rowOff>
    </xdr:from>
    <xdr:to>
      <xdr:col>11</xdr:col>
      <xdr:colOff>502017</xdr:colOff>
      <xdr:row>44</xdr:row>
      <xdr:rowOff>376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7E7DE1-7FD6-C948-5C5B-184067FC9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793750"/>
          <a:ext cx="7131417" cy="7309226"/>
        </a:xfrm>
        <a:prstGeom prst="rect">
          <a:avLst/>
        </a:prstGeom>
      </xdr:spPr>
    </xdr:pic>
    <xdr:clientData/>
  </xdr:twoCellAnchor>
  <xdr:twoCellAnchor editAs="oneCell">
    <xdr:from>
      <xdr:col>11</xdr:col>
      <xdr:colOff>482600</xdr:colOff>
      <xdr:row>4</xdr:row>
      <xdr:rowOff>107950</xdr:rowOff>
    </xdr:from>
    <xdr:to>
      <xdr:col>24</xdr:col>
      <xdr:colOff>527460</xdr:colOff>
      <xdr:row>23</xdr:row>
      <xdr:rowOff>25576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00AAB9-5ED2-94A4-4614-6CF05EAB8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8200" y="844550"/>
          <a:ext cx="7969660" cy="3416476"/>
        </a:xfrm>
        <a:prstGeom prst="rect">
          <a:avLst/>
        </a:prstGeom>
      </xdr:spPr>
    </xdr:pic>
    <xdr:clientData/>
  </xdr:twoCellAnchor>
  <xdr:twoCellAnchor editAs="oneCell">
    <xdr:from>
      <xdr:col>11</xdr:col>
      <xdr:colOff>501650</xdr:colOff>
      <xdr:row>23</xdr:row>
      <xdr:rowOff>6350</xdr:rowOff>
    </xdr:from>
    <xdr:to>
      <xdr:col>26</xdr:col>
      <xdr:colOff>298910</xdr:colOff>
      <xdr:row>47</xdr:row>
      <xdr:rowOff>51029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2B92CF-D977-45DE-F067-6D37686E3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07250" y="4241800"/>
          <a:ext cx="8941260" cy="4464279"/>
        </a:xfrm>
        <a:prstGeom prst="rect">
          <a:avLst/>
        </a:prstGeom>
      </xdr:spPr>
    </xdr:pic>
    <xdr:clientData/>
  </xdr:twoCellAnchor>
  <xdr:twoCellAnchor editAs="oneCell">
    <xdr:from>
      <xdr:col>0</xdr:col>
      <xdr:colOff>16510</xdr:colOff>
      <xdr:row>45</xdr:row>
      <xdr:rowOff>139700</xdr:rowOff>
    </xdr:from>
    <xdr:to>
      <xdr:col>5</xdr:col>
      <xdr:colOff>422036</xdr:colOff>
      <xdr:row>51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E60C88-526C-4777-9D7F-8D122BED0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510" y="8426450"/>
          <a:ext cx="3453526" cy="9906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</xdr:colOff>
      <xdr:row>51</xdr:row>
      <xdr:rowOff>25400</xdr:rowOff>
    </xdr:from>
    <xdr:to>
      <xdr:col>8</xdr:col>
      <xdr:colOff>42022</xdr:colOff>
      <xdr:row>56</xdr:row>
      <xdr:rowOff>69850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6DF26ED-6590-4A75-8C1D-CAAD60858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" y="9417050"/>
          <a:ext cx="4911202" cy="965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73660</xdr:rowOff>
    </xdr:from>
    <xdr:to>
      <xdr:col>8</xdr:col>
      <xdr:colOff>142495</xdr:colOff>
      <xdr:row>61</xdr:row>
      <xdr:rowOff>99108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71B81FA-FB85-4F76-9A0F-5C58BCB08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0386060"/>
          <a:ext cx="5019295" cy="946198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</xdr:colOff>
      <xdr:row>50</xdr:row>
      <xdr:rowOff>133350</xdr:rowOff>
    </xdr:from>
    <xdr:to>
      <xdr:col>19</xdr:col>
      <xdr:colOff>358501</xdr:colOff>
      <xdr:row>57</xdr:row>
      <xdr:rowOff>47052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6D84708-1E5C-4EF3-B2EB-D1A6F7BF4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914900" y="9340850"/>
          <a:ext cx="7026001" cy="1202752"/>
        </a:xfrm>
        <a:prstGeom prst="rect">
          <a:avLst/>
        </a:prstGeom>
      </xdr:spPr>
    </xdr:pic>
    <xdr:clientData/>
  </xdr:twoCellAnchor>
  <xdr:twoCellAnchor editAs="oneCell">
    <xdr:from>
      <xdr:col>5</xdr:col>
      <xdr:colOff>425449</xdr:colOff>
      <xdr:row>45</xdr:row>
      <xdr:rowOff>139700</xdr:rowOff>
    </xdr:from>
    <xdr:to>
      <xdr:col>11</xdr:col>
      <xdr:colOff>129532</xdr:colOff>
      <xdr:row>50</xdr:row>
      <xdr:rowOff>25400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8EEEA5F-5D8C-4552-9FF9-5BFB27A12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73449" y="8426450"/>
          <a:ext cx="3361683" cy="806450"/>
        </a:xfrm>
        <a:prstGeom prst="rect">
          <a:avLst/>
        </a:prstGeom>
      </xdr:spPr>
    </xdr:pic>
    <xdr:clientData/>
  </xdr:twoCellAnchor>
  <xdr:twoCellAnchor editAs="oneCell">
    <xdr:from>
      <xdr:col>8</xdr:col>
      <xdr:colOff>146050</xdr:colOff>
      <xdr:row>57</xdr:row>
      <xdr:rowOff>57150</xdr:rowOff>
    </xdr:from>
    <xdr:to>
      <xdr:col>15</xdr:col>
      <xdr:colOff>164564</xdr:colOff>
      <xdr:row>66</xdr:row>
      <xdr:rowOff>66467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8DDD1D1-F05C-35F0-1476-4B339FD8D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022850" y="10553700"/>
          <a:ext cx="4285714" cy="16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25400</xdr:rowOff>
    </xdr:from>
    <xdr:to>
      <xdr:col>3</xdr:col>
      <xdr:colOff>12700</xdr:colOff>
      <xdr:row>71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2574D0F-25A4-4A26-B165-72CC9FF3F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1995150"/>
          <a:ext cx="1841500" cy="11176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</xdr:colOff>
      <xdr:row>65</xdr:row>
      <xdr:rowOff>25401</xdr:rowOff>
    </xdr:from>
    <xdr:to>
      <xdr:col>5</xdr:col>
      <xdr:colOff>368300</xdr:colOff>
      <xdr:row>72</xdr:row>
      <xdr:rowOff>21035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90094AED-7B9C-418B-B8DD-4B0057B1C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35150" y="11995151"/>
          <a:ext cx="1581150" cy="1284684"/>
        </a:xfrm>
        <a:prstGeom prst="rect">
          <a:avLst/>
        </a:prstGeom>
      </xdr:spPr>
    </xdr:pic>
    <xdr:clientData/>
  </xdr:twoCellAnchor>
  <xdr:twoCellAnchor editAs="oneCell">
    <xdr:from>
      <xdr:col>5</xdr:col>
      <xdr:colOff>393700</xdr:colOff>
      <xdr:row>65</xdr:row>
      <xdr:rowOff>95250</xdr:rowOff>
    </xdr:from>
    <xdr:to>
      <xdr:col>10</xdr:col>
      <xdr:colOff>175780</xdr:colOff>
      <xdr:row>71</xdr:row>
      <xdr:rowOff>165100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35C5AAF-62BC-46F3-A0F0-8F05E1146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41700" y="12065000"/>
          <a:ext cx="2830080" cy="1174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559299</xdr:colOff>
      <xdr:row>12</xdr:row>
      <xdr:rowOff>12814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BDE384-9DAE-C379-FD02-985529FE7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03299" cy="22226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165100</xdr:rowOff>
    </xdr:from>
    <xdr:to>
      <xdr:col>10</xdr:col>
      <xdr:colOff>521040</xdr:colOff>
      <xdr:row>33</xdr:row>
      <xdr:rowOff>31923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CD9CC5-6082-350E-2F9E-D47347DEF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743200"/>
          <a:ext cx="6617040" cy="336567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gcham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lor Code"/>
      <sheetName val="GNVR Calc"/>
      <sheetName val="GNVR Graph"/>
      <sheetName val="Mod GNVR Calc"/>
      <sheetName val="Mod GNVR Graph"/>
      <sheetName val="ECP Calc"/>
      <sheetName val="ECP Graph"/>
      <sheetName val="Double Hemisphere Calc"/>
      <sheetName val="Double Hemisphere Graph"/>
      <sheetName val="Result Table"/>
      <sheetName val="ISA Condi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7">
          <cell r="B27">
            <v>1.1591722418053665</v>
          </cell>
          <cell r="C27">
            <v>0.15991845621641385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5B34CB-F63D-4DC9-946B-03F38491E71C}" name="Table1" displayName="Table1" ref="A1:C13" totalsRowShown="0">
  <autoFilter ref="A1:C13" xr:uid="{1C5B34CB-F63D-4DC9-946B-03F38491E71C}"/>
  <tableColumns count="3">
    <tableColumn id="1" xr3:uid="{7CE9CF35-4305-4350-8406-021232385210}" name="INPUTS" dataDxfId="64"/>
    <tableColumn id="2" xr3:uid="{877B08DF-3A1C-4DBB-BC3B-F940F85DBB53}" name="Value" dataDxfId="63"/>
    <tableColumn id="3" xr3:uid="{3D363B82-AB1A-41E0-BC96-C31C6E05361D}" name="Units" dataDxfId="6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4D9C99-35EB-46FC-8341-E1742C48B833}" name="Table6" displayName="Table6" ref="F1:H9" totalsRowShown="0">
  <autoFilter ref="F1:H9" xr:uid="{E04D9C99-35EB-46FC-8341-E1742C48B833}"/>
  <tableColumns count="3">
    <tableColumn id="1" xr3:uid="{379984F2-C2FC-41A8-B343-C969128E45F4}" name="Designs Constants" dataDxfId="61"/>
    <tableColumn id="2" xr3:uid="{D1B5D5F6-AD37-40DF-A8C5-8CE054AF7332}" name="Value" dataDxfId="60"/>
    <tableColumn id="3" xr3:uid="{F4F8C47F-14C2-4DA9-9FC7-96A5A510B801}" name="Option or Units" dataDxfId="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C09CB2-C721-4334-9F70-5DCE319BCCF6}" name="Table7" displayName="Table7" ref="K1:M9" totalsRowShown="0">
  <autoFilter ref="K1:M9" xr:uid="{D3C09CB2-C721-4334-9F70-5DCE319BCCF6}"/>
  <tableColumns count="3">
    <tableColumn id="1" xr3:uid="{A76077CB-A538-42F4-8237-26F4F959E637}" name="LTA system mass broken down" dataDxfId="58"/>
    <tableColumn id="2" xr3:uid="{16AD23F9-43FE-40B0-9160-4348246F6F7C}" name="Value" dataDxfId="57"/>
    <tableColumn id="3" xr3:uid="{2F61DF86-7273-4D4B-A8AD-118C412BD804}" name="Unit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280E6FA-977E-4275-8929-2EF01967C9CE}" name="Table16" displayName="Table16" ref="K14:M20" totalsRowShown="0">
  <autoFilter ref="K14:M20" xr:uid="{B280E6FA-977E-4275-8929-2EF01967C9CE}"/>
  <tableColumns count="3">
    <tableColumn id="1" xr3:uid="{107E8BCE-59CB-42B6-9478-E3B3A12E747E}" name="LTA System mass before Payload" dataDxfId="56"/>
    <tableColumn id="2" xr3:uid="{A66C3869-E3DB-4DE0-A04D-4F0DF8DE7F8A}" name="Value" dataDxfId="0"/>
    <tableColumn id="3" xr3:uid="{60B2AA9C-6CFC-4207-879C-4761D2244876}" name="Units" dataDxfId="5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AA13466-718D-49B8-AFEE-8A2C34D1407A}" name="Table13" displayName="Table13" ref="A1:C5" totalsRowShown="0" headerRowDxfId="54" dataDxfId="53">
  <autoFilter ref="A1:C5" xr:uid="{FAA13466-718D-49B8-AFEE-8A2C34D1407A}"/>
  <tableColumns count="3">
    <tableColumn id="1" xr3:uid="{324AF841-B4AE-4EF9-9682-055EC6C1244C}" name="GNVR" dataDxfId="52"/>
    <tableColumn id="2" xr3:uid="{31D9721C-09FF-4655-B59F-ED348724D9FA}" name="Values" dataDxfId="51"/>
    <tableColumn id="3" xr3:uid="{C9352A8C-B125-48E5-B23E-F133832C1200}" name="Units" dataDxfId="5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869480-EC30-4138-A421-F87F2412ED8E}" name="Table134" displayName="Table134" ref="A9:C13" totalsRowShown="0" headerRowDxfId="49" dataDxfId="48">
  <autoFilter ref="A9:C13" xr:uid="{08869480-EC30-4138-A421-F87F2412ED8E}"/>
  <tableColumns count="3">
    <tableColumn id="1" xr3:uid="{2D2938BD-65C8-427C-87D0-50830A901D19}" name="GNVR" dataDxfId="47"/>
    <tableColumn id="2" xr3:uid="{26007FEE-29C1-40A7-ABBD-97D54B6D8A5B}" name="Values" dataDxfId="46"/>
    <tableColumn id="3" xr3:uid="{D017E51B-D8B8-4885-A659-9C49CFCF9056}" name="Units" dataDxfId="4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EBAD63F-5712-4327-895A-FF44DFF00D71}" name="Table11" displayName="Table11" ref="A1:C7" totalsRowShown="0" headerRowDxfId="44" dataDxfId="43">
  <autoFilter ref="A1:C7" xr:uid="{5EBAD63F-5712-4327-895A-FF44DFF00D71}"/>
  <tableColumns count="3">
    <tableColumn id="1" xr3:uid="{5DB79FA4-235E-42DA-8019-344913B91B38}" name="Oblate Spheroid" dataDxfId="42"/>
    <tableColumn id="2" xr3:uid="{78A3C11E-AB7F-4E72-B607-D9968559B419}" name="Values" dataDxfId="41"/>
    <tableColumn id="3" xr3:uid="{F084C4D7-E8C0-45A4-93BB-BC5735E30859}" name="Units" dataDxfId="4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DE07974-054C-4975-858A-6F9E24E1866B}" name="Table12" displayName="Table12" ref="H7:I10" totalsRowShown="0" headerRowDxfId="39" dataDxfId="38">
  <autoFilter ref="H7:I10" xr:uid="{EDE07974-054C-4975-858A-6F9E24E1866B}"/>
  <tableColumns count="2">
    <tableColumn id="1" xr3:uid="{4E64C254-1896-4CE5-B06C-524938DB46C9}" name="Variables" dataDxfId="37"/>
    <tableColumn id="2" xr3:uid="{6D1A23E0-119B-4CB3-8AC8-ED89726A5915}" name="Meaning" dataDxfId="36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230DB9-3903-4F6F-83C1-7CD291BD8A98}" name="Table115" displayName="Table115" ref="A10:C16" totalsRowShown="0" headerRowDxfId="35" dataDxfId="34">
  <autoFilter ref="A10:C16" xr:uid="{01230DB9-3903-4F6F-83C1-7CD291BD8A98}"/>
  <tableColumns count="3">
    <tableColumn id="1" xr3:uid="{572ACCB6-FCAB-4AAB-93A4-3A295FFF33CF}" name="Oblate Spheroid" dataDxfId="33"/>
    <tableColumn id="2" xr3:uid="{789093DD-F32D-46B1-A852-6BF2DC658ACF}" name="Values" dataDxfId="32"/>
    <tableColumn id="3" xr3:uid="{327769DC-91B5-4E57-BC02-1C18C7B2D01E}" name="Units" dataDxfId="31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657CC57-F193-4506-9BE9-D41C49074414}" name="Table8" displayName="Table8" ref="A1:C12" totalsRowShown="0" headerRowDxfId="30" dataDxfId="29">
  <autoFilter ref="A1:C12" xr:uid="{5657CC57-F193-4506-9BE9-D41C49074414}"/>
  <tableColumns count="3">
    <tableColumn id="1" xr3:uid="{95A9A9EB-0683-4B3D-8490-999487187915}" name="Variable" dataDxfId="28"/>
    <tableColumn id="2" xr3:uid="{428A539E-B66D-40E3-9E1B-55CF53FCC8B8}" name="Value" dataDxfId="27"/>
    <tableColumn id="3" xr3:uid="{4D9911EB-1A96-42DB-9F1B-F7F2066C823B}" name="Units" dataDxfId="2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0C8C049-FE51-4FA2-A57A-DDE1109FB2D0}" name="Table9" displayName="Table9" ref="E1:G5" totalsRowShown="0" headerRowDxfId="25" dataDxfId="24">
  <autoFilter ref="E1:G5" xr:uid="{E0C8C049-FE51-4FA2-A57A-DDE1109FB2D0}"/>
  <tableColumns count="3">
    <tableColumn id="1" xr3:uid="{88E74302-9374-44C9-A04B-566178387AF5}" name="Universal Constants" dataDxfId="23"/>
    <tableColumn id="2" xr3:uid="{65AACCED-AFB7-4CC1-AE9B-00984D0A9938}" name="value" dataDxfId="22"/>
    <tableColumn id="3" xr3:uid="{5A39C639-A854-4061-8318-931D0A73DA51}" name="Units" dataDxfId="2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02CA9E-89B3-45E4-814D-AFFE308812D6}" name="Table10" displayName="Table10" ref="E15:G23" totalsRowShown="0" headerRowDxfId="20" dataDxfId="19">
  <autoFilter ref="E15:G23" xr:uid="{9F02CA9E-89B3-45E4-814D-AFFE308812D6}"/>
  <tableColumns count="3">
    <tableColumn id="1" xr3:uid="{F3E52B49-F395-472E-8C89-EFC172ECDF8C}" name="OUTPUT" dataDxfId="18"/>
    <tableColumn id="2" xr3:uid="{826A5684-2D9C-4FA6-8175-9B5B8EB68E1B}" name="Values" dataDxfId="17"/>
    <tableColumn id="3" xr3:uid="{5011F8A4-957E-4759-9551-800E85009D6B}" name="Units" dataDxfId="16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12E59E-8A39-41F0-8ADC-2CAD277C191C}" name="Table86" displayName="Table86" ref="A1:C12" totalsRowShown="0" headerRowDxfId="15" dataDxfId="14">
  <autoFilter ref="A1:C12" xr:uid="{5657CC57-F193-4506-9BE9-D41C49074414}"/>
  <tableColumns count="3">
    <tableColumn id="1" xr3:uid="{81AD6026-3569-4749-A38E-CA469DFE820C}" name="Variable" dataDxfId="13"/>
    <tableColumn id="2" xr3:uid="{EF28054F-F2E6-4ECC-B12C-334F060C4C23}" name="Value" dataDxfId="12"/>
    <tableColumn id="3" xr3:uid="{71274A35-63EF-4A94-AEB4-8BF5F6E26B96}" name="Units" dataDxfId="11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85C3F5-0795-4EC0-ADA1-C4B4A6C78D8C}" name="Table915" displayName="Table915" ref="E1:G5" totalsRowShown="0" headerRowDxfId="10" dataDxfId="9">
  <autoFilter ref="E1:G5" xr:uid="{E0C8C049-FE51-4FA2-A57A-DDE1109FB2D0}"/>
  <tableColumns count="3">
    <tableColumn id="1" xr3:uid="{0BF09C8A-8374-43F3-8FAF-BE126717C0CC}" name="Universal Constants" dataDxfId="8"/>
    <tableColumn id="2" xr3:uid="{A05AD1CA-8A1D-4FD9-8975-BEF3C6D47960}" name="value" dataDxfId="7"/>
    <tableColumn id="3" xr3:uid="{02011733-AD23-493C-B609-CE11219CB8B3}" name="Units" dataDxfId="6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3933C24-D201-4F3B-8FD9-502C1DC67FEA}" name="Table1016" displayName="Table1016" ref="E11:G23" totalsRowShown="0" headerRowDxfId="5" dataDxfId="4">
  <autoFilter ref="E11:G23" xr:uid="{9F02CA9E-89B3-45E4-814D-AFFE308812D6}"/>
  <tableColumns count="3">
    <tableColumn id="1" xr3:uid="{7C169D9B-1B09-4401-93A0-772A1D0DF056}" name="OUTPUT" dataDxfId="3"/>
    <tableColumn id="2" xr3:uid="{830A3ABF-9F6E-4FAA-8BF1-18B5912B2AF8}" name="Values" dataDxfId="2"/>
    <tableColumn id="3" xr3:uid="{F2C6AA09-9CB5-42FF-AEF5-C991E0711C55}" name="Units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Relationship Id="rId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D2017-131E-4CA2-A057-1ABF90D0C350}">
  <sheetPr codeName="Sheet1"/>
  <dimension ref="A1:U42"/>
  <sheetViews>
    <sheetView workbookViewId="0">
      <selection activeCell="B3" sqref="B3"/>
    </sheetView>
  </sheetViews>
  <sheetFormatPr defaultRowHeight="14.5" x14ac:dyDescent="0.35"/>
  <cols>
    <col min="1" max="1" width="40.453125" customWidth="1"/>
    <col min="2" max="2" width="8.7265625" customWidth="1"/>
    <col min="3" max="3" width="16.453125" customWidth="1"/>
    <col min="6" max="6" width="21" customWidth="1"/>
    <col min="7" max="7" width="13.7265625" customWidth="1"/>
    <col min="8" max="8" width="20.90625" customWidth="1"/>
    <col min="11" max="11" width="29.90625" customWidth="1"/>
    <col min="12" max="12" width="8.7265625" customWidth="1"/>
  </cols>
  <sheetData>
    <row r="1" spans="1:21" x14ac:dyDescent="0.35">
      <c r="A1" t="s">
        <v>8</v>
      </c>
      <c r="B1" t="s">
        <v>71</v>
      </c>
      <c r="C1" t="s">
        <v>72</v>
      </c>
      <c r="F1" t="s">
        <v>9</v>
      </c>
      <c r="G1" t="s">
        <v>71</v>
      </c>
      <c r="H1" t="s">
        <v>78</v>
      </c>
      <c r="K1" t="s">
        <v>66</v>
      </c>
      <c r="L1" t="s">
        <v>71</v>
      </c>
      <c r="M1" t="s">
        <v>72</v>
      </c>
      <c r="S1" s="3" t="s">
        <v>56</v>
      </c>
      <c r="T1" s="3" t="s">
        <v>87</v>
      </c>
      <c r="U1" s="4" t="s">
        <v>56</v>
      </c>
    </row>
    <row r="2" spans="1:21" x14ac:dyDescent="0.35">
      <c r="A2" s="6" t="s">
        <v>0</v>
      </c>
      <c r="B2" s="7">
        <v>40</v>
      </c>
      <c r="C2" s="8" t="s">
        <v>26</v>
      </c>
      <c r="F2" s="6" t="s">
        <v>10</v>
      </c>
      <c r="G2" s="7" t="s">
        <v>56</v>
      </c>
      <c r="H2" s="8" t="s">
        <v>24</v>
      </c>
      <c r="K2" s="6" t="s">
        <v>67</v>
      </c>
      <c r="L2" s="7">
        <f>B3*('Required Payload to Volume'!F17/1000)*G5</f>
        <v>28.08355278921908</v>
      </c>
      <c r="M2" s="8" t="s">
        <v>77</v>
      </c>
      <c r="S2" s="4" t="s">
        <v>48</v>
      </c>
      <c r="T2" s="3" t="s">
        <v>48</v>
      </c>
      <c r="U2" s="3" t="s">
        <v>57</v>
      </c>
    </row>
    <row r="3" spans="1:21" x14ac:dyDescent="0.35">
      <c r="A3" s="6" t="s">
        <v>20</v>
      </c>
      <c r="B3" s="7">
        <v>164</v>
      </c>
      <c r="C3" s="8" t="s">
        <v>25</v>
      </c>
      <c r="F3" s="6" t="s">
        <v>11</v>
      </c>
      <c r="G3" s="7" t="s">
        <v>48</v>
      </c>
      <c r="H3" s="8" t="s">
        <v>47</v>
      </c>
      <c r="K3" s="6" t="s">
        <v>0</v>
      </c>
      <c r="L3" s="7">
        <f>B2</f>
        <v>40</v>
      </c>
      <c r="M3" s="8" t="s">
        <v>77</v>
      </c>
    </row>
    <row r="4" spans="1:21" x14ac:dyDescent="0.35">
      <c r="A4" s="6" t="s">
        <v>19</v>
      </c>
      <c r="B4" s="7">
        <v>80</v>
      </c>
      <c r="C4" s="8" t="s">
        <v>27</v>
      </c>
      <c r="F4" s="6" t="s">
        <v>12</v>
      </c>
      <c r="G4" s="9">
        <v>10</v>
      </c>
      <c r="H4" s="8" t="s">
        <v>27</v>
      </c>
      <c r="K4" s="6" t="s">
        <v>68</v>
      </c>
      <c r="L4" s="7">
        <f>B8</f>
        <v>5.1864469546258967</v>
      </c>
      <c r="M4" s="8" t="s">
        <v>77</v>
      </c>
      <c r="P4" s="40">
        <f>(SUM(L15:L18)+'Volume To Payload'!F21)*(G4/100)</f>
        <v>5.9777114464985068</v>
      </c>
    </row>
    <row r="5" spans="1:21" x14ac:dyDescent="0.35">
      <c r="A5" s="6" t="s">
        <v>1</v>
      </c>
      <c r="B5" s="7">
        <v>99</v>
      </c>
      <c r="C5" s="8" t="s">
        <v>27</v>
      </c>
      <c r="F5" s="6" t="s">
        <v>13</v>
      </c>
      <c r="G5" s="7">
        <v>1.1499999999999999</v>
      </c>
      <c r="H5" s="8"/>
      <c r="K5" s="6" t="s">
        <v>69</v>
      </c>
      <c r="L5" s="7">
        <f>(B6*B9*G6)+B20</f>
        <v>20.650948822705505</v>
      </c>
      <c r="M5" s="8" t="s">
        <v>77</v>
      </c>
    </row>
    <row r="6" spans="1:21" x14ac:dyDescent="0.35">
      <c r="A6" s="6" t="s">
        <v>2</v>
      </c>
      <c r="B6" s="7">
        <v>150</v>
      </c>
      <c r="C6" s="8" t="s">
        <v>28</v>
      </c>
      <c r="F6" s="6" t="s">
        <v>14</v>
      </c>
      <c r="G6" s="7">
        <v>1.1499999999999999</v>
      </c>
      <c r="H6" s="8"/>
      <c r="K6" s="6" t="s">
        <v>6</v>
      </c>
      <c r="L6" s="7">
        <f>B11</f>
        <v>1</v>
      </c>
      <c r="M6" s="8" t="s">
        <v>77</v>
      </c>
    </row>
    <row r="7" spans="1:21" x14ac:dyDescent="0.35">
      <c r="A7" s="6" t="s">
        <v>3</v>
      </c>
      <c r="B7" s="7">
        <v>1000</v>
      </c>
      <c r="C7" s="8" t="s">
        <v>28</v>
      </c>
      <c r="F7" s="6" t="s">
        <v>15</v>
      </c>
      <c r="G7" s="7">
        <v>0.4</v>
      </c>
      <c r="H7" s="8" t="s">
        <v>118</v>
      </c>
      <c r="K7" s="6" t="s">
        <v>12</v>
      </c>
      <c r="L7" s="39">
        <f>(SUM(L2:L6))*(G4/100)</f>
        <v>9.4920948566550489</v>
      </c>
      <c r="M7" s="8" t="s">
        <v>77</v>
      </c>
    </row>
    <row r="8" spans="1:21" x14ac:dyDescent="0.35">
      <c r="A8" s="6" t="s">
        <v>4</v>
      </c>
      <c r="B8" s="7">
        <f>IF(EXACT(G2,"GN"), G7*'Required Payload to Volume'!F19, G7*'Required Payload to Volume'!F18)</f>
        <v>5.1864469546258967</v>
      </c>
      <c r="C8" s="8" t="s">
        <v>26</v>
      </c>
      <c r="F8" s="6" t="s">
        <v>35</v>
      </c>
      <c r="G8" s="7">
        <v>500</v>
      </c>
      <c r="H8" s="8" t="s">
        <v>36</v>
      </c>
      <c r="K8" s="6" t="s">
        <v>70</v>
      </c>
      <c r="L8" s="7">
        <f>SUM(L2:L7)</f>
        <v>104.41304342320552</v>
      </c>
      <c r="M8" s="8" t="s">
        <v>77</v>
      </c>
    </row>
    <row r="9" spans="1:21" x14ac:dyDescent="0.35">
      <c r="A9" s="6" t="s">
        <v>40</v>
      </c>
      <c r="B9" s="7">
        <v>0.1</v>
      </c>
      <c r="C9" s="8" t="s">
        <v>49</v>
      </c>
      <c r="F9" s="6" t="s">
        <v>37</v>
      </c>
      <c r="G9" s="7">
        <v>15</v>
      </c>
      <c r="H9" s="8" t="s">
        <v>36</v>
      </c>
      <c r="K9" s="6" t="s">
        <v>76</v>
      </c>
      <c r="L9" s="7">
        <f>L8*9.8</f>
        <v>1023.2478255474142</v>
      </c>
      <c r="M9" s="8" t="s">
        <v>73</v>
      </c>
    </row>
    <row r="10" spans="1:21" x14ac:dyDescent="0.35">
      <c r="A10" s="6" t="s">
        <v>5</v>
      </c>
      <c r="B10" s="7">
        <v>7</v>
      </c>
      <c r="C10" s="8" t="s">
        <v>29</v>
      </c>
      <c r="K10" s="41" t="s">
        <v>125</v>
      </c>
      <c r="L10" s="41"/>
      <c r="M10" s="41"/>
    </row>
    <row r="11" spans="1:21" x14ac:dyDescent="0.35">
      <c r="A11" s="6" t="s">
        <v>6</v>
      </c>
      <c r="B11" s="7">
        <v>1</v>
      </c>
      <c r="C11" s="8" t="s">
        <v>26</v>
      </c>
    </row>
    <row r="12" spans="1:21" x14ac:dyDescent="0.35">
      <c r="A12" s="6" t="s">
        <v>7</v>
      </c>
      <c r="B12" s="7">
        <v>3</v>
      </c>
      <c r="C12" s="8" t="s">
        <v>30</v>
      </c>
    </row>
    <row r="13" spans="1:21" x14ac:dyDescent="0.35">
      <c r="A13" s="6" t="s">
        <v>16</v>
      </c>
      <c r="B13" s="7">
        <v>70</v>
      </c>
      <c r="C13" s="8" t="s">
        <v>54</v>
      </c>
    </row>
    <row r="14" spans="1:21" x14ac:dyDescent="0.35">
      <c r="K14" t="s">
        <v>126</v>
      </c>
      <c r="L14" t="s">
        <v>71</v>
      </c>
      <c r="M14" t="s">
        <v>72</v>
      </c>
    </row>
    <row r="15" spans="1:21" x14ac:dyDescent="0.35">
      <c r="K15" s="6" t="s">
        <v>67</v>
      </c>
      <c r="L15" s="7">
        <f>(B3*'Volume To Payload'!F13)/1000</f>
        <v>17.210184844272302</v>
      </c>
      <c r="M15" s="8" t="s">
        <v>77</v>
      </c>
    </row>
    <row r="16" spans="1:21" x14ac:dyDescent="0.35">
      <c r="K16" s="6" t="s">
        <v>68</v>
      </c>
      <c r="L16" s="7">
        <f>G7*(IF(EXACT(G2,"GN"),'Volume To Payload'!F15,'Volume To Payload'!F14))</f>
        <v>4.3539717185720095</v>
      </c>
      <c r="M16" s="8" t="s">
        <v>77</v>
      </c>
    </row>
    <row r="17" spans="1:13" x14ac:dyDescent="0.35">
      <c r="D17" s="3" t="s">
        <v>73</v>
      </c>
      <c r="K17" s="6" t="s">
        <v>127</v>
      </c>
      <c r="L17" s="7">
        <f>(B6+(8*'Inputs and design constants'!F18))*'Inputs and design constants'!G6*'Inputs and design constants'!B9</f>
        <v>17.25</v>
      </c>
      <c r="M17" s="8" t="s">
        <v>77</v>
      </c>
    </row>
    <row r="18" spans="1:13" x14ac:dyDescent="0.35">
      <c r="K18" s="6" t="s">
        <v>6</v>
      </c>
      <c r="L18" s="7">
        <f>B11</f>
        <v>1</v>
      </c>
      <c r="M18" s="8" t="s">
        <v>77</v>
      </c>
    </row>
    <row r="19" spans="1:13" x14ac:dyDescent="0.35">
      <c r="K19" s="6" t="s">
        <v>128</v>
      </c>
      <c r="L19" s="7">
        <f>SUM(L15:L18)</f>
        <v>39.81415656284431</v>
      </c>
      <c r="M19" s="8" t="s">
        <v>77</v>
      </c>
    </row>
    <row r="20" spans="1:13" x14ac:dyDescent="0.35">
      <c r="A20" s="3" t="s">
        <v>65</v>
      </c>
      <c r="B20" s="3">
        <f>8*'Required Payload to Volume'!F18*'Inputs and design constants'!B9</f>
        <v>3.400948822705506</v>
      </c>
      <c r="K20" s="6" t="s">
        <v>129</v>
      </c>
      <c r="L20" s="7">
        <f>L19*9.8</f>
        <v>390.17873431587429</v>
      </c>
      <c r="M20" s="8" t="s">
        <v>73</v>
      </c>
    </row>
    <row r="21" spans="1:13" x14ac:dyDescent="0.35">
      <c r="K21" s="41" t="s">
        <v>134</v>
      </c>
      <c r="L21" s="41"/>
      <c r="M21" s="41"/>
    </row>
    <row r="42" spans="6:8" x14ac:dyDescent="0.35">
      <c r="F42" s="45"/>
      <c r="G42" s="46"/>
      <c r="H42" s="47"/>
    </row>
  </sheetData>
  <mergeCells count="2">
    <mergeCell ref="K10:M10"/>
    <mergeCell ref="K21:M21"/>
  </mergeCells>
  <dataValidations disablePrompts="1" count="2">
    <dataValidation type="list" allowBlank="1" showInputMessage="1" showErrorMessage="1" promptTitle="Lifting Gas" prompt="H : Hydrogen_x000a_He : Helium" sqref="G3" xr:uid="{C82C7D39-331F-416C-A22E-672C67E8B055}">
      <formula1>$T$1:$T$2</formula1>
    </dataValidation>
    <dataValidation type="list" allowBlank="1" showInputMessage="1" showErrorMessage="1" sqref="G2" xr:uid="{9A9CBD8F-9BC5-406A-8EFA-58D66AEBAB07}">
      <formula1>$U$1:$U$2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D0E77-9A83-4A2D-94CB-AA5891C16741}">
  <sheetPr codeName="Sheet4"/>
  <dimension ref="A1:H15"/>
  <sheetViews>
    <sheetView workbookViewId="0">
      <selection activeCell="B13" sqref="B13"/>
    </sheetView>
  </sheetViews>
  <sheetFormatPr defaultRowHeight="14.5" x14ac:dyDescent="0.35"/>
  <cols>
    <col min="1" max="1" width="32.6328125" customWidth="1"/>
    <col min="2" max="2" width="17.453125" customWidth="1"/>
    <col min="3" max="3" width="13.08984375" customWidth="1"/>
    <col min="5" max="5" width="8.7265625" customWidth="1"/>
    <col min="6" max="6" width="11" customWidth="1"/>
  </cols>
  <sheetData>
    <row r="1" spans="1:8" ht="36" x14ac:dyDescent="0.8">
      <c r="A1" s="14" t="s">
        <v>74</v>
      </c>
      <c r="B1" s="14" t="s">
        <v>75</v>
      </c>
      <c r="C1" s="14" t="s">
        <v>72</v>
      </c>
      <c r="E1" s="32"/>
      <c r="F1" s="32"/>
      <c r="G1" s="32"/>
      <c r="H1" s="32"/>
    </row>
    <row r="2" spans="1:8" ht="36" x14ac:dyDescent="0.8">
      <c r="A2" s="15" t="s">
        <v>58</v>
      </c>
      <c r="B2" s="16">
        <f>'Required Payload to Volume'!F16</f>
        <v>118.31806270833627</v>
      </c>
      <c r="C2" s="17" t="s">
        <v>54</v>
      </c>
    </row>
    <row r="3" spans="1:8" ht="36" x14ac:dyDescent="0.8">
      <c r="A3" s="15" t="s">
        <v>18</v>
      </c>
      <c r="B3" s="16">
        <f>8.096*((B2/1.5)^(2/3))</f>
        <v>148.90537003827723</v>
      </c>
      <c r="C3" s="17" t="s">
        <v>53</v>
      </c>
    </row>
    <row r="4" spans="1:8" ht="36" x14ac:dyDescent="0.8">
      <c r="A4" s="15" t="s">
        <v>92</v>
      </c>
      <c r="B4" s="16">
        <f>((B2/1.54)^(1/3))</f>
        <v>4.2511860283818823</v>
      </c>
      <c r="C4" s="17" t="s">
        <v>28</v>
      </c>
    </row>
    <row r="5" spans="1:8" ht="36" x14ac:dyDescent="0.8">
      <c r="A5" s="15" t="s">
        <v>17</v>
      </c>
      <c r="B5" s="16">
        <f>3.05*B4</f>
        <v>12.96611738656474</v>
      </c>
      <c r="C5" s="17" t="s">
        <v>28</v>
      </c>
    </row>
    <row r="7" spans="1:8" x14ac:dyDescent="0.35">
      <c r="A7" s="41" t="s">
        <v>120</v>
      </c>
      <c r="B7" s="41"/>
      <c r="C7" s="41"/>
    </row>
    <row r="9" spans="1:8" ht="36" x14ac:dyDescent="0.8">
      <c r="A9" s="14" t="s">
        <v>74</v>
      </c>
      <c r="B9" s="14" t="s">
        <v>75</v>
      </c>
      <c r="C9" s="14" t="s">
        <v>72</v>
      </c>
    </row>
    <row r="10" spans="1:8" ht="36" x14ac:dyDescent="0.8">
      <c r="A10" s="15" t="s">
        <v>58</v>
      </c>
      <c r="B10" s="16">
        <f>'Inputs and design constants'!B13</f>
        <v>70</v>
      </c>
      <c r="C10" s="17" t="s">
        <v>54</v>
      </c>
    </row>
    <row r="11" spans="1:8" ht="36" x14ac:dyDescent="0.8">
      <c r="A11" s="15" t="s">
        <v>18</v>
      </c>
      <c r="B11" s="16">
        <f>8.096*((B10/1.5)^(2/3))</f>
        <v>104.94015148946526</v>
      </c>
      <c r="C11" s="17" t="s">
        <v>53</v>
      </c>
    </row>
    <row r="12" spans="1:8" ht="36" x14ac:dyDescent="0.8">
      <c r="A12" s="15" t="s">
        <v>92</v>
      </c>
      <c r="B12" s="16">
        <f>((B10/1.54)^(1/3))</f>
        <v>3.5688292775180406</v>
      </c>
      <c r="C12" s="17" t="s">
        <v>28</v>
      </c>
    </row>
    <row r="13" spans="1:8" ht="36" x14ac:dyDescent="0.8">
      <c r="A13" s="15" t="s">
        <v>17</v>
      </c>
      <c r="B13" s="16">
        <f>3.05*B12</f>
        <v>10.884929296430023</v>
      </c>
      <c r="C13" s="17" t="s">
        <v>28</v>
      </c>
    </row>
    <row r="15" spans="1:8" x14ac:dyDescent="0.35">
      <c r="A15" s="41" t="s">
        <v>121</v>
      </c>
      <c r="B15" s="41"/>
      <c r="C15" s="41"/>
    </row>
  </sheetData>
  <mergeCells count="2">
    <mergeCell ref="A7:C7"/>
    <mergeCell ref="A15:C15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A8636-A078-4641-968B-17C48246CB61}">
  <sheetPr codeName="Sheet5"/>
  <dimension ref="A1:I17"/>
  <sheetViews>
    <sheetView topLeftCell="A4" workbookViewId="0">
      <selection activeCell="F11" sqref="F11"/>
    </sheetView>
  </sheetViews>
  <sheetFormatPr defaultRowHeight="14.5" x14ac:dyDescent="0.35"/>
  <cols>
    <col min="1" max="1" width="41.54296875" customWidth="1"/>
    <col min="2" max="2" width="37" customWidth="1"/>
    <col min="3" max="3" width="11.26953125" customWidth="1"/>
    <col min="4" max="4" width="9.6328125" customWidth="1"/>
    <col min="5" max="5" width="22.6328125" customWidth="1"/>
    <col min="6" max="6" width="10.453125" bestFit="1" customWidth="1"/>
    <col min="8" max="8" width="24.90625" customWidth="1"/>
    <col min="9" max="9" width="36" customWidth="1"/>
  </cols>
  <sheetData>
    <row r="1" spans="1:9" ht="36" x14ac:dyDescent="0.8">
      <c r="A1" s="14" t="s">
        <v>100</v>
      </c>
      <c r="B1" s="14" t="s">
        <v>75</v>
      </c>
      <c r="C1" s="14" t="s">
        <v>72</v>
      </c>
      <c r="D1" s="14"/>
      <c r="E1" s="16" t="s">
        <v>103</v>
      </c>
      <c r="F1" s="18">
        <f>2*B4</f>
        <v>7.124003707536958</v>
      </c>
    </row>
    <row r="2" spans="1:9" ht="36" x14ac:dyDescent="0.8">
      <c r="A2" s="15" t="s">
        <v>58</v>
      </c>
      <c r="B2" s="19">
        <f>'Required Payload to Volume'!F16</f>
        <v>118.31806270833627</v>
      </c>
      <c r="C2" s="17" t="s">
        <v>54</v>
      </c>
      <c r="D2" s="14"/>
      <c r="E2" s="16" t="s">
        <v>104</v>
      </c>
      <c r="F2" s="18">
        <f>2*B5</f>
        <v>4.4525023172105982</v>
      </c>
    </row>
    <row r="3" spans="1:9" ht="36" x14ac:dyDescent="0.8">
      <c r="A3" s="15" t="s">
        <v>59</v>
      </c>
      <c r="B3" s="19">
        <v>1.6</v>
      </c>
      <c r="C3" s="17" t="s">
        <v>95</v>
      </c>
      <c r="D3" s="14"/>
      <c r="E3" s="14"/>
      <c r="F3" s="14"/>
    </row>
    <row r="4" spans="1:9" ht="36" x14ac:dyDescent="0.8">
      <c r="A4" s="15" t="s">
        <v>60</v>
      </c>
      <c r="B4" s="19">
        <f>((3*B3*B2)/(4*PI()))^(1/3)</f>
        <v>3.562001853768479</v>
      </c>
      <c r="C4" s="17" t="s">
        <v>96</v>
      </c>
      <c r="D4" s="14"/>
      <c r="E4" s="14"/>
      <c r="F4" s="14"/>
    </row>
    <row r="5" spans="1:9" ht="36" x14ac:dyDescent="0.8">
      <c r="A5" s="15" t="s">
        <v>61</v>
      </c>
      <c r="B5" s="19">
        <f xml:space="preserve"> B4/B3</f>
        <v>2.2262511586052991</v>
      </c>
      <c r="C5" s="17" t="s">
        <v>96</v>
      </c>
      <c r="D5" s="14"/>
      <c r="E5" s="14"/>
      <c r="F5" s="14"/>
    </row>
    <row r="6" spans="1:9" ht="36" x14ac:dyDescent="0.8">
      <c r="A6" s="15" t="s">
        <v>52</v>
      </c>
      <c r="B6" s="19">
        <f>SQRT((1-((B5/B4)^2)))</f>
        <v>0.7806247497997999</v>
      </c>
      <c r="C6" s="17"/>
      <c r="D6" s="14"/>
      <c r="E6" s="14"/>
      <c r="F6" s="14"/>
    </row>
    <row r="7" spans="1:9" ht="36" x14ac:dyDescent="0.8">
      <c r="A7" s="15" t="s">
        <v>18</v>
      </c>
      <c r="B7" s="19">
        <f>2*PI()*(B4^2)+(PI()*((B5^2)/B6)*LN((1+B6)/(1-B6)))</f>
        <v>121.48580766428788</v>
      </c>
      <c r="C7" s="17" t="s">
        <v>53</v>
      </c>
      <c r="D7" s="14"/>
      <c r="E7" s="14"/>
      <c r="F7" s="14"/>
      <c r="H7" s="14" t="s">
        <v>101</v>
      </c>
      <c r="I7" s="14" t="s">
        <v>102</v>
      </c>
    </row>
    <row r="8" spans="1:9" ht="36" x14ac:dyDescent="0.8">
      <c r="A8" s="42" t="s">
        <v>122</v>
      </c>
      <c r="B8" s="42"/>
      <c r="C8" s="42"/>
      <c r="D8" s="14"/>
      <c r="E8" s="14"/>
      <c r="F8" s="14"/>
      <c r="H8" s="16" t="s">
        <v>51</v>
      </c>
      <c r="I8" s="16" t="s">
        <v>98</v>
      </c>
    </row>
    <row r="9" spans="1:9" ht="36" x14ac:dyDescent="0.8">
      <c r="C9" s="14"/>
      <c r="D9" s="14"/>
      <c r="E9" s="14"/>
      <c r="F9" s="14"/>
      <c r="G9" s="5"/>
      <c r="H9" s="16" t="s">
        <v>38</v>
      </c>
      <c r="I9" s="16" t="s">
        <v>99</v>
      </c>
    </row>
    <row r="10" spans="1:9" ht="36" x14ac:dyDescent="0.8">
      <c r="A10" s="14" t="s">
        <v>100</v>
      </c>
      <c r="B10" s="14" t="s">
        <v>75</v>
      </c>
      <c r="C10" s="14" t="s">
        <v>72</v>
      </c>
      <c r="E10" s="16" t="s">
        <v>103</v>
      </c>
      <c r="F10" s="18">
        <f>2*B13</f>
        <v>5.9805317468739805</v>
      </c>
      <c r="H10" s="16" t="s">
        <v>52</v>
      </c>
      <c r="I10" s="16" t="s">
        <v>97</v>
      </c>
    </row>
    <row r="11" spans="1:9" ht="36" x14ac:dyDescent="0.8">
      <c r="A11" s="15" t="s">
        <v>58</v>
      </c>
      <c r="B11" s="19">
        <f>'Inputs and design constants'!B13</f>
        <v>70</v>
      </c>
      <c r="C11" s="17" t="s">
        <v>54</v>
      </c>
      <c r="E11" s="16" t="s">
        <v>104</v>
      </c>
      <c r="F11" s="18">
        <f>2*B14</f>
        <v>3.7378323417962376</v>
      </c>
    </row>
    <row r="12" spans="1:9" ht="36" x14ac:dyDescent="0.8">
      <c r="A12" s="15" t="s">
        <v>59</v>
      </c>
      <c r="B12" s="19">
        <v>1.6</v>
      </c>
      <c r="C12" s="17" t="s">
        <v>95</v>
      </c>
      <c r="E12" s="14"/>
      <c r="F12" s="14"/>
    </row>
    <row r="13" spans="1:9" ht="36" x14ac:dyDescent="0.8">
      <c r="A13" s="15" t="s">
        <v>60</v>
      </c>
      <c r="B13" s="19">
        <f>((3*B12*B11)/(4*PI()))^(1/3)</f>
        <v>2.9902658734369902</v>
      </c>
      <c r="C13" s="17" t="s">
        <v>96</v>
      </c>
    </row>
    <row r="14" spans="1:9" ht="36" x14ac:dyDescent="0.8">
      <c r="A14" s="15" t="s">
        <v>61</v>
      </c>
      <c r="B14" s="19">
        <f xml:space="preserve"> B13/B12</f>
        <v>1.8689161708981188</v>
      </c>
      <c r="C14" s="17" t="s">
        <v>96</v>
      </c>
    </row>
    <row r="15" spans="1:9" ht="36" x14ac:dyDescent="0.8">
      <c r="A15" s="15" t="s">
        <v>52</v>
      </c>
      <c r="B15" s="19">
        <f>SQRT((1-((B14/B13)^2)))</f>
        <v>0.78062474979979979</v>
      </c>
      <c r="C15" s="17"/>
    </row>
    <row r="16" spans="1:9" ht="36" x14ac:dyDescent="0.8">
      <c r="A16" s="15" t="s">
        <v>18</v>
      </c>
      <c r="B16" s="19">
        <f>2*PI()*(B13^2)+(PI()*((B14^2)/B15)*LN((1+B15)/(1-B15)))</f>
        <v>85.616382114582237</v>
      </c>
      <c r="C16" s="17" t="s">
        <v>53</v>
      </c>
    </row>
    <row r="17" spans="1:3" ht="36" x14ac:dyDescent="0.8">
      <c r="A17" s="42" t="s">
        <v>123</v>
      </c>
      <c r="B17" s="42"/>
      <c r="C17" s="42"/>
    </row>
  </sheetData>
  <mergeCells count="2">
    <mergeCell ref="A8:C8"/>
    <mergeCell ref="A17:C17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F7ECF-10F4-4C18-BD76-9ADC696BD5BA}">
  <sheetPr codeName="Sheet2"/>
  <dimension ref="A1:H23"/>
  <sheetViews>
    <sheetView tabSelected="1" workbookViewId="0">
      <selection activeCell="F4" sqref="F4"/>
    </sheetView>
  </sheetViews>
  <sheetFormatPr defaultRowHeight="14.5" x14ac:dyDescent="0.35"/>
  <cols>
    <col min="1" max="1" width="54.90625" customWidth="1"/>
    <col min="2" max="2" width="26" customWidth="1"/>
    <col min="3" max="3" width="9.81640625" customWidth="1"/>
    <col min="4" max="4" width="13" customWidth="1"/>
    <col min="5" max="5" width="48.08984375" customWidth="1"/>
    <col min="6" max="6" width="27.7265625" customWidth="1"/>
    <col min="7" max="7" width="28.36328125" customWidth="1"/>
    <col min="9" max="9" width="36.81640625" customWidth="1"/>
    <col min="10" max="10" width="17.26953125" customWidth="1"/>
    <col min="11" max="11" width="5.54296875" customWidth="1"/>
    <col min="12" max="12" width="17.453125" customWidth="1"/>
    <col min="16" max="16" width="17.36328125" customWidth="1"/>
    <col min="19" max="19" width="12.26953125" customWidth="1"/>
    <col min="20" max="20" width="12.08984375" customWidth="1"/>
    <col min="22" max="22" width="8.7265625" customWidth="1"/>
  </cols>
  <sheetData>
    <row r="1" spans="1:8" ht="33.5" x14ac:dyDescent="0.75">
      <c r="A1" s="20" t="s">
        <v>80</v>
      </c>
      <c r="B1" s="20" t="s">
        <v>71</v>
      </c>
      <c r="C1" s="20" t="s">
        <v>72</v>
      </c>
      <c r="D1" s="21"/>
      <c r="E1" s="22" t="s">
        <v>41</v>
      </c>
      <c r="F1" s="22" t="s">
        <v>42</v>
      </c>
      <c r="G1" s="22" t="s">
        <v>72</v>
      </c>
      <c r="H1" s="21"/>
    </row>
    <row r="2" spans="1:8" ht="41" customHeight="1" x14ac:dyDescent="0.75">
      <c r="A2" s="23" t="s">
        <v>34</v>
      </c>
      <c r="B2" s="27">
        <f>'Inputs and design constants'!B6+'Inputs and design constants'!B7</f>
        <v>1150</v>
      </c>
      <c r="C2" s="25" t="s">
        <v>28</v>
      </c>
      <c r="D2" s="21"/>
      <c r="E2" s="26" t="s">
        <v>43</v>
      </c>
      <c r="F2" s="24">
        <v>6.4999999999999997E-3</v>
      </c>
      <c r="G2" s="25" t="s">
        <v>44</v>
      </c>
      <c r="H2" s="21"/>
    </row>
    <row r="3" spans="1:8" ht="34.5" customHeight="1" x14ac:dyDescent="0.75">
      <c r="A3" s="23" t="s">
        <v>81</v>
      </c>
      <c r="B3" s="27">
        <f>288-(F2*B2)</f>
        <v>280.52499999999998</v>
      </c>
      <c r="C3" s="25" t="s">
        <v>31</v>
      </c>
      <c r="D3" s="21"/>
      <c r="E3" s="26" t="s">
        <v>45</v>
      </c>
      <c r="F3" s="24">
        <v>0.378</v>
      </c>
      <c r="G3" s="25"/>
      <c r="H3" s="21"/>
    </row>
    <row r="4" spans="1:8" ht="33.5" x14ac:dyDescent="0.75">
      <c r="A4" s="23" t="s">
        <v>32</v>
      </c>
      <c r="B4" s="27">
        <f>(B3/288.15)^5.259</f>
        <v>0.86845665779550152</v>
      </c>
      <c r="C4" s="25"/>
      <c r="D4" s="21"/>
      <c r="E4" s="23" t="s">
        <v>46</v>
      </c>
      <c r="F4" s="24">
        <v>3.4160000000000003E-2</v>
      </c>
      <c r="G4" s="25"/>
      <c r="H4" s="21"/>
    </row>
    <row r="5" spans="1:8" ht="33.5" x14ac:dyDescent="0.75">
      <c r="A5" s="23" t="s">
        <v>33</v>
      </c>
      <c r="B5" s="27">
        <f>101325*B4</f>
        <v>87996.370851129192</v>
      </c>
      <c r="C5" s="25"/>
      <c r="D5" s="21"/>
      <c r="E5" s="23" t="s">
        <v>88</v>
      </c>
      <c r="F5" s="24">
        <f>IF(EXACT(G5,"He"),0.1382, 0.0696)</f>
        <v>0.13819999999999999</v>
      </c>
      <c r="G5" s="25" t="str">
        <f>'Inputs and design constants'!G3</f>
        <v>He</v>
      </c>
      <c r="H5" s="21"/>
    </row>
    <row r="6" spans="1:8" ht="33.5" x14ac:dyDescent="0.75">
      <c r="A6" s="23" t="s">
        <v>82</v>
      </c>
      <c r="B6" s="27">
        <f>B3+'Inputs and design constants'!G9</f>
        <v>295.52499999999998</v>
      </c>
      <c r="C6" s="25" t="s">
        <v>31</v>
      </c>
      <c r="D6" s="21"/>
      <c r="E6" s="21"/>
      <c r="F6" s="21"/>
      <c r="G6" s="21"/>
      <c r="H6" s="21"/>
    </row>
    <row r="7" spans="1:8" ht="33.5" x14ac:dyDescent="0.75">
      <c r="A7" s="23"/>
      <c r="B7" s="27">
        <f>B6-273.15</f>
        <v>22.375</v>
      </c>
      <c r="C7" s="25" t="s">
        <v>38</v>
      </c>
      <c r="D7" s="21"/>
      <c r="E7" s="21"/>
      <c r="F7" s="21"/>
      <c r="G7" s="21"/>
      <c r="H7" s="21"/>
    </row>
    <row r="8" spans="1:8" ht="33.5" x14ac:dyDescent="0.75">
      <c r="A8" s="23" t="s">
        <v>83</v>
      </c>
      <c r="B8" s="27">
        <f>611.2*((2.718)^((18.5*B7)/(257+B7)))</f>
        <v>2689.0038673206882</v>
      </c>
      <c r="C8" s="25" t="s">
        <v>79</v>
      </c>
      <c r="D8" s="21"/>
      <c r="H8" s="21"/>
    </row>
    <row r="9" spans="1:8" ht="33.5" x14ac:dyDescent="0.75">
      <c r="A9" s="23" t="s">
        <v>84</v>
      </c>
      <c r="B9" s="27">
        <f>('Inputs and design constants'!B4/100)*B8</f>
        <v>2151.2030938565508</v>
      </c>
      <c r="C9" s="25" t="s">
        <v>79</v>
      </c>
      <c r="D9" s="21"/>
      <c r="E9" s="21"/>
      <c r="F9" s="21"/>
      <c r="G9" s="21"/>
      <c r="H9" s="21"/>
    </row>
    <row r="10" spans="1:8" ht="33.5" x14ac:dyDescent="0.75">
      <c r="A10" s="23" t="s">
        <v>85</v>
      </c>
      <c r="B10" s="27">
        <f>((B5-(F3*B9))/B6)*F4*F16</f>
        <v>1192.360475797801</v>
      </c>
      <c r="C10" s="25" t="s">
        <v>73</v>
      </c>
      <c r="D10" s="21"/>
      <c r="E10" s="21"/>
      <c r="F10" s="21"/>
      <c r="G10" s="21"/>
      <c r="H10" s="21"/>
    </row>
    <row r="11" spans="1:8" ht="33.5" x14ac:dyDescent="0.75">
      <c r="A11" s="23" t="s">
        <v>86</v>
      </c>
      <c r="B11" s="27">
        <f>((1-((1-F5)*('Inputs and design constants'!B5/100))))*((B5+'Inputs and design constants'!G8)/(B6+'Inputs and design constants'!G9))*0.03416*F16</f>
        <v>169.1130438382601</v>
      </c>
      <c r="C11" s="25" t="s">
        <v>73</v>
      </c>
      <c r="D11" s="21"/>
      <c r="E11" s="21"/>
      <c r="F11" s="21"/>
      <c r="G11" s="21"/>
      <c r="H11" s="21"/>
    </row>
    <row r="12" spans="1:8" ht="33.5" x14ac:dyDescent="0.75">
      <c r="A12" s="23" t="s">
        <v>39</v>
      </c>
      <c r="B12" s="27">
        <f>B10-B11</f>
        <v>1023.2474319595409</v>
      </c>
      <c r="C12" s="25" t="s">
        <v>73</v>
      </c>
      <c r="D12" s="21"/>
      <c r="E12" s="10" t="s">
        <v>89</v>
      </c>
      <c r="F12" s="13">
        <f>'Inputs and design constants'!L9</f>
        <v>1023.2478255474142</v>
      </c>
      <c r="G12" s="12" t="s">
        <v>73</v>
      </c>
      <c r="H12" s="21"/>
    </row>
    <row r="15" spans="1:8" ht="26" x14ac:dyDescent="0.6">
      <c r="E15" s="11" t="s">
        <v>90</v>
      </c>
      <c r="F15" s="11" t="s">
        <v>75</v>
      </c>
      <c r="G15" s="11" t="s">
        <v>72</v>
      </c>
    </row>
    <row r="16" spans="1:8" ht="26" x14ac:dyDescent="0.6">
      <c r="E16" s="28" t="s">
        <v>91</v>
      </c>
      <c r="F16" s="31">
        <v>118.31806270833627</v>
      </c>
      <c r="G16" s="29" t="s">
        <v>54</v>
      </c>
    </row>
    <row r="17" spans="1:7" ht="26" x14ac:dyDescent="0.6">
      <c r="E17" s="28" t="s">
        <v>18</v>
      </c>
      <c r="F17" s="31">
        <f>IF(EXACT('Inputs and design constants'!G2,"GN"),'Output calculations for GNVR'!B3,'Output Calculations for OS'!B7)</f>
        <v>148.90537003827723</v>
      </c>
      <c r="G17" s="29" t="s">
        <v>53</v>
      </c>
    </row>
    <row r="18" spans="1:7" ht="26" x14ac:dyDescent="0.6">
      <c r="E18" s="28" t="s">
        <v>92</v>
      </c>
      <c r="F18" s="31">
        <f>IF(EXACT('Inputs and design constants'!G2,"GN"),'Output calculations for GNVR'!B4,'Output Calculations for OS'!F1)</f>
        <v>4.2511860283818823</v>
      </c>
      <c r="G18" s="29" t="s">
        <v>28</v>
      </c>
    </row>
    <row r="19" spans="1:7" ht="46" x14ac:dyDescent="1">
      <c r="A19" s="37" t="s">
        <v>132</v>
      </c>
      <c r="B19" s="38">
        <f>F12-B12</f>
        <v>3.9358787330456835E-4</v>
      </c>
      <c r="E19" s="28" t="s">
        <v>62</v>
      </c>
      <c r="F19" s="31">
        <f>IF(EXACT('Inputs and design constants'!G2,"GN"),'Output calculations for GNVR'!B5,'Output Calculations for OS'!F2)</f>
        <v>12.96611738656474</v>
      </c>
      <c r="G19" s="29" t="s">
        <v>28</v>
      </c>
    </row>
    <row r="20" spans="1:7" ht="26" x14ac:dyDescent="0.6">
      <c r="A20" t="s">
        <v>135</v>
      </c>
      <c r="E20" s="28" t="s">
        <v>93</v>
      </c>
      <c r="F20" s="31">
        <f>('Inputs and design constants'!L9)/9.8</f>
        <v>104.41304342320552</v>
      </c>
      <c r="G20" s="29" t="s">
        <v>77</v>
      </c>
    </row>
    <row r="21" spans="1:7" ht="26" x14ac:dyDescent="0.6">
      <c r="E21" s="28" t="s">
        <v>119</v>
      </c>
      <c r="F21" s="31">
        <f>('Inputs and design constants'!B12*'Required Payload to Volume'!F17*'Inputs and design constants'!B10)/1000</f>
        <v>3.1270127708038218</v>
      </c>
      <c r="G21" s="29" t="s">
        <v>54</v>
      </c>
    </row>
    <row r="22" spans="1:7" ht="26" x14ac:dyDescent="0.6">
      <c r="E22" s="28"/>
      <c r="F22" s="31">
        <f>(F21/F16)*100</f>
        <v>2.6428870615572575</v>
      </c>
      <c r="G22" s="29" t="s">
        <v>63</v>
      </c>
    </row>
    <row r="23" spans="1:7" ht="54" customHeight="1" x14ac:dyDescent="0.6">
      <c r="E23" s="30" t="s">
        <v>64</v>
      </c>
      <c r="F23" s="31">
        <f>(F16/10)/(('Inputs and design constants'!B12*'Required Payload to Volume'!F17)/1000)</f>
        <v>26.486186647247116</v>
      </c>
      <c r="G23" s="29" t="s">
        <v>105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3C5B1-5602-420D-89EA-DC257CCE23F3}">
  <sheetPr codeName="Sheet6"/>
  <dimension ref="A1:H23"/>
  <sheetViews>
    <sheetView topLeftCell="A10" workbookViewId="0">
      <selection activeCell="E24" sqref="E24"/>
    </sheetView>
  </sheetViews>
  <sheetFormatPr defaultRowHeight="14.5" x14ac:dyDescent="0.35"/>
  <cols>
    <col min="1" max="1" width="54.90625" customWidth="1"/>
    <col min="2" max="2" width="26" customWidth="1"/>
    <col min="3" max="3" width="9.81640625" customWidth="1"/>
    <col min="4" max="4" width="13" customWidth="1"/>
    <col min="5" max="5" width="48.08984375" customWidth="1"/>
    <col min="6" max="6" width="17.1796875" customWidth="1"/>
    <col min="7" max="7" width="28.36328125" customWidth="1"/>
    <col min="9" max="9" width="36.81640625" customWidth="1"/>
    <col min="10" max="10" width="17.26953125" customWidth="1"/>
    <col min="11" max="11" width="5.54296875" customWidth="1"/>
    <col min="12" max="12" width="17.453125" customWidth="1"/>
    <col min="16" max="16" width="17.36328125" customWidth="1"/>
    <col min="19" max="19" width="12.26953125" customWidth="1"/>
    <col min="20" max="20" width="12.08984375" customWidth="1"/>
    <col min="22" max="22" width="8.7265625" customWidth="1"/>
  </cols>
  <sheetData>
    <row r="1" spans="1:8" ht="33.5" x14ac:dyDescent="0.75">
      <c r="A1" s="20" t="s">
        <v>80</v>
      </c>
      <c r="B1" s="20" t="s">
        <v>71</v>
      </c>
      <c r="C1" s="20" t="s">
        <v>72</v>
      </c>
      <c r="D1" s="21"/>
      <c r="E1" s="22" t="s">
        <v>41</v>
      </c>
      <c r="F1" s="22" t="s">
        <v>42</v>
      </c>
      <c r="G1" s="22" t="s">
        <v>72</v>
      </c>
      <c r="H1" s="21"/>
    </row>
    <row r="2" spans="1:8" ht="41" customHeight="1" x14ac:dyDescent="0.75">
      <c r="A2" s="23" t="s">
        <v>34</v>
      </c>
      <c r="B2" s="27">
        <f>'Inputs and design constants'!B6+'Inputs and design constants'!B7</f>
        <v>1150</v>
      </c>
      <c r="C2" s="25" t="s">
        <v>28</v>
      </c>
      <c r="D2" s="21"/>
      <c r="E2" s="26" t="s">
        <v>43</v>
      </c>
      <c r="F2" s="24">
        <v>6.4999999999999997E-3</v>
      </c>
      <c r="G2" s="25" t="s">
        <v>44</v>
      </c>
      <c r="H2" s="21"/>
    </row>
    <row r="3" spans="1:8" ht="34.5" customHeight="1" x14ac:dyDescent="0.75">
      <c r="A3" s="23" t="s">
        <v>81</v>
      </c>
      <c r="B3" s="27">
        <f>288-(F2*B2)</f>
        <v>280.52499999999998</v>
      </c>
      <c r="C3" s="25" t="s">
        <v>31</v>
      </c>
      <c r="D3" s="21"/>
      <c r="E3" s="26" t="s">
        <v>45</v>
      </c>
      <c r="F3" s="24">
        <v>0.378</v>
      </c>
      <c r="G3" s="25"/>
      <c r="H3" s="21"/>
    </row>
    <row r="4" spans="1:8" ht="33.5" x14ac:dyDescent="0.75">
      <c r="A4" s="23" t="s">
        <v>32</v>
      </c>
      <c r="B4" s="27">
        <f>(B3/288.15)^5.259</f>
        <v>0.86845665779550152</v>
      </c>
      <c r="C4" s="25"/>
      <c r="D4" s="21"/>
      <c r="E4" s="23" t="s">
        <v>46</v>
      </c>
      <c r="F4" s="24">
        <v>3.4160000000000003E-2</v>
      </c>
      <c r="G4" s="25"/>
      <c r="H4" s="21"/>
    </row>
    <row r="5" spans="1:8" ht="33.5" x14ac:dyDescent="0.75">
      <c r="A5" s="23" t="s">
        <v>33</v>
      </c>
      <c r="B5" s="27">
        <f>101325*B4</f>
        <v>87996.370851129192</v>
      </c>
      <c r="C5" s="25"/>
      <c r="D5" s="21"/>
      <c r="E5" s="23" t="s">
        <v>88</v>
      </c>
      <c r="F5" s="24">
        <f>IF(EXACT(G5,"He"),0.1382, 0.0696)</f>
        <v>0.13819999999999999</v>
      </c>
      <c r="G5" s="25" t="str">
        <f>'Inputs and design constants'!G3</f>
        <v>He</v>
      </c>
      <c r="H5" s="21"/>
    </row>
    <row r="6" spans="1:8" ht="33.5" x14ac:dyDescent="0.75">
      <c r="A6" s="23" t="s">
        <v>82</v>
      </c>
      <c r="B6" s="27">
        <f>B3+'Inputs and design constants'!G9</f>
        <v>295.52499999999998</v>
      </c>
      <c r="C6" s="25" t="s">
        <v>31</v>
      </c>
      <c r="D6" s="21"/>
      <c r="E6" s="21"/>
      <c r="F6" s="21"/>
      <c r="G6" s="21"/>
      <c r="H6" s="21"/>
    </row>
    <row r="7" spans="1:8" ht="33.5" x14ac:dyDescent="0.75">
      <c r="A7" s="23"/>
      <c r="B7" s="27">
        <f>B6-273.15</f>
        <v>22.375</v>
      </c>
      <c r="C7" s="25" t="s">
        <v>38</v>
      </c>
      <c r="D7" s="21"/>
      <c r="E7" s="21"/>
      <c r="F7" s="21"/>
      <c r="G7" s="21"/>
      <c r="H7" s="21"/>
    </row>
    <row r="8" spans="1:8" ht="33.5" x14ac:dyDescent="0.75">
      <c r="A8" s="23" t="s">
        <v>83</v>
      </c>
      <c r="B8" s="27">
        <f>611.2*((2.718)^((18.5*B7)/(257+B7)))</f>
        <v>2689.0038673206882</v>
      </c>
      <c r="C8" s="25" t="s">
        <v>79</v>
      </c>
      <c r="D8" s="21"/>
      <c r="E8" s="35" t="s">
        <v>124</v>
      </c>
      <c r="F8" s="36">
        <f>'Inputs and design constants'!B13</f>
        <v>70</v>
      </c>
      <c r="G8" s="12" t="s">
        <v>54</v>
      </c>
      <c r="H8" s="21"/>
    </row>
    <row r="9" spans="1:8" ht="33.5" x14ac:dyDescent="0.75">
      <c r="A9" s="23" t="s">
        <v>84</v>
      </c>
      <c r="B9" s="27">
        <f>('Inputs and design constants'!B4/100)*B8</f>
        <v>2151.2030938565508</v>
      </c>
      <c r="C9" s="25" t="s">
        <v>79</v>
      </c>
      <c r="D9" s="21"/>
      <c r="H9" s="21"/>
    </row>
    <row r="10" spans="1:8" ht="33.5" x14ac:dyDescent="0.75">
      <c r="A10" s="23" t="s">
        <v>85</v>
      </c>
      <c r="B10" s="27">
        <f>((B5-(F3*B9))/B6)*F4*F8</f>
        <v>705.43103390388262</v>
      </c>
      <c r="C10" s="25" t="s">
        <v>73</v>
      </c>
      <c r="D10" s="21"/>
      <c r="H10" s="21"/>
    </row>
    <row r="11" spans="1:8" ht="33.5" x14ac:dyDescent="0.75">
      <c r="A11" s="23" t="s">
        <v>86</v>
      </c>
      <c r="B11" s="27">
        <f>((1-((1-F5)*('Inputs and design constants'!B5/100))))*((B5+'Inputs and design constants'!G8)/(B6+'Inputs and design constants'!G9))*0.03416*F8</f>
        <v>100.051613402931</v>
      </c>
      <c r="C11" s="25" t="s">
        <v>73</v>
      </c>
      <c r="D11" s="21"/>
      <c r="E11" s="11" t="s">
        <v>90</v>
      </c>
      <c r="F11" s="11" t="s">
        <v>75</v>
      </c>
      <c r="G11" s="11" t="s">
        <v>72</v>
      </c>
      <c r="H11" s="21"/>
    </row>
    <row r="12" spans="1:8" ht="33.5" x14ac:dyDescent="0.75">
      <c r="A12" s="23" t="s">
        <v>39</v>
      </c>
      <c r="B12" s="27">
        <f>B10-B11</f>
        <v>605.3794205009516</v>
      </c>
      <c r="C12" s="25" t="s">
        <v>73</v>
      </c>
      <c r="D12" s="21"/>
      <c r="E12" s="28" t="s">
        <v>91</v>
      </c>
      <c r="F12" s="31">
        <f>F8</f>
        <v>70</v>
      </c>
      <c r="G12" s="29" t="s">
        <v>54</v>
      </c>
      <c r="H12" s="21"/>
    </row>
    <row r="13" spans="1:8" ht="26" x14ac:dyDescent="0.6">
      <c r="E13" s="28" t="s">
        <v>18</v>
      </c>
      <c r="F13" s="31">
        <f>IF(EXACT('Inputs and design constants'!G2,"GN"),'Output calculations for GNVR'!B11,'Output Calculations for OS'!B16)</f>
        <v>104.94015148946526</v>
      </c>
      <c r="G13" s="29" t="s">
        <v>53</v>
      </c>
    </row>
    <row r="14" spans="1:8" ht="26" x14ac:dyDescent="0.6">
      <c r="E14" s="28" t="s">
        <v>92</v>
      </c>
      <c r="F14" s="31">
        <f>IF(EXACT('Inputs and design constants'!G2,"GN"),'Output calculations for GNVR'!B12,'Output Calculations for OS'!F10)</f>
        <v>3.5688292775180406</v>
      </c>
      <c r="G14" s="29" t="s">
        <v>28</v>
      </c>
    </row>
    <row r="15" spans="1:8" ht="26" x14ac:dyDescent="0.6">
      <c r="E15" s="28" t="s">
        <v>62</v>
      </c>
      <c r="F15" s="31">
        <f>IF(EXACT('Inputs and design constants'!G2,"GN"),'Output calculations for GNVR'!B13,'Output Calculations for OS'!F11)</f>
        <v>10.884929296430023</v>
      </c>
      <c r="G15" s="29" t="s">
        <v>28</v>
      </c>
    </row>
    <row r="16" spans="1:8" ht="26" x14ac:dyDescent="0.6">
      <c r="E16" s="28" t="s">
        <v>93</v>
      </c>
      <c r="F16" s="31">
        <f>('Inputs and design constants'!L9)/9.8</f>
        <v>104.41304342320552</v>
      </c>
      <c r="G16" s="29" t="s">
        <v>77</v>
      </c>
    </row>
    <row r="17" spans="5:7" ht="26" x14ac:dyDescent="0.6">
      <c r="E17" s="28" t="s">
        <v>119</v>
      </c>
      <c r="F17" s="31">
        <f>('Inputs and design constants'!B12*'Volume To Payload'!F13*'Inputs and design constants'!B10)/1000</f>
        <v>2.2037431812787704</v>
      </c>
      <c r="G17" s="29" t="s">
        <v>54</v>
      </c>
    </row>
    <row r="18" spans="5:7" ht="26" x14ac:dyDescent="0.6">
      <c r="E18" s="28"/>
      <c r="F18" s="31">
        <f>(F17/F12)*100</f>
        <v>3.1482045446839582</v>
      </c>
      <c r="G18" s="29" t="s">
        <v>63</v>
      </c>
    </row>
    <row r="19" spans="5:7" ht="52" x14ac:dyDescent="0.6">
      <c r="E19" s="30" t="s">
        <v>64</v>
      </c>
      <c r="F19" s="31">
        <f>(F12/10)/(('Inputs and design constants'!B12*'Volume To Payload'!F13)/1000)</f>
        <v>22.234895797416225</v>
      </c>
      <c r="G19" s="29" t="s">
        <v>105</v>
      </c>
    </row>
    <row r="20" spans="5:7" ht="26" x14ac:dyDescent="0.6">
      <c r="E20" s="28" t="s">
        <v>130</v>
      </c>
      <c r="F20" s="31">
        <f>(B12-'Inputs and design constants'!L20)/(1+(('Inputs and design constants'!G4)/100))</f>
        <v>195.63698744097934</v>
      </c>
      <c r="G20" s="29" t="s">
        <v>73</v>
      </c>
    </row>
    <row r="21" spans="5:7" ht="26" x14ac:dyDescent="0.6">
      <c r="E21" s="28" t="s">
        <v>131</v>
      </c>
      <c r="F21" s="31">
        <f>F20/9.8</f>
        <v>19.962957902140747</v>
      </c>
      <c r="G21" s="29" t="s">
        <v>77</v>
      </c>
    </row>
    <row r="22" spans="5:7" ht="26" x14ac:dyDescent="0.6">
      <c r="E22" s="28" t="s">
        <v>12</v>
      </c>
      <c r="F22" s="31">
        <f>(('Inputs and design constants'!G4)/100)*F20</f>
        <v>19.563698744097934</v>
      </c>
      <c r="G22" s="29" t="s">
        <v>73</v>
      </c>
    </row>
    <row r="23" spans="5:7" ht="27.5" customHeight="1" x14ac:dyDescent="0.6">
      <c r="E23" s="28" t="s">
        <v>133</v>
      </c>
      <c r="F23" s="31">
        <f>F22/9.8</f>
        <v>1.9962957902140748</v>
      </c>
      <c r="G23" s="29" t="s">
        <v>77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3D7EB-CE96-4DF0-A080-887EBBBDC91B}">
  <sheetPr codeName="Sheet3"/>
  <dimension ref="A1:K29"/>
  <sheetViews>
    <sheetView workbookViewId="0">
      <selection activeCell="O15" sqref="O15"/>
    </sheetView>
  </sheetViews>
  <sheetFormatPr defaultRowHeight="14.5" x14ac:dyDescent="0.35"/>
  <cols>
    <col min="1" max="1" width="17.08984375" customWidth="1"/>
    <col min="2" max="2" width="8.81640625" customWidth="1"/>
    <col min="3" max="3" width="10.1796875" customWidth="1"/>
    <col min="9" max="9" width="26" customWidth="1"/>
    <col min="10" max="10" width="8.36328125" customWidth="1"/>
    <col min="11" max="11" width="12.36328125" customWidth="1"/>
  </cols>
  <sheetData>
    <row r="1" spans="1:11" x14ac:dyDescent="0.35">
      <c r="A1" s="32" t="s">
        <v>106</v>
      </c>
      <c r="B1" s="32"/>
      <c r="C1" s="32"/>
      <c r="D1" s="32"/>
      <c r="E1" s="32"/>
      <c r="I1" t="s">
        <v>111</v>
      </c>
    </row>
    <row r="2" spans="1:11" x14ac:dyDescent="0.35">
      <c r="A2" t="s">
        <v>16</v>
      </c>
      <c r="B2">
        <v>70</v>
      </c>
      <c r="C2" t="s">
        <v>54</v>
      </c>
      <c r="D2" s="32"/>
      <c r="E2" s="32"/>
      <c r="I2" s="33" t="s">
        <v>0</v>
      </c>
      <c r="J2" s="33">
        <v>30</v>
      </c>
      <c r="K2" s="33" t="s">
        <v>26</v>
      </c>
    </row>
    <row r="3" spans="1:11" x14ac:dyDescent="0.35">
      <c r="A3" s="33" t="s">
        <v>2</v>
      </c>
      <c r="B3" s="33">
        <v>150</v>
      </c>
      <c r="C3" s="33" t="s">
        <v>28</v>
      </c>
      <c r="I3" s="33" t="s">
        <v>20</v>
      </c>
      <c r="J3" s="33">
        <v>200</v>
      </c>
      <c r="K3" s="33" t="s">
        <v>25</v>
      </c>
    </row>
    <row r="4" spans="1:11" x14ac:dyDescent="0.35">
      <c r="A4" s="33" t="s">
        <v>3</v>
      </c>
      <c r="B4" s="33">
        <v>1000</v>
      </c>
      <c r="C4" s="33" t="s">
        <v>28</v>
      </c>
      <c r="I4" s="33" t="s">
        <v>19</v>
      </c>
      <c r="J4" s="33">
        <v>80</v>
      </c>
      <c r="K4" s="33" t="s">
        <v>27</v>
      </c>
    </row>
    <row r="5" spans="1:11" x14ac:dyDescent="0.35">
      <c r="A5" s="33" t="s">
        <v>11</v>
      </c>
      <c r="B5" s="33" t="s">
        <v>48</v>
      </c>
      <c r="C5" s="33"/>
      <c r="I5" s="33" t="s">
        <v>1</v>
      </c>
      <c r="J5" s="33">
        <v>99</v>
      </c>
      <c r="K5" s="33" t="s">
        <v>27</v>
      </c>
    </row>
    <row r="6" spans="1:11" x14ac:dyDescent="0.35">
      <c r="A6" s="33" t="s">
        <v>13</v>
      </c>
      <c r="B6" s="33">
        <v>1.1499999999999999</v>
      </c>
      <c r="C6" s="33"/>
      <c r="I6" s="33" t="s">
        <v>2</v>
      </c>
      <c r="J6" s="33">
        <v>150</v>
      </c>
      <c r="K6" s="33" t="s">
        <v>28</v>
      </c>
    </row>
    <row r="7" spans="1:11" x14ac:dyDescent="0.35">
      <c r="A7" s="33" t="s">
        <v>14</v>
      </c>
      <c r="B7" s="33">
        <v>1.1499999999999999</v>
      </c>
      <c r="C7" s="33"/>
      <c r="I7" s="33" t="s">
        <v>3</v>
      </c>
      <c r="J7" s="33">
        <v>1000</v>
      </c>
      <c r="K7" s="33" t="s">
        <v>28</v>
      </c>
    </row>
    <row r="8" spans="1:11" x14ac:dyDescent="0.35">
      <c r="A8" s="33" t="s">
        <v>35</v>
      </c>
      <c r="B8" s="33">
        <v>500</v>
      </c>
      <c r="C8" s="33" t="s">
        <v>36</v>
      </c>
      <c r="I8" s="33" t="s">
        <v>4</v>
      </c>
      <c r="J8" s="33">
        <v>10</v>
      </c>
      <c r="K8" s="33" t="s">
        <v>26</v>
      </c>
    </row>
    <row r="9" spans="1:11" ht="21" customHeight="1" x14ac:dyDescent="0.35">
      <c r="A9" s="33" t="s">
        <v>37</v>
      </c>
      <c r="B9" s="33">
        <v>15</v>
      </c>
      <c r="C9" s="33" t="s">
        <v>36</v>
      </c>
      <c r="I9" s="33" t="s">
        <v>40</v>
      </c>
      <c r="J9" s="33">
        <v>0.1</v>
      </c>
      <c r="K9" s="33" t="s">
        <v>49</v>
      </c>
    </row>
    <row r="10" spans="1:11" x14ac:dyDescent="0.35">
      <c r="A10" t="s">
        <v>85</v>
      </c>
      <c r="B10">
        <v>705.43103390388262</v>
      </c>
      <c r="C10" t="s">
        <v>73</v>
      </c>
      <c r="D10" s="32"/>
      <c r="E10" s="32"/>
      <c r="I10" s="33" t="s">
        <v>5</v>
      </c>
      <c r="J10" s="33">
        <v>7</v>
      </c>
      <c r="K10" s="33" t="s">
        <v>29</v>
      </c>
    </row>
    <row r="11" spans="1:11" x14ac:dyDescent="0.35">
      <c r="A11" t="s">
        <v>55</v>
      </c>
      <c r="B11">
        <v>605.3794205009516</v>
      </c>
      <c r="C11" t="s">
        <v>73</v>
      </c>
      <c r="D11" t="s">
        <v>107</v>
      </c>
      <c r="I11" s="33" t="s">
        <v>6</v>
      </c>
      <c r="J11" s="33">
        <v>1</v>
      </c>
      <c r="K11" s="33" t="s">
        <v>26</v>
      </c>
    </row>
    <row r="12" spans="1:11" x14ac:dyDescent="0.35">
      <c r="A12" t="s">
        <v>108</v>
      </c>
      <c r="B12">
        <v>219.35</v>
      </c>
      <c r="C12" t="s">
        <v>73</v>
      </c>
      <c r="D12">
        <f>B11-B12</f>
        <v>386.02942050095157</v>
      </c>
      <c r="E12" t="s">
        <v>73</v>
      </c>
      <c r="I12" s="33" t="s">
        <v>7</v>
      </c>
      <c r="J12" s="33">
        <v>3</v>
      </c>
      <c r="K12" s="33" t="s">
        <v>30</v>
      </c>
    </row>
    <row r="13" spans="1:11" x14ac:dyDescent="0.35">
      <c r="A13" t="s">
        <v>68</v>
      </c>
      <c r="B13">
        <f>10*9.8</f>
        <v>98</v>
      </c>
      <c r="C13" t="s">
        <v>73</v>
      </c>
      <c r="D13">
        <f>B12-B13</f>
        <v>121.35</v>
      </c>
      <c r="E13" t="s">
        <v>73</v>
      </c>
      <c r="I13" s="33" t="s">
        <v>10</v>
      </c>
      <c r="J13" s="33" t="s">
        <v>57</v>
      </c>
      <c r="K13" s="33" t="s">
        <v>24</v>
      </c>
    </row>
    <row r="14" spans="1:11" x14ac:dyDescent="0.35">
      <c r="A14" t="s">
        <v>6</v>
      </c>
      <c r="B14">
        <v>9.8000000000000007</v>
      </c>
      <c r="C14" t="s">
        <v>73</v>
      </c>
      <c r="D14">
        <f>B13-B14</f>
        <v>88.2</v>
      </c>
      <c r="E14" t="s">
        <v>73</v>
      </c>
      <c r="I14" s="33" t="s">
        <v>11</v>
      </c>
      <c r="J14" s="33" t="s">
        <v>48</v>
      </c>
      <c r="K14" s="33" t="s">
        <v>47</v>
      </c>
    </row>
    <row r="15" spans="1:11" x14ac:dyDescent="0.35">
      <c r="A15" t="s">
        <v>109</v>
      </c>
      <c r="B15">
        <v>150</v>
      </c>
      <c r="C15" t="s">
        <v>73</v>
      </c>
      <c r="D15">
        <f>B14-B15</f>
        <v>-140.19999999999999</v>
      </c>
      <c r="E15" t="s">
        <v>73</v>
      </c>
      <c r="I15" s="33" t="s">
        <v>12</v>
      </c>
      <c r="J15" s="33">
        <v>10</v>
      </c>
      <c r="K15" s="33" t="s">
        <v>77</v>
      </c>
    </row>
    <row r="16" spans="1:11" ht="14.5" customHeight="1" x14ac:dyDescent="0.35">
      <c r="A16" s="44" t="s">
        <v>110</v>
      </c>
      <c r="B16" s="44"/>
      <c r="C16" s="44"/>
      <c r="D16" s="44"/>
      <c r="E16" s="44"/>
      <c r="I16" s="33" t="s">
        <v>13</v>
      </c>
      <c r="J16" s="33">
        <v>1.1499999999999999</v>
      </c>
      <c r="K16" s="33"/>
    </row>
    <row r="17" spans="1:11" x14ac:dyDescent="0.35">
      <c r="A17" s="44"/>
      <c r="B17" s="44"/>
      <c r="C17" s="44"/>
      <c r="D17" s="44"/>
      <c r="E17" s="44"/>
      <c r="I17" s="33" t="s">
        <v>14</v>
      </c>
      <c r="J17" s="33">
        <v>1.1499999999999999</v>
      </c>
      <c r="K17" s="33"/>
    </row>
    <row r="18" spans="1:11" x14ac:dyDescent="0.35">
      <c r="I18" s="33" t="s">
        <v>35</v>
      </c>
      <c r="J18" s="33">
        <v>500</v>
      </c>
      <c r="K18" s="33" t="s">
        <v>36</v>
      </c>
    </row>
    <row r="19" spans="1:11" x14ac:dyDescent="0.35">
      <c r="I19" s="33" t="s">
        <v>37</v>
      </c>
      <c r="J19" s="33">
        <v>15</v>
      </c>
      <c r="K19" s="33" t="s">
        <v>36</v>
      </c>
    </row>
    <row r="20" spans="1:11" x14ac:dyDescent="0.35">
      <c r="I20" s="34" t="s">
        <v>112</v>
      </c>
      <c r="J20" s="34">
        <v>949.44</v>
      </c>
      <c r="K20" s="34" t="s">
        <v>73</v>
      </c>
    </row>
    <row r="21" spans="1:11" x14ac:dyDescent="0.35">
      <c r="I21" s="34" t="s">
        <v>91</v>
      </c>
      <c r="J21">
        <v>109.7842076318788</v>
      </c>
      <c r="K21" t="s">
        <v>54</v>
      </c>
    </row>
    <row r="22" spans="1:11" x14ac:dyDescent="0.35">
      <c r="I22" t="s">
        <v>18</v>
      </c>
      <c r="J22">
        <v>131.22814963372062</v>
      </c>
      <c r="K22" t="s">
        <v>53</v>
      </c>
    </row>
    <row r="23" spans="1:11" x14ac:dyDescent="0.35">
      <c r="I23" t="s">
        <v>92</v>
      </c>
      <c r="J23">
        <v>4.1829519024044988</v>
      </c>
      <c r="K23" t="s">
        <v>28</v>
      </c>
    </row>
    <row r="24" spans="1:11" x14ac:dyDescent="0.35">
      <c r="I24" t="s">
        <v>62</v>
      </c>
      <c r="J24">
        <v>12.758003302333721</v>
      </c>
      <c r="K24" t="s">
        <v>28</v>
      </c>
    </row>
    <row r="25" spans="1:11" x14ac:dyDescent="0.35">
      <c r="I25" t="s">
        <v>93</v>
      </c>
      <c r="J25">
        <v>96.882037258612826</v>
      </c>
      <c r="K25" t="s">
        <v>77</v>
      </c>
    </row>
    <row r="26" spans="1:11" x14ac:dyDescent="0.35">
      <c r="I26" s="41" t="s">
        <v>94</v>
      </c>
      <c r="J26">
        <v>2.7557911423081332</v>
      </c>
      <c r="K26" t="s">
        <v>54</v>
      </c>
    </row>
    <row r="27" spans="1:11" x14ac:dyDescent="0.35">
      <c r="I27" s="41"/>
      <c r="J27">
        <v>2.5101890351558316</v>
      </c>
      <c r="K27" t="s">
        <v>63</v>
      </c>
    </row>
    <row r="28" spans="1:11" x14ac:dyDescent="0.35">
      <c r="I28" s="43" t="s">
        <v>64</v>
      </c>
      <c r="J28">
        <v>27.886346016029997</v>
      </c>
      <c r="K28" t="s">
        <v>105</v>
      </c>
    </row>
    <row r="29" spans="1:11" x14ac:dyDescent="0.35">
      <c r="I29" s="43"/>
    </row>
  </sheetData>
  <mergeCells count="3">
    <mergeCell ref="I28:I29"/>
    <mergeCell ref="I26:I27"/>
    <mergeCell ref="A16:E17"/>
  </mergeCells>
  <dataValidations count="2">
    <dataValidation type="list" allowBlank="1" showInputMessage="1" showErrorMessage="1" sqref="J13" xr:uid="{8A6F1CD7-6E3A-4882-B865-614B755331AC}">
      <formula1>$U$1:$U$2</formula1>
    </dataValidation>
    <dataValidation allowBlank="1" showInputMessage="1" showErrorMessage="1" promptTitle="Lifting Gas" prompt="H : Hydrogen_x000a_He : Helium" sqref="J14 B5" xr:uid="{54589CC6-F4BD-4E98-BBC6-46AC522001AD}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F2AF8-4FC9-486E-8619-08A773F6DB02}">
  <sheetPr codeName="Sheet7"/>
  <dimension ref="A1:C4"/>
  <sheetViews>
    <sheetView workbookViewId="0">
      <selection activeCell="C1" sqref="C1"/>
    </sheetView>
  </sheetViews>
  <sheetFormatPr defaultRowHeight="14.5" x14ac:dyDescent="0.35"/>
  <sheetData>
    <row r="1" spans="1:3" x14ac:dyDescent="0.35">
      <c r="A1" t="s">
        <v>21</v>
      </c>
      <c r="B1" t="s">
        <v>22</v>
      </c>
      <c r="C1" s="1">
        <v>2.8000000000000001E-2</v>
      </c>
    </row>
    <row r="2" spans="1:3" x14ac:dyDescent="0.35">
      <c r="B2" t="s">
        <v>23</v>
      </c>
      <c r="C2" s="2">
        <v>0.1</v>
      </c>
    </row>
    <row r="4" spans="1:3" x14ac:dyDescent="0.35">
      <c r="A4" t="s">
        <v>50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0E43-77AD-41FD-BB40-FCA9EB8C97A1}">
  <sheetPr codeName="Sheet8"/>
  <dimension ref="A1:Q39"/>
  <sheetViews>
    <sheetView workbookViewId="0">
      <selection activeCell="M22" sqref="M22"/>
    </sheetView>
  </sheetViews>
  <sheetFormatPr defaultRowHeight="14.5" x14ac:dyDescent="0.35"/>
  <sheetData>
    <row r="1" spans="12:17" x14ac:dyDescent="0.35">
      <c r="Q1" t="s">
        <v>113</v>
      </c>
    </row>
    <row r="16" spans="12:17" x14ac:dyDescent="0.35">
      <c r="L16" t="s">
        <v>114</v>
      </c>
    </row>
    <row r="21" spans="13:13" x14ac:dyDescent="0.35">
      <c r="M21" t="s">
        <v>117</v>
      </c>
    </row>
    <row r="37" spans="1:1" x14ac:dyDescent="0.35">
      <c r="A37" t="s">
        <v>115</v>
      </c>
    </row>
    <row r="39" spans="1:1" x14ac:dyDescent="0.35">
      <c r="A39" t="s">
        <v>116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Inputs and design constants</vt:lpstr>
      <vt:lpstr>Output calculations for GNVR</vt:lpstr>
      <vt:lpstr>Output Calculations for OS</vt:lpstr>
      <vt:lpstr>Required Payload to Volume</vt:lpstr>
      <vt:lpstr>Volume To Payload</vt:lpstr>
      <vt:lpstr>Scenarios</vt:lpstr>
      <vt:lpstr>Miscellanous Information</vt:lpstr>
      <vt:lpstr>Report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Chaitanya</dc:creator>
  <cp:lastModifiedBy>Chaitanya</cp:lastModifiedBy>
  <dcterms:created xsi:type="dcterms:W3CDTF">2022-10-18T07:10:25Z</dcterms:created>
  <dcterms:modified xsi:type="dcterms:W3CDTF">2022-10-26T16:18:45Z</dcterms:modified>
</cp:coreProperties>
</file>