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ais\git\ucdavis-shinyr\apps\pit\"/>
    </mc:Choice>
  </mc:AlternateContent>
  <xr:revisionPtr revIDLastSave="0" documentId="13_ncr:1_{81CF5E86-67A3-45B0-A16D-975B2F380700}" xr6:coauthVersionLast="47" xr6:coauthVersionMax="47" xr10:uidLastSave="{00000000-0000-0000-0000-000000000000}"/>
  <bookViews>
    <workbookView xWindow="-110" yWindow="-110" windowWidth="19420" windowHeight="11500" firstSheet="1" activeTab="1" xr2:uid="{441EF13B-B6FE-4A4F-997B-7879B27FE7C5}"/>
  </bookViews>
  <sheets>
    <sheet name="Pinch " sheetId="2" state="hidden" r:id="rId1"/>
    <sheet name="Streams" sheetId="4" r:id="rId2"/>
    <sheet name="Sheet3" sheetId="6" state="hidden" r:id="rId3"/>
    <sheet name="Sheet2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14" i="2"/>
  <c r="B116" i="2"/>
  <c r="B115" i="2"/>
  <c r="B114" i="2"/>
  <c r="C113" i="2"/>
  <c r="B113" i="2"/>
  <c r="B108" i="2"/>
  <c r="B107" i="2"/>
  <c r="B106" i="2"/>
  <c r="B105" i="2"/>
  <c r="B73" i="2"/>
  <c r="B75" i="2" s="1"/>
  <c r="G67" i="2"/>
  <c r="G68" i="2" s="1"/>
  <c r="F61" i="2"/>
  <c r="F62" i="2" s="1"/>
  <c r="F63" i="2" s="1"/>
  <c r="F64" i="2" s="1"/>
  <c r="F65" i="2" s="1"/>
  <c r="F56" i="2"/>
  <c r="F57" i="2" s="1"/>
  <c r="F58" i="2" s="1"/>
  <c r="F59" i="2" s="1"/>
  <c r="F60" i="2" s="1"/>
  <c r="F45" i="2"/>
  <c r="F46" i="2" s="1"/>
  <c r="F47" i="2" s="1"/>
  <c r="F48" i="2" s="1"/>
  <c r="F49" i="2" s="1"/>
  <c r="F40" i="2"/>
  <c r="F41" i="2" s="1"/>
  <c r="F42" i="2" s="1"/>
  <c r="F43" i="2" s="1"/>
  <c r="F44" i="2" s="1"/>
  <c r="F33" i="2"/>
  <c r="F32" i="2"/>
  <c r="F31" i="2"/>
  <c r="F30" i="2"/>
  <c r="D25" i="2"/>
  <c r="D24" i="2"/>
  <c r="D23" i="2"/>
  <c r="D26" i="2" s="1"/>
  <c r="F18" i="2"/>
  <c r="F17" i="2"/>
  <c r="F16" i="2"/>
  <c r="F15" i="2"/>
  <c r="D10" i="2"/>
  <c r="E9" i="2"/>
  <c r="E8" i="2"/>
  <c r="E10" i="2" s="1"/>
  <c r="E7" i="2"/>
  <c r="C114" i="2" l="1"/>
  <c r="C115" i="2" s="1"/>
  <c r="C116" i="2" s="1"/>
  <c r="F19" i="2"/>
  <c r="F34" i="2"/>
  <c r="G69" i="2"/>
  <c r="B74" i="2"/>
</calcChain>
</file>

<file path=xl/sharedStrings.xml><?xml version="1.0" encoding="utf-8"?>
<sst xmlns="http://schemas.openxmlformats.org/spreadsheetml/2006/main" count="134" uniqueCount="89">
  <si>
    <t>Pinch Analysis: Thermodynamic and Techno-economic HX Potential</t>
  </si>
  <si>
    <t>1) List temperatures and energy of processes that need heat</t>
  </si>
  <si>
    <t>WW</t>
  </si>
  <si>
    <t>SP</t>
  </si>
  <si>
    <t>Past</t>
  </si>
  <si>
    <t>Ti (F)</t>
  </si>
  <si>
    <t>To (F)</t>
  </si>
  <si>
    <t>Q (MMBtu/hr)</t>
  </si>
  <si>
    <t>Q (kW)</t>
  </si>
  <si>
    <t>Q</t>
  </si>
  <si>
    <t>T(F)</t>
  </si>
  <si>
    <t>Wastewater (from wastewater boilers)</t>
  </si>
  <si>
    <t>Spray dryers</t>
  </si>
  <si>
    <t>Pastuerize</t>
  </si>
  <si>
    <t>Total</t>
  </si>
  <si>
    <t>2) Calculate 'Heating Composite Curve' data</t>
  </si>
  <si>
    <t>Ti</t>
  </si>
  <si>
    <t>To</t>
  </si>
  <si>
    <t>Qeqn</t>
  </si>
  <si>
    <t>(60-35)/(150-35)*71</t>
  </si>
  <si>
    <t>(70-60)/(250-60)*23+(70-60)/(150-35)*71</t>
  </si>
  <si>
    <t>9+(90-70)/(250-60)*23+(90-70)/(150-35)*71</t>
  </si>
  <si>
    <t>(150-90)/(250-60)*23+(150-90)/(150-35)*71</t>
  </si>
  <si>
    <t>(250-150)/(250-60)*23</t>
  </si>
  <si>
    <t>total</t>
  </si>
  <si>
    <t>3) List temperatures and energy of processes that need cooling</t>
  </si>
  <si>
    <t>Waste water</t>
  </si>
  <si>
    <t>kWh/yr</t>
  </si>
  <si>
    <t>x</t>
  </si>
  <si>
    <t>CS</t>
  </si>
  <si>
    <t>Cold Storage</t>
  </si>
  <si>
    <t>cold stor cmps</t>
  </si>
  <si>
    <t>main ref cmps</t>
  </si>
  <si>
    <t>4) Calculate'Cooling Composite Curve' data</t>
  </si>
  <si>
    <t>7+(70-35)/(160-35)*14</t>
  </si>
  <si>
    <t>(95-70)/(160-35)*14</t>
  </si>
  <si>
    <t>(105-95)/(105-95)*87+(105-95)/(160-35)*14</t>
  </si>
  <si>
    <t>(160-105)/(160-35)*14</t>
  </si>
  <si>
    <t>5) Plot heating and cooling composite curves</t>
  </si>
  <si>
    <t>dxh</t>
  </si>
  <si>
    <t>dxc</t>
  </si>
  <si>
    <t>Needs Heating</t>
  </si>
  <si>
    <t>Needs Cooling</t>
  </si>
  <si>
    <t>6) Shift cooling curve until minimum pinch = 10 F</t>
  </si>
  <si>
    <t>x0</t>
  </si>
  <si>
    <t xml:space="preserve">7) Overlap is thermodynamically possible H/C savings by employing HXs </t>
  </si>
  <si>
    <t>Input Data</t>
  </si>
  <si>
    <t>Ql</t>
  </si>
  <si>
    <t>Qh</t>
  </si>
  <si>
    <t>Total 68,080 MMBTU biogas produced in 2020.40% flared out, 60% used in boiler. We are working on projects to send &gt;90% to boiler.</t>
  </si>
  <si>
    <t>Qnc</t>
  </si>
  <si>
    <t>40% flared out, 60% used in boiler. We are working on projects to send &gt;90% to boiler.</t>
  </si>
  <si>
    <t>Qnh</t>
  </si>
  <si>
    <t>Working on projects to send &gt;90% to boiler.</t>
  </si>
  <si>
    <t>Calcs</t>
  </si>
  <si>
    <t>Qhx = Qh-Qh (MMBtu/hr)</t>
  </si>
  <si>
    <t>Qhx/Qnc</t>
  </si>
  <si>
    <t>Qhx/Qnh</t>
  </si>
  <si>
    <t xml:space="preserve">In this case 116-29=87 MMBtu/hr      87/103 =84%ofheat      87/107 =81%ofcool </t>
  </si>
  <si>
    <t>8) Determine actual techno/economic HX savings</t>
  </si>
  <si>
    <t>9) Determine  ratio of techno-economically feasible / thermodynamically feasible savings</t>
  </si>
  <si>
    <t>9) Employ heat pumps to use remainin cooling energy as heat source for remaining heating</t>
  </si>
  <si>
    <t>10) Employ electric resistance, other hps, or biogas for remaining high temp heat requirements</t>
  </si>
  <si>
    <t>dx</t>
  </si>
  <si>
    <t>y</t>
  </si>
  <si>
    <t>Stream Name</t>
  </si>
  <si>
    <t>Stream Type</t>
  </si>
  <si>
    <t>Stream No.</t>
  </si>
  <si>
    <t>Tin</t>
  </si>
  <si>
    <t>Tout</t>
  </si>
  <si>
    <t>mCp</t>
  </si>
  <si>
    <t>°F</t>
  </si>
  <si>
    <t>°C</t>
  </si>
  <si>
    <t>MMBtu/hr</t>
  </si>
  <si>
    <t>MW</t>
  </si>
  <si>
    <t>MJ/hr</t>
  </si>
  <si>
    <t>MMBtu/°F-hr</t>
  </si>
  <si>
    <t>MW/°C</t>
  </si>
  <si>
    <t>MJ/°C-hr</t>
  </si>
  <si>
    <t>Hot Water</t>
  </si>
  <si>
    <t>Scalding Water</t>
  </si>
  <si>
    <t>Compressor Oil</t>
  </si>
  <si>
    <t>Ammonia Desuperheating</t>
  </si>
  <si>
    <t>Ammonia Condensing</t>
  </si>
  <si>
    <t>Waste-Water</t>
  </si>
  <si>
    <t>kW/°C</t>
  </si>
  <si>
    <t>kJ/°C-hr</t>
  </si>
  <si>
    <t>kJ/hr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</si>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</sst>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9" fontId="0" fillId="0" borderId="0" xfId="2" applyFont="1"/>
    <xf numFmtId="0" fontId="2" fillId="2" borderId="0" xfId="0" applyFon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" fontId="2" fillId="2" borderId="0" xfId="0" applyNumberFormat="1" applyFont="1" applyFill="1"/>
    <xf numFmtId="3" fontId="5" fillId="3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Unshifted Cooling and Heating</a:t>
            </a:r>
            <a:r>
              <a:rPr lang="en-US" baseline="0"/>
              <a:t> Composite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'!$G$38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'!$G$39:$G$49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80D-9E80-83FFB077BAA5}"/>
            </c:ext>
          </c:extLst>
        </c:ser>
        <c:ser>
          <c:idx val="1"/>
          <c:order val="1"/>
          <c:tx>
            <c:strRef>
              <c:f>'Pinch '!$H$38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'!$H$39:$H$49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A-480D-9E80-83FFB077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Thermodynamic Energy</a:t>
            </a:r>
            <a:r>
              <a:rPr lang="en-US" baseline="0"/>
              <a:t> Saving </a:t>
            </a:r>
            <a:r>
              <a:rPr lang="en-US"/>
              <a:t>Potential</a:t>
            </a:r>
            <a:r>
              <a:rPr lang="en-US" baseline="0"/>
              <a:t> of </a:t>
            </a:r>
            <a:r>
              <a:rPr lang="en-US"/>
              <a:t>HXs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'!$G$54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'!$G$55:$G$65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E-4B01-A495-A1AAB24E5CDB}"/>
            </c:ext>
          </c:extLst>
        </c:ser>
        <c:ser>
          <c:idx val="1"/>
          <c:order val="1"/>
          <c:tx>
            <c:strRef>
              <c:f>'Pinch '!$H$54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'!$H$55:$H$65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E-4B01-A495-A1AAB24E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'!$J$5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'!$J$7:$J$12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600-8811-398A9559FA6B}"/>
            </c:ext>
          </c:extLst>
        </c:ser>
        <c:ser>
          <c:idx val="1"/>
          <c:order val="1"/>
          <c:tx>
            <c:strRef>
              <c:f>'Pinch '!$K$5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'!$K$7:$K$12</c:f>
              <c:numCache>
                <c:formatCode>General</c:formatCode>
                <c:ptCount val="6"/>
                <c:pt idx="2">
                  <c:v>60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600-8811-398A9559FA6B}"/>
            </c:ext>
          </c:extLst>
        </c:ser>
        <c:ser>
          <c:idx val="2"/>
          <c:order val="2"/>
          <c:tx>
            <c:strRef>
              <c:f>'Pinch '!$L$5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'!$L$7:$L$12</c:f>
              <c:numCache>
                <c:formatCode>General</c:formatCode>
                <c:ptCount val="6"/>
                <c:pt idx="4">
                  <c:v>35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2-4600-8811-398A9559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807"/>
        <c:axId val="69048495"/>
      </c:scatterChart>
      <c:valAx>
        <c:axId val="1433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(MMBtu/hr)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495"/>
        <c:crosses val="autoZero"/>
        <c:crossBetween val="midCat"/>
      </c:valAx>
      <c:valAx>
        <c:axId val="69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'!$J$23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'!$J$24:$J$29</c:f>
              <c:numCache>
                <c:formatCode>General</c:formatCode>
                <c:ptCount val="6"/>
                <c:pt idx="0">
                  <c:v>95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F09-AC95-2B14B21977D3}"/>
            </c:ext>
          </c:extLst>
        </c:ser>
        <c:ser>
          <c:idx val="1"/>
          <c:order val="1"/>
          <c:tx>
            <c:strRef>
              <c:f>'Pinch '!$K$23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'!$K$24:$K$29</c:f>
              <c:numCache>
                <c:formatCode>General</c:formatCode>
                <c:ptCount val="6"/>
                <c:pt idx="2">
                  <c:v>35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5-4F09-AC95-2B14B21977D3}"/>
            </c:ext>
          </c:extLst>
        </c:ser>
        <c:ser>
          <c:idx val="2"/>
          <c:order val="2"/>
          <c:tx>
            <c:strRef>
              <c:f>'Pinch '!$L$23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'!$L$24:$L$29</c:f>
              <c:numCache>
                <c:formatCode>General</c:formatCode>
                <c:ptCount val="6"/>
                <c:pt idx="4">
                  <c:v>35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5-4F09-AC95-2B14B219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711"/>
        <c:axId val="56915615"/>
      </c:scatterChart>
      <c:valAx>
        <c:axId val="1539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615"/>
        <c:crosses val="autoZero"/>
        <c:crossBetween val="midCat"/>
      </c:valAx>
      <c:valAx>
        <c:axId val="569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'!$D$111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'!$C$112:$C$116</c:f>
              <c:numCache>
                <c:formatCode>0</c:formatCode>
                <c:ptCount val="5"/>
                <c:pt idx="0" formatCode="General">
                  <c:v>10</c:v>
                </c:pt>
                <c:pt idx="1">
                  <c:v>20.92</c:v>
                </c:pt>
                <c:pt idx="2">
                  <c:v>23.720000000000002</c:v>
                </c:pt>
                <c:pt idx="3">
                  <c:v>111.84</c:v>
                </c:pt>
                <c:pt idx="4">
                  <c:v>118</c:v>
                </c:pt>
              </c:numCache>
            </c:numRef>
          </c:xVal>
          <c:yVal>
            <c:numRef>
              <c:f>'Pinch '!$D$112:$D$116</c:f>
              <c:numCache>
                <c:formatCode>General</c:formatCode>
                <c:ptCount val="5"/>
                <c:pt idx="0">
                  <c:v>35</c:v>
                </c:pt>
                <c:pt idx="1">
                  <c:v>70</c:v>
                </c:pt>
                <c:pt idx="2">
                  <c:v>95</c:v>
                </c:pt>
                <c:pt idx="3">
                  <c:v>105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E-48BB-87BB-1E1429A5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4176"/>
        <c:axId val="997372256"/>
      </c:scatterChart>
      <c:valAx>
        <c:axId val="9218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2256"/>
        <c:crosses val="autoZero"/>
        <c:crossBetween val="midCat"/>
      </c:valAx>
      <c:valAx>
        <c:axId val="9973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35</xdr:row>
      <xdr:rowOff>100012</xdr:rowOff>
    </xdr:from>
    <xdr:to>
      <xdr:col>19</xdr:col>
      <xdr:colOff>376237</xdr:colOff>
      <xdr:row>49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13417-CDD2-4664-B91B-6F27121C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588065</xdr:colOff>
      <xdr:row>52</xdr:row>
      <xdr:rowOff>140804</xdr:rowOff>
    </xdr:from>
    <xdr:to>
      <xdr:col>19</xdr:col>
      <xdr:colOff>279952</xdr:colOff>
      <xdr:row>67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C6F0D-4FB7-4844-A848-5E8C9EFAE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421171</xdr:colOff>
      <xdr:row>56</xdr:row>
      <xdr:rowOff>44730</xdr:rowOff>
    </xdr:from>
    <xdr:to>
      <xdr:col>18</xdr:col>
      <xdr:colOff>505239</xdr:colOff>
      <xdr:row>56</xdr:row>
      <xdr:rowOff>173935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E20BF9D-739A-42CF-9C27-551465B7C7E5}"/>
            </a:ext>
          </a:extLst>
        </xdr:cNvPr>
        <xdr:cNvCxnSpPr/>
      </xdr:nvCxnSpPr>
      <xdr:spPr>
        <a:xfrm flipH="1" flipV="1">
          <a:off x="16737496" y="10712730"/>
          <a:ext cx="84068" cy="129205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229014</xdr:colOff>
      <xdr:row>56</xdr:row>
      <xdr:rowOff>125482</xdr:rowOff>
    </xdr:from>
    <xdr:ext cx="55733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83B14E-76CC-48DF-B042-75C0D7D73E0F}"/>
            </a:ext>
          </a:extLst>
        </xdr:cNvPr>
        <xdr:cNvSpPr txBox="1"/>
      </xdr:nvSpPr>
      <xdr:spPr>
        <a:xfrm>
          <a:off x="16545339" y="10793482"/>
          <a:ext cx="5573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Biogas</a:t>
          </a:r>
        </a:p>
      </xdr:txBody>
    </xdr:sp>
    <xdr:clientData/>
  </xdr:oneCellAnchor>
  <xdr:twoCellAnchor>
    <xdr:from>
      <xdr:col>16</xdr:col>
      <xdr:colOff>488676</xdr:colOff>
      <xdr:row>59</xdr:row>
      <xdr:rowOff>82826</xdr:rowOff>
    </xdr:from>
    <xdr:to>
      <xdr:col>17</xdr:col>
      <xdr:colOff>604630</xdr:colOff>
      <xdr:row>59</xdr:row>
      <xdr:rowOff>140806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2F0D254-D931-4FDE-8EAB-442D861CF342}"/>
            </a:ext>
          </a:extLst>
        </xdr:cNvPr>
        <xdr:cNvCxnSpPr/>
      </xdr:nvCxnSpPr>
      <xdr:spPr>
        <a:xfrm flipH="1">
          <a:off x="15585801" y="11322326"/>
          <a:ext cx="725554" cy="5798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546654</xdr:colOff>
      <xdr:row>58</xdr:row>
      <xdr:rowOff>140803</xdr:rowOff>
    </xdr:from>
    <xdr:ext cx="629477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62CB2F-63E2-42F0-B5A6-9FA7A22BCE81}"/>
            </a:ext>
          </a:extLst>
        </xdr:cNvPr>
        <xdr:cNvSpPr txBox="1"/>
      </xdr:nvSpPr>
      <xdr:spPr>
        <a:xfrm>
          <a:off x="16253379" y="11189803"/>
          <a:ext cx="6294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</a:rPr>
            <a:t>'Pinch'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r>
            <a:rPr lang="en-US" sz="1100">
              <a:solidFill>
                <a:schemeClr val="tx1"/>
              </a:solidFill>
            </a:rPr>
            <a:t>=10 F</a:t>
          </a:r>
        </a:p>
      </xdr:txBody>
    </xdr:sp>
    <xdr:clientData/>
  </xdr:oneCellAnchor>
  <xdr:twoCellAnchor>
    <xdr:from>
      <xdr:col>12</xdr:col>
      <xdr:colOff>151433</xdr:colOff>
      <xdr:row>3</xdr:row>
      <xdr:rowOff>47419</xdr:rowOff>
    </xdr:from>
    <xdr:to>
      <xdr:col>19</xdr:col>
      <xdr:colOff>456233</xdr:colOff>
      <xdr:row>18</xdr:row>
      <xdr:rowOff>123618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B468A-D323-4D05-BB67-82C722B4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</xdr:colOff>
      <xdr:row>20</xdr:row>
      <xdr:rowOff>14287</xdr:rowOff>
    </xdr:from>
    <xdr:to>
      <xdr:col>19</xdr:col>
      <xdr:colOff>414337</xdr:colOff>
      <xdr:row>34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5871E-3012-46BD-AFBB-F3358146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94</xdr:row>
      <xdr:rowOff>0</xdr:rowOff>
    </xdr:from>
    <xdr:to>
      <xdr:col>9</xdr:col>
      <xdr:colOff>298174</xdr:colOff>
      <xdr:row>103</xdr:row>
      <xdr:rowOff>154030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9F2593-08E7-4C8D-AD0B-DC9F281E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1000" y="17907000"/>
          <a:ext cx="3127099" cy="1868530"/>
        </a:xfrm>
        <a:prstGeom prst="rect">
          <a:avLst/>
        </a:prstGeom>
      </xdr:spPr>
    </xdr:pic>
    <xdr:clientData/>
  </xdr:twoCellAnchor>
  <xdr:twoCellAnchor>
    <xdr:from>
      <xdr:col>5</xdr:col>
      <xdr:colOff>16564</xdr:colOff>
      <xdr:row>102</xdr:row>
      <xdr:rowOff>61292</xdr:rowOff>
    </xdr:from>
    <xdr:to>
      <xdr:col>11</xdr:col>
      <xdr:colOff>530086</xdr:colOff>
      <xdr:row>116</xdr:row>
      <xdr:rowOff>137492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C3E30-29EE-4F9A-8E08-289C0CEA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115957</xdr:colOff>
      <xdr:row>59</xdr:row>
      <xdr:rowOff>124239</xdr:rowOff>
    </xdr:from>
    <xdr:to>
      <xdr:col>15</xdr:col>
      <xdr:colOff>115957</xdr:colOff>
      <xdr:row>64</xdr:row>
      <xdr:rowOff>33130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76254D3-52EF-4FFE-AE7D-85FEB795BE61}"/>
            </a:ext>
          </a:extLst>
        </xdr:cNvPr>
        <xdr:cNvCxnSpPr/>
      </xdr:nvCxnSpPr>
      <xdr:spPr>
        <a:xfrm>
          <a:off x="14603482" y="11363739"/>
          <a:ext cx="0" cy="861391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596348</xdr:colOff>
      <xdr:row>57</xdr:row>
      <xdr:rowOff>173935</xdr:rowOff>
    </xdr:from>
    <xdr:to>
      <xdr:col>16</xdr:col>
      <xdr:colOff>604631</xdr:colOff>
      <xdr:row>64</xdr:row>
      <xdr:rowOff>8283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1C8254A-7F74-4C35-B705-BD585E7BDC19}"/>
            </a:ext>
          </a:extLst>
        </xdr:cNvPr>
        <xdr:cNvCxnSpPr/>
      </xdr:nvCxnSpPr>
      <xdr:spPr>
        <a:xfrm>
          <a:off x="15693473" y="11032435"/>
          <a:ext cx="8283" cy="1167848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91109</xdr:colOff>
      <xdr:row>57</xdr:row>
      <xdr:rowOff>41413</xdr:rowOff>
    </xdr:from>
    <xdr:to>
      <xdr:col>18</xdr:col>
      <xdr:colOff>223631</xdr:colOff>
      <xdr:row>59</xdr:row>
      <xdr:rowOff>157371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25741535-8D65-4F58-9CB8-CAF08FE5499E}"/>
            </a:ext>
          </a:extLst>
        </xdr:cNvPr>
        <xdr:cNvCxnSpPr/>
      </xdr:nvCxnSpPr>
      <xdr:spPr>
        <a:xfrm flipV="1">
          <a:off x="13969034" y="10899913"/>
          <a:ext cx="2570922" cy="496958"/>
        </a:xfrm>
        <a:prstGeom prst="bentConnector3">
          <a:avLst>
            <a:gd name="adj1" fmla="val -320"/>
          </a:avLst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582266</xdr:colOff>
      <xdr:row>55</xdr:row>
      <xdr:rowOff>166482</xdr:rowOff>
    </xdr:from>
    <xdr:ext cx="40062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695FF1-4102-400F-97E9-22F460AD5D59}"/>
            </a:ext>
          </a:extLst>
        </xdr:cNvPr>
        <xdr:cNvSpPr txBox="1"/>
      </xdr:nvSpPr>
      <xdr:spPr>
        <a:xfrm>
          <a:off x="13850591" y="10643982"/>
          <a:ext cx="400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HPs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0.7341</cdr:y>
    </cdr:from>
    <cdr:to>
      <cdr:x>0.63183</cdr:x>
      <cdr:y>0.83054</cdr:y>
    </cdr:to>
    <cdr:sp macro="" textlink="">
      <cdr:nvSpPr>
        <cdr:cNvPr id="2" name="TextBox 28">
          <a:extLst xmlns:a="http://schemas.openxmlformats.org/drawingml/2006/main">
            <a:ext uri="{FF2B5EF4-FFF2-40B4-BE49-F238E27FC236}">
              <a16:creationId xmlns:a16="http://schemas.microsoft.com/office/drawing/2014/main" id="{88F8DB44-D480-4364-802E-01762CDA74A3}"/>
            </a:ext>
          </a:extLst>
        </cdr:cNvPr>
        <cdr:cNvSpPr txBox="1"/>
      </cdr:nvSpPr>
      <cdr:spPr>
        <a:xfrm xmlns:a="http://schemas.openxmlformats.org/drawingml/2006/main">
          <a:off x="2502452" y="2013779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7030A0"/>
              </a:solidFill>
            </a:rPr>
            <a:t>HXs</a:t>
          </a:r>
        </a:p>
      </cdr:txBody>
    </cdr:sp>
  </cdr:relSizeAnchor>
  <cdr:relSizeAnchor xmlns:cdr="http://schemas.openxmlformats.org/drawingml/2006/chartDrawing">
    <cdr:from>
      <cdr:x>0.5912</cdr:x>
      <cdr:y>0.77899</cdr:y>
    </cdr:from>
    <cdr:to>
      <cdr:x>0.67231</cdr:x>
      <cdr:y>0.782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D00F57-9BE9-4283-B89C-6B7390A30ACE}"/>
            </a:ext>
          </a:extLst>
        </cdr:cNvPr>
        <cdr:cNvCxnSpPr/>
      </cdr:nvCxnSpPr>
      <cdr:spPr>
        <a:xfrm xmlns:a="http://schemas.openxmlformats.org/drawingml/2006/main" flipV="1">
          <a:off x="2716696" y="2136913"/>
          <a:ext cx="372717" cy="82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0.42718</cdr:x>
      <cdr:y>0.77899</cdr:y>
    </cdr:from>
    <cdr:to>
      <cdr:x>0.55335</cdr:x>
      <cdr:y>0.782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8578947D-F3C9-4C29-A32C-87E6341F09E6}"/>
            </a:ext>
          </a:extLst>
        </cdr:cNvPr>
        <cdr:cNvCxnSpPr/>
      </cdr:nvCxnSpPr>
      <cdr:spPr>
        <a:xfrm xmlns:a="http://schemas.openxmlformats.org/drawingml/2006/main" flipH="1">
          <a:off x="1962978" y="2136914"/>
          <a:ext cx="579784" cy="82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2637-142C-40F1-8761-CA3BEC90A544}">
  <dimension ref="A1:M116"/>
  <sheetViews>
    <sheetView zoomScaleNormal="100" workbookViewId="0">
      <selection activeCell="D7" sqref="D7:D9"/>
    </sheetView>
  </sheetViews>
  <sheetFormatPr defaultRowHeight="14.5" x14ac:dyDescent="0.35"/>
  <cols>
    <col min="1" max="1" width="33.54296875" customWidth="1"/>
    <col min="4" max="4" width="13.7265625" customWidth="1"/>
    <col min="5" max="5" width="54.453125" customWidth="1"/>
    <col min="6" max="6" width="12.453125" customWidth="1"/>
    <col min="7" max="7" width="11.7265625" customWidth="1"/>
  </cols>
  <sheetData>
    <row r="1" spans="1:12" x14ac:dyDescent="0.35">
      <c r="A1" s="1" t="s">
        <v>0</v>
      </c>
    </row>
    <row r="5" spans="1:12" x14ac:dyDescent="0.35">
      <c r="A5" s="9" t="s">
        <v>1</v>
      </c>
      <c r="B5" s="10"/>
      <c r="C5" s="10"/>
      <c r="D5" s="10"/>
      <c r="J5" t="s">
        <v>2</v>
      </c>
      <c r="K5" t="s">
        <v>3</v>
      </c>
      <c r="L5" t="s">
        <v>4</v>
      </c>
    </row>
    <row r="6" spans="1:12" x14ac:dyDescent="0.35">
      <c r="A6" s="10"/>
      <c r="B6" s="10" t="s">
        <v>5</v>
      </c>
      <c r="C6" s="10" t="s">
        <v>6</v>
      </c>
      <c r="D6" s="10" t="s">
        <v>7</v>
      </c>
      <c r="E6" s="2" t="s">
        <v>8</v>
      </c>
      <c r="I6" t="s">
        <v>9</v>
      </c>
      <c r="J6" t="s">
        <v>10</v>
      </c>
      <c r="K6" t="s">
        <v>10</v>
      </c>
      <c r="L6" t="s">
        <v>10</v>
      </c>
    </row>
    <row r="7" spans="1:12" x14ac:dyDescent="0.35">
      <c r="A7" s="10" t="s">
        <v>11</v>
      </c>
      <c r="B7" s="10">
        <v>70</v>
      </c>
      <c r="C7" s="10">
        <v>90</v>
      </c>
      <c r="D7" s="10">
        <v>9</v>
      </c>
      <c r="E7" s="3">
        <f>D7*(10^6)/3412</f>
        <v>2637.7491207502931</v>
      </c>
      <c r="I7">
        <v>0</v>
      </c>
      <c r="J7">
        <v>70</v>
      </c>
    </row>
    <row r="8" spans="1:12" x14ac:dyDescent="0.35">
      <c r="A8" s="10" t="s">
        <v>12</v>
      </c>
      <c r="B8" s="10">
        <v>60</v>
      </c>
      <c r="C8" s="10">
        <v>250</v>
      </c>
      <c r="D8" s="10">
        <v>23</v>
      </c>
      <c r="E8" s="3">
        <f t="shared" ref="E8:E9" si="0">D8*(10^6)/3412</f>
        <v>6740.9144196951938</v>
      </c>
      <c r="I8">
        <v>9</v>
      </c>
      <c r="J8">
        <v>90</v>
      </c>
    </row>
    <row r="9" spans="1:12" x14ac:dyDescent="0.35">
      <c r="A9" s="10" t="s">
        <v>13</v>
      </c>
      <c r="B9" s="10">
        <v>35</v>
      </c>
      <c r="C9" s="10">
        <v>150</v>
      </c>
      <c r="D9" s="10">
        <v>71</v>
      </c>
      <c r="E9" s="3">
        <f t="shared" si="0"/>
        <v>20808.909730363423</v>
      </c>
      <c r="I9">
        <v>0</v>
      </c>
      <c r="K9">
        <v>60</v>
      </c>
    </row>
    <row r="10" spans="1:12" x14ac:dyDescent="0.35">
      <c r="A10" s="1" t="s">
        <v>14</v>
      </c>
      <c r="B10" s="1"/>
      <c r="C10" s="1"/>
      <c r="D10" s="4">
        <f>SUM(D7:D9)</f>
        <v>103</v>
      </c>
      <c r="E10" s="3">
        <f>SUM(E7:E9)</f>
        <v>30187.573270808909</v>
      </c>
      <c r="I10">
        <v>23</v>
      </c>
      <c r="K10">
        <v>250</v>
      </c>
    </row>
    <row r="11" spans="1:12" x14ac:dyDescent="0.35">
      <c r="I11">
        <v>0</v>
      </c>
      <c r="L11">
        <v>35</v>
      </c>
    </row>
    <row r="12" spans="1:12" x14ac:dyDescent="0.35">
      <c r="A12" s="1" t="s">
        <v>15</v>
      </c>
      <c r="I12">
        <v>71</v>
      </c>
      <c r="L12">
        <v>150</v>
      </c>
    </row>
    <row r="13" spans="1:12" x14ac:dyDescent="0.35">
      <c r="C13" t="s">
        <v>16</v>
      </c>
      <c r="D13" t="s">
        <v>17</v>
      </c>
      <c r="E13" t="s">
        <v>18</v>
      </c>
      <c r="F13" t="s">
        <v>9</v>
      </c>
    </row>
    <row r="14" spans="1:12" x14ac:dyDescent="0.35">
      <c r="C14">
        <v>35</v>
      </c>
      <c r="D14">
        <v>60</v>
      </c>
      <c r="E14" t="s">
        <v>19</v>
      </c>
      <c r="F14" s="5">
        <f>(60-35)/(150-35)*71</f>
        <v>15.434782608695652</v>
      </c>
    </row>
    <row r="15" spans="1:12" x14ac:dyDescent="0.35">
      <c r="C15">
        <v>60</v>
      </c>
      <c r="D15">
        <v>70</v>
      </c>
      <c r="E15" t="s">
        <v>20</v>
      </c>
      <c r="F15" s="5">
        <f>(70-60)/(250-60)*23+(70-60)/(150-35)*71</f>
        <v>7.3844393592677342</v>
      </c>
    </row>
    <row r="16" spans="1:12" x14ac:dyDescent="0.35">
      <c r="C16">
        <v>70</v>
      </c>
      <c r="D16">
        <v>90</v>
      </c>
      <c r="E16" t="s">
        <v>21</v>
      </c>
      <c r="F16" s="5">
        <f>9+(90-70)/(250-60)*23+(90-70)/(150-35)*71</f>
        <v>23.768878718535468</v>
      </c>
    </row>
    <row r="17" spans="1:12" x14ac:dyDescent="0.35">
      <c r="C17">
        <v>90</v>
      </c>
      <c r="D17">
        <v>150</v>
      </c>
      <c r="E17" t="s">
        <v>22</v>
      </c>
      <c r="F17" s="5">
        <f>(150-90)/(250-60)*23+(150-90)/(150-35)*71</f>
        <v>44.306636155606405</v>
      </c>
    </row>
    <row r="18" spans="1:12" x14ac:dyDescent="0.35">
      <c r="C18">
        <v>150</v>
      </c>
      <c r="D18">
        <v>250</v>
      </c>
      <c r="E18" t="s">
        <v>23</v>
      </c>
      <c r="F18" s="5">
        <f>(250-150)/(250-60)*23</f>
        <v>12.105263157894736</v>
      </c>
    </row>
    <row r="19" spans="1:12" x14ac:dyDescent="0.35">
      <c r="E19" t="s">
        <v>24</v>
      </c>
      <c r="F19" s="5">
        <f>SUM(F14:F18)</f>
        <v>103</v>
      </c>
    </row>
    <row r="20" spans="1:12" x14ac:dyDescent="0.35">
      <c r="F20" s="5"/>
    </row>
    <row r="21" spans="1:12" x14ac:dyDescent="0.35">
      <c r="A21" s="9" t="s">
        <v>25</v>
      </c>
      <c r="B21" s="10"/>
      <c r="C21" s="10"/>
      <c r="D21" s="10"/>
    </row>
    <row r="22" spans="1:12" x14ac:dyDescent="0.35">
      <c r="A22" s="10"/>
      <c r="B22" s="10" t="s">
        <v>16</v>
      </c>
      <c r="C22" s="10" t="s">
        <v>17</v>
      </c>
      <c r="D22" s="10" t="s">
        <v>7</v>
      </c>
    </row>
    <row r="23" spans="1:12" x14ac:dyDescent="0.35">
      <c r="A23" s="10" t="s">
        <v>26</v>
      </c>
      <c r="B23" s="10">
        <v>105</v>
      </c>
      <c r="C23" s="10">
        <v>95</v>
      </c>
      <c r="D23" s="11">
        <f>25000000*8.34/24*1*10/1000000</f>
        <v>86.875</v>
      </c>
      <c r="F23" t="s">
        <v>27</v>
      </c>
      <c r="I23" t="s">
        <v>28</v>
      </c>
      <c r="J23" t="s">
        <v>2</v>
      </c>
      <c r="K23" t="s">
        <v>29</v>
      </c>
      <c r="L23" t="s">
        <v>4</v>
      </c>
    </row>
    <row r="24" spans="1:12" x14ac:dyDescent="0.35">
      <c r="A24" s="10" t="s">
        <v>30</v>
      </c>
      <c r="B24" s="10">
        <v>70</v>
      </c>
      <c r="C24" s="10">
        <v>35</v>
      </c>
      <c r="D24" s="12">
        <f>4113391*4.4/8760*3412/1000000</f>
        <v>7.0494881740639279</v>
      </c>
      <c r="E24" s="6" t="s">
        <v>31</v>
      </c>
      <c r="F24" s="6">
        <v>4113391.3043478257</v>
      </c>
      <c r="I24">
        <v>0</v>
      </c>
      <c r="J24">
        <v>95</v>
      </c>
    </row>
    <row r="25" spans="1:12" x14ac:dyDescent="0.35">
      <c r="A25" s="10" t="s">
        <v>13</v>
      </c>
      <c r="B25" s="10">
        <v>160</v>
      </c>
      <c r="C25" s="10">
        <v>35</v>
      </c>
      <c r="D25" s="12">
        <f>7884000*4.4/8760*3412/1000000</f>
        <v>13.511520000000001</v>
      </c>
      <c r="E25" t="s">
        <v>32</v>
      </c>
      <c r="F25" s="6">
        <v>7884000</v>
      </c>
      <c r="I25">
        <v>87</v>
      </c>
      <c r="J25">
        <v>105</v>
      </c>
    </row>
    <row r="26" spans="1:12" x14ac:dyDescent="0.35">
      <c r="A26" s="9" t="s">
        <v>14</v>
      </c>
      <c r="B26" s="9"/>
      <c r="C26" s="9"/>
      <c r="D26" s="13">
        <f>SUM(D23:D25)</f>
        <v>107.43600817406393</v>
      </c>
      <c r="I26">
        <v>0</v>
      </c>
      <c r="K26">
        <v>35</v>
      </c>
    </row>
    <row r="27" spans="1:12" x14ac:dyDescent="0.35">
      <c r="I27">
        <v>7</v>
      </c>
      <c r="K27">
        <v>70</v>
      </c>
    </row>
    <row r="28" spans="1:12" x14ac:dyDescent="0.35">
      <c r="A28" s="1" t="s">
        <v>33</v>
      </c>
      <c r="I28">
        <v>0</v>
      </c>
      <c r="L28">
        <v>35</v>
      </c>
    </row>
    <row r="29" spans="1:12" x14ac:dyDescent="0.35">
      <c r="C29" t="s">
        <v>16</v>
      </c>
      <c r="D29" t="s">
        <v>17</v>
      </c>
      <c r="E29" t="s">
        <v>18</v>
      </c>
      <c r="F29" t="s">
        <v>9</v>
      </c>
      <c r="I29">
        <v>14</v>
      </c>
      <c r="L29">
        <v>160</v>
      </c>
    </row>
    <row r="30" spans="1:12" x14ac:dyDescent="0.35">
      <c r="C30">
        <v>70</v>
      </c>
      <c r="D30">
        <v>35</v>
      </c>
      <c r="E30" t="s">
        <v>34</v>
      </c>
      <c r="F30" s="5">
        <f>7+(70-35)/(160-35)*14</f>
        <v>10.92</v>
      </c>
    </row>
    <row r="31" spans="1:12" x14ac:dyDescent="0.35">
      <c r="C31">
        <v>95</v>
      </c>
      <c r="D31">
        <v>70</v>
      </c>
      <c r="E31" t="s">
        <v>35</v>
      </c>
      <c r="F31" s="5">
        <f>(95-70)/(160-35)*14</f>
        <v>2.8000000000000003</v>
      </c>
    </row>
    <row r="32" spans="1:12" x14ac:dyDescent="0.35">
      <c r="C32">
        <v>105</v>
      </c>
      <c r="D32">
        <v>95</v>
      </c>
      <c r="E32" t="s">
        <v>36</v>
      </c>
      <c r="F32" s="5">
        <f>(105-95)/(105-95)*87+(105-95)/(160-35)*14</f>
        <v>88.12</v>
      </c>
    </row>
    <row r="33" spans="1:8" x14ac:dyDescent="0.35">
      <c r="C33">
        <v>160</v>
      </c>
      <c r="D33">
        <v>105</v>
      </c>
      <c r="E33" t="s">
        <v>37</v>
      </c>
      <c r="F33" s="5">
        <f>(160-105)/(160-35)*14</f>
        <v>6.16</v>
      </c>
    </row>
    <row r="34" spans="1:8" x14ac:dyDescent="0.35">
      <c r="F34">
        <f>SUM(F30:F33)</f>
        <v>108</v>
      </c>
    </row>
    <row r="37" spans="1:8" x14ac:dyDescent="0.35">
      <c r="A37" s="1" t="s">
        <v>38</v>
      </c>
    </row>
    <row r="38" spans="1:8" x14ac:dyDescent="0.35">
      <c r="B38" t="s">
        <v>39</v>
      </c>
      <c r="C38" t="s">
        <v>40</v>
      </c>
      <c r="F38" t="s">
        <v>28</v>
      </c>
      <c r="G38" t="s">
        <v>41</v>
      </c>
      <c r="H38" t="s">
        <v>42</v>
      </c>
    </row>
    <row r="39" spans="1:8" x14ac:dyDescent="0.35">
      <c r="B39">
        <v>0</v>
      </c>
      <c r="F39" s="5">
        <f>10+B39</f>
        <v>10</v>
      </c>
      <c r="G39">
        <v>35</v>
      </c>
    </row>
    <row r="40" spans="1:8" x14ac:dyDescent="0.35">
      <c r="B40" s="5">
        <v>15.434782608695652</v>
      </c>
      <c r="F40" s="5">
        <f>F39+B40</f>
        <v>25.434782608695652</v>
      </c>
      <c r="G40">
        <v>60</v>
      </c>
    </row>
    <row r="41" spans="1:8" x14ac:dyDescent="0.35">
      <c r="B41" s="5">
        <v>7.3844393592677342</v>
      </c>
      <c r="F41" s="5">
        <f>F40+B41</f>
        <v>32.819221967963387</v>
      </c>
      <c r="G41">
        <v>70</v>
      </c>
    </row>
    <row r="42" spans="1:8" x14ac:dyDescent="0.35">
      <c r="B42" s="5">
        <v>23.768878718535468</v>
      </c>
      <c r="F42" s="5">
        <f>F41+B42</f>
        <v>56.588100686498855</v>
      </c>
      <c r="G42">
        <v>90</v>
      </c>
    </row>
    <row r="43" spans="1:8" x14ac:dyDescent="0.35">
      <c r="B43" s="5">
        <v>44.306636155606405</v>
      </c>
      <c r="F43" s="5">
        <f>F42+B43</f>
        <v>100.89473684210526</v>
      </c>
      <c r="G43">
        <v>150</v>
      </c>
    </row>
    <row r="44" spans="1:8" x14ac:dyDescent="0.35">
      <c r="B44" s="5">
        <v>12.105263157894736</v>
      </c>
      <c r="F44" s="5">
        <f>F43+B44</f>
        <v>113</v>
      </c>
      <c r="G44">
        <v>250</v>
      </c>
    </row>
    <row r="45" spans="1:8" x14ac:dyDescent="0.35">
      <c r="C45" s="5">
        <v>0</v>
      </c>
      <c r="F45" s="5">
        <f>10+C45</f>
        <v>10</v>
      </c>
      <c r="H45">
        <v>35</v>
      </c>
    </row>
    <row r="46" spans="1:8" x14ac:dyDescent="0.35">
      <c r="C46" s="5">
        <v>10.92</v>
      </c>
      <c r="F46" s="5">
        <f>F45+C46</f>
        <v>20.92</v>
      </c>
      <c r="H46">
        <v>70</v>
      </c>
    </row>
    <row r="47" spans="1:8" x14ac:dyDescent="0.35">
      <c r="C47" s="5">
        <v>2.8000000000000003</v>
      </c>
      <c r="F47" s="5">
        <f>F46+C47</f>
        <v>23.720000000000002</v>
      </c>
      <c r="H47">
        <v>95</v>
      </c>
    </row>
    <row r="48" spans="1:8" x14ac:dyDescent="0.35">
      <c r="C48" s="5">
        <v>88.12</v>
      </c>
      <c r="F48" s="5">
        <f>F47+C48</f>
        <v>111.84</v>
      </c>
      <c r="H48">
        <v>105</v>
      </c>
    </row>
    <row r="49" spans="1:8" x14ac:dyDescent="0.35">
      <c r="C49" s="5">
        <v>6.16</v>
      </c>
      <c r="F49" s="5">
        <f>F48+C49</f>
        <v>118</v>
      </c>
      <c r="H49">
        <v>160</v>
      </c>
    </row>
    <row r="53" spans="1:8" x14ac:dyDescent="0.35">
      <c r="A53" s="1" t="s">
        <v>43</v>
      </c>
    </row>
    <row r="54" spans="1:8" x14ac:dyDescent="0.35">
      <c r="A54" t="s">
        <v>44</v>
      </c>
      <c r="B54" t="s">
        <v>39</v>
      </c>
      <c r="C54" t="s">
        <v>40</v>
      </c>
      <c r="F54" t="s">
        <v>28</v>
      </c>
      <c r="G54" t="s">
        <v>41</v>
      </c>
      <c r="H54" t="s">
        <v>42</v>
      </c>
    </row>
    <row r="55" spans="1:8" x14ac:dyDescent="0.35">
      <c r="B55">
        <v>0</v>
      </c>
      <c r="F55" s="5">
        <v>65</v>
      </c>
      <c r="G55">
        <v>35</v>
      </c>
    </row>
    <row r="56" spans="1:8" x14ac:dyDescent="0.35">
      <c r="B56" s="5">
        <v>15.434782608695652</v>
      </c>
      <c r="F56" s="5">
        <f>F55+B56</f>
        <v>80.434782608695656</v>
      </c>
      <c r="G56">
        <v>60</v>
      </c>
    </row>
    <row r="57" spans="1:8" x14ac:dyDescent="0.35">
      <c r="B57" s="5">
        <v>7.3844393592677342</v>
      </c>
      <c r="F57" s="5">
        <f>F56+B57</f>
        <v>87.819221967963387</v>
      </c>
      <c r="G57">
        <v>70</v>
      </c>
    </row>
    <row r="58" spans="1:8" x14ac:dyDescent="0.35">
      <c r="B58" s="5">
        <v>23.768878718535468</v>
      </c>
      <c r="F58" s="5">
        <f>F57+B58</f>
        <v>111.58810068649885</v>
      </c>
      <c r="G58">
        <v>90</v>
      </c>
    </row>
    <row r="59" spans="1:8" x14ac:dyDescent="0.35">
      <c r="B59" s="5">
        <v>44.306636155606405</v>
      </c>
      <c r="F59" s="5">
        <f>F58+B59</f>
        <v>155.89473684210526</v>
      </c>
      <c r="G59">
        <v>150</v>
      </c>
    </row>
    <row r="60" spans="1:8" x14ac:dyDescent="0.35">
      <c r="B60" s="5">
        <v>12.105263157894736</v>
      </c>
      <c r="F60" s="5">
        <f>F59+B60</f>
        <v>168</v>
      </c>
      <c r="G60">
        <v>250</v>
      </c>
    </row>
    <row r="61" spans="1:8" x14ac:dyDescent="0.35">
      <c r="C61" s="5">
        <v>0</v>
      </c>
      <c r="F61" s="5">
        <f>10+C61</f>
        <v>10</v>
      </c>
      <c r="H61">
        <v>35</v>
      </c>
    </row>
    <row r="62" spans="1:8" x14ac:dyDescent="0.35">
      <c r="C62" s="5">
        <v>10.92</v>
      </c>
      <c r="F62" s="5">
        <f>F61+C62</f>
        <v>20.92</v>
      </c>
      <c r="H62">
        <v>70</v>
      </c>
    </row>
    <row r="63" spans="1:8" x14ac:dyDescent="0.35">
      <c r="C63" s="5">
        <v>2.8000000000000003</v>
      </c>
      <c r="F63" s="5">
        <f>F62+C63</f>
        <v>23.720000000000002</v>
      </c>
      <c r="H63">
        <v>95</v>
      </c>
    </row>
    <row r="64" spans="1:8" x14ac:dyDescent="0.35">
      <c r="C64" s="5">
        <v>88.12</v>
      </c>
      <c r="F64" s="5">
        <f>F63+C64</f>
        <v>111.84</v>
      </c>
      <c r="H64">
        <v>105</v>
      </c>
    </row>
    <row r="65" spans="1:13" x14ac:dyDescent="0.35">
      <c r="C65" s="5">
        <v>6.16</v>
      </c>
      <c r="F65" s="5">
        <f>F64+C65</f>
        <v>118</v>
      </c>
      <c r="H65">
        <v>160</v>
      </c>
    </row>
    <row r="66" spans="1:13" x14ac:dyDescent="0.35">
      <c r="A66" s="1" t="s">
        <v>45</v>
      </c>
    </row>
    <row r="67" spans="1:13" x14ac:dyDescent="0.35">
      <c r="A67" s="1" t="s">
        <v>46</v>
      </c>
      <c r="G67">
        <f>116-29</f>
        <v>87</v>
      </c>
    </row>
    <row r="68" spans="1:13" x14ac:dyDescent="0.35">
      <c r="A68" t="s">
        <v>47</v>
      </c>
      <c r="B68">
        <v>64</v>
      </c>
      <c r="G68">
        <f>G67/103</f>
        <v>0.84466019417475724</v>
      </c>
    </row>
    <row r="69" spans="1:13" x14ac:dyDescent="0.35">
      <c r="A69" t="s">
        <v>48</v>
      </c>
      <c r="B69">
        <v>118</v>
      </c>
      <c r="G69">
        <f>G67/107</f>
        <v>0.81308411214953269</v>
      </c>
      <c r="M69" s="7" t="s">
        <v>49</v>
      </c>
    </row>
    <row r="70" spans="1:13" x14ac:dyDescent="0.35">
      <c r="A70" t="s">
        <v>50</v>
      </c>
      <c r="B70">
        <v>107</v>
      </c>
      <c r="M70" s="7" t="s">
        <v>51</v>
      </c>
    </row>
    <row r="71" spans="1:13" x14ac:dyDescent="0.35">
      <c r="A71" t="s">
        <v>52</v>
      </c>
      <c r="B71">
        <v>103</v>
      </c>
      <c r="L71" s="7"/>
      <c r="M71" s="7" t="s">
        <v>53</v>
      </c>
    </row>
    <row r="72" spans="1:13" x14ac:dyDescent="0.35">
      <c r="A72" s="1" t="s">
        <v>54</v>
      </c>
    </row>
    <row r="73" spans="1:13" x14ac:dyDescent="0.35">
      <c r="A73" t="s">
        <v>55</v>
      </c>
      <c r="B73">
        <f>B69-B68</f>
        <v>54</v>
      </c>
    </row>
    <row r="74" spans="1:13" x14ac:dyDescent="0.35">
      <c r="A74" t="s">
        <v>56</v>
      </c>
      <c r="B74" s="8">
        <f>B73/B70</f>
        <v>0.50467289719626163</v>
      </c>
    </row>
    <row r="75" spans="1:13" x14ac:dyDescent="0.35">
      <c r="A75" t="s">
        <v>57</v>
      </c>
      <c r="B75" s="8">
        <f>B73/B71</f>
        <v>0.52427184466019416</v>
      </c>
    </row>
    <row r="77" spans="1:13" x14ac:dyDescent="0.35">
      <c r="A77" s="1" t="s">
        <v>58</v>
      </c>
    </row>
    <row r="79" spans="1:13" x14ac:dyDescent="0.35">
      <c r="A79" s="1" t="s">
        <v>59</v>
      </c>
    </row>
    <row r="81" spans="1:6" x14ac:dyDescent="0.35">
      <c r="A81" s="1" t="s">
        <v>60</v>
      </c>
    </row>
    <row r="83" spans="1:6" x14ac:dyDescent="0.35">
      <c r="A83" s="1" t="s">
        <v>61</v>
      </c>
    </row>
    <row r="85" spans="1:6" x14ac:dyDescent="0.35">
      <c r="A85" s="1" t="s">
        <v>62</v>
      </c>
    </row>
    <row r="94" spans="1:6" x14ac:dyDescent="0.35">
      <c r="E94" s="5"/>
    </row>
    <row r="95" spans="1:6" x14ac:dyDescent="0.35">
      <c r="E95" s="5"/>
      <c r="F95" s="5"/>
    </row>
    <row r="96" spans="1:6" x14ac:dyDescent="0.35">
      <c r="E96" s="5"/>
      <c r="F96" s="5"/>
    </row>
    <row r="97" spans="2:6" x14ac:dyDescent="0.35">
      <c r="E97" s="5"/>
      <c r="F97" s="5"/>
    </row>
    <row r="98" spans="2:6" x14ac:dyDescent="0.35">
      <c r="E98" s="5"/>
      <c r="F98" s="5"/>
    </row>
    <row r="99" spans="2:6" x14ac:dyDescent="0.35">
      <c r="E99" s="5"/>
      <c r="F99" s="5"/>
    </row>
    <row r="100" spans="2:6" x14ac:dyDescent="0.35">
      <c r="F100" s="5"/>
    </row>
    <row r="103" spans="2:6" x14ac:dyDescent="0.35">
      <c r="B103" t="s">
        <v>63</v>
      </c>
      <c r="C103" t="s">
        <v>64</v>
      </c>
      <c r="D103" t="s">
        <v>64</v>
      </c>
    </row>
    <row r="104" spans="2:6" x14ac:dyDescent="0.35">
      <c r="B104" t="s">
        <v>9</v>
      </c>
      <c r="C104" t="s">
        <v>16</v>
      </c>
      <c r="D104" t="s">
        <v>17</v>
      </c>
    </row>
    <row r="105" spans="2:6" x14ac:dyDescent="0.35">
      <c r="B105" s="5">
        <f>7+(70-35)/(160-35)*14</f>
        <v>10.92</v>
      </c>
      <c r="C105">
        <v>70</v>
      </c>
      <c r="D105">
        <v>35</v>
      </c>
    </row>
    <row r="106" spans="2:6" x14ac:dyDescent="0.35">
      <c r="B106" s="5">
        <f>(95-70)/(160-35)*14</f>
        <v>2.8000000000000003</v>
      </c>
      <c r="C106">
        <v>95</v>
      </c>
      <c r="D106">
        <v>70</v>
      </c>
    </row>
    <row r="107" spans="2:6" x14ac:dyDescent="0.35">
      <c r="B107" s="5">
        <f>(105-95)/(105-95)*87+(105-95)/(160-35)*14</f>
        <v>88.12</v>
      </c>
      <c r="C107">
        <v>105</v>
      </c>
      <c r="D107">
        <v>95</v>
      </c>
    </row>
    <row r="108" spans="2:6" x14ac:dyDescent="0.35">
      <c r="B108" s="5">
        <f>(160-105)/(160-35)*14</f>
        <v>6.16</v>
      </c>
      <c r="C108">
        <v>160</v>
      </c>
      <c r="D108">
        <v>105</v>
      </c>
    </row>
    <row r="110" spans="2:6" x14ac:dyDescent="0.35">
      <c r="B110" t="s">
        <v>63</v>
      </c>
    </row>
    <row r="111" spans="2:6" x14ac:dyDescent="0.35">
      <c r="B111" t="s">
        <v>9</v>
      </c>
      <c r="C111" t="s">
        <v>28</v>
      </c>
      <c r="D111" t="s">
        <v>64</v>
      </c>
    </row>
    <row r="112" spans="2:6" x14ac:dyDescent="0.35">
      <c r="B112">
        <v>0</v>
      </c>
      <c r="C112">
        <v>10</v>
      </c>
      <c r="D112">
        <v>35</v>
      </c>
    </row>
    <row r="113" spans="2:4" x14ac:dyDescent="0.35">
      <c r="B113" s="5">
        <f>7+(70-35)/(160-35)*14</f>
        <v>10.92</v>
      </c>
      <c r="C113" s="5">
        <f>C112+B113</f>
        <v>20.92</v>
      </c>
      <c r="D113">
        <v>70</v>
      </c>
    </row>
    <row r="114" spans="2:4" x14ac:dyDescent="0.35">
      <c r="B114" s="5">
        <f>(95-70)/(160-35)*14</f>
        <v>2.8000000000000003</v>
      </c>
      <c r="C114" s="5">
        <f t="shared" ref="C114:C116" si="1">C113+B114</f>
        <v>23.720000000000002</v>
      </c>
      <c r="D114">
        <v>95</v>
      </c>
    </row>
    <row r="115" spans="2:4" x14ac:dyDescent="0.35">
      <c r="B115" s="5">
        <f>(105-95)/(105-95)*87+(105-95)/(160-35)*14</f>
        <v>88.12</v>
      </c>
      <c r="C115" s="5">
        <f t="shared" si="1"/>
        <v>111.84</v>
      </c>
      <c r="D115">
        <v>105</v>
      </c>
    </row>
    <row r="116" spans="2:4" x14ac:dyDescent="0.35">
      <c r="B116" s="5">
        <f>(160-105)/(160-35)*14</f>
        <v>6.16</v>
      </c>
      <c r="C116" s="5">
        <f t="shared" si="1"/>
        <v>118</v>
      </c>
      <c r="D116">
        <v>160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AAF-0E70-44D7-9B8F-1923E76D95E6}">
  <dimension ref="A1:F8"/>
  <sheetViews>
    <sheetView tabSelected="1" zoomScale="130" zoomScaleNormal="130" workbookViewId="0">
      <selection activeCell="B12" sqref="B12"/>
    </sheetView>
  </sheetViews>
  <sheetFormatPr defaultRowHeight="14.5" x14ac:dyDescent="0.35"/>
  <cols>
    <col min="1" max="1" width="6.90625" style="16" bestFit="1" customWidth="1"/>
    <col min="2" max="2" width="33.54296875" bestFit="1" customWidth="1"/>
    <col min="3" max="4" width="11.453125" customWidth="1"/>
    <col min="5" max="5" width="12.54296875" bestFit="1" customWidth="1"/>
    <col min="6" max="6" width="12.90625" bestFit="1" customWidth="1"/>
  </cols>
  <sheetData>
    <row r="1" spans="1:6" ht="26" x14ac:dyDescent="0.35">
      <c r="A1" s="15" t="s">
        <v>67</v>
      </c>
      <c r="B1" s="15" t="s">
        <v>65</v>
      </c>
      <c r="C1" s="14" t="s">
        <v>68</v>
      </c>
      <c r="D1" s="14" t="s">
        <v>69</v>
      </c>
      <c r="E1" s="14" t="s">
        <v>9</v>
      </c>
      <c r="F1" s="14" t="s">
        <v>66</v>
      </c>
    </row>
    <row r="2" spans="1:6" x14ac:dyDescent="0.35">
      <c r="A2" s="14"/>
      <c r="B2" s="14"/>
      <c r="C2" s="14" t="s">
        <v>71</v>
      </c>
      <c r="D2" s="14" t="s">
        <v>71</v>
      </c>
      <c r="E2" s="14" t="s">
        <v>73</v>
      </c>
      <c r="F2" s="14"/>
    </row>
    <row r="3" spans="1:6" x14ac:dyDescent="0.35">
      <c r="A3" s="16">
        <v>1</v>
      </c>
      <c r="B3" t="s">
        <v>79</v>
      </c>
      <c r="C3" s="5">
        <v>55</v>
      </c>
      <c r="D3" s="5">
        <v>130</v>
      </c>
      <c r="E3" s="17">
        <v>11.9808</v>
      </c>
      <c r="F3" t="s">
        <v>41</v>
      </c>
    </row>
    <row r="4" spans="1:6" x14ac:dyDescent="0.35">
      <c r="A4" s="16">
        <v>2</v>
      </c>
      <c r="B4" t="s">
        <v>80</v>
      </c>
      <c r="C4">
        <v>179</v>
      </c>
      <c r="D4" s="18">
        <v>188</v>
      </c>
      <c r="E4" s="17">
        <v>1.75</v>
      </c>
      <c r="F4" t="s">
        <v>41</v>
      </c>
    </row>
    <row r="5" spans="1:6" x14ac:dyDescent="0.35">
      <c r="A5" s="16">
        <v>3</v>
      </c>
      <c r="B5" t="s">
        <v>81</v>
      </c>
      <c r="C5">
        <v>170</v>
      </c>
      <c r="D5">
        <v>130</v>
      </c>
      <c r="E5" s="17">
        <v>0.59698069545037169</v>
      </c>
      <c r="F5" t="s">
        <v>42</v>
      </c>
    </row>
    <row r="6" spans="1:6" x14ac:dyDescent="0.35">
      <c r="A6" s="16">
        <v>4</v>
      </c>
      <c r="B6" t="s">
        <v>82</v>
      </c>
      <c r="C6" s="5">
        <v>170</v>
      </c>
      <c r="D6" s="5">
        <v>94.476759289787196</v>
      </c>
      <c r="E6" s="17">
        <v>2.1121600565702972</v>
      </c>
      <c r="F6" t="s">
        <v>42</v>
      </c>
    </row>
    <row r="7" spans="1:6" x14ac:dyDescent="0.35">
      <c r="A7" s="16">
        <v>5</v>
      </c>
      <c r="B7" t="s">
        <v>83</v>
      </c>
      <c r="C7" s="5">
        <v>94.476759289787196</v>
      </c>
      <c r="D7" s="5">
        <v>94.476759289787196</v>
      </c>
      <c r="E7" s="17">
        <v>21.772125368840999</v>
      </c>
      <c r="F7" t="s">
        <v>42</v>
      </c>
    </row>
    <row r="8" spans="1:6" x14ac:dyDescent="0.35">
      <c r="A8" s="16">
        <v>6</v>
      </c>
      <c r="B8" t="s">
        <v>84</v>
      </c>
      <c r="C8">
        <v>75</v>
      </c>
      <c r="D8">
        <v>50</v>
      </c>
      <c r="E8" s="17">
        <v>8.67</v>
      </c>
      <c r="F8" t="s">
        <v>42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A331D1-F568-4B2B-98B5-813334EA5284}">
          <x14:formula1>
            <xm:f>Sheet3!$C$3:$C$4</xm:f>
          </x14:formula1>
          <xm:sqref>C2:D2</xm:sqref>
        </x14:dataValidation>
        <x14:dataValidation type="list" allowBlank="1" showInputMessage="1" showErrorMessage="1" xr:uid="{AC09B3B6-AE78-4D4A-93DE-984556E2C91D}">
          <x14:formula1>
            <xm:f>Sheet3!$F$3:$F$7</xm:f>
          </x14:formula1>
          <xm:sqref>E2</xm:sqref>
        </x14:dataValidation>
        <x14:dataValidation type="list" allowBlank="1" showInputMessage="1" showErrorMessage="1" xr:uid="{A8B9FBB2-A122-4938-8ED9-277DE4B7D6A2}">
          <x14:formula1>
            <xm:f>Sheet2!$C$2:$C$3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6CEE-5091-4D0C-AF84-A153BD5A97B8}">
  <dimension ref="C2:F7"/>
  <sheetViews>
    <sheetView workbookViewId="0">
      <selection activeCell="F9" sqref="F9"/>
    </sheetView>
  </sheetViews>
  <sheetFormatPr defaultRowHeight="14.5" x14ac:dyDescent="0.35"/>
  <cols>
    <col min="5" max="5" width="11.90625" bestFit="1" customWidth="1"/>
    <col min="6" max="6" width="9.7265625" bestFit="1" customWidth="1"/>
  </cols>
  <sheetData>
    <row r="2" spans="3:6" x14ac:dyDescent="0.35">
      <c r="C2" s="14" t="s">
        <v>68</v>
      </c>
      <c r="D2" s="14" t="s">
        <v>69</v>
      </c>
      <c r="E2" s="14" t="s">
        <v>70</v>
      </c>
      <c r="F2" s="14" t="s">
        <v>9</v>
      </c>
    </row>
    <row r="3" spans="3:6" x14ac:dyDescent="0.35">
      <c r="C3" s="16" t="s">
        <v>71</v>
      </c>
      <c r="D3" s="16" t="s">
        <v>71</v>
      </c>
      <c r="E3" t="s">
        <v>76</v>
      </c>
      <c r="F3" s="16" t="s">
        <v>73</v>
      </c>
    </row>
    <row r="4" spans="3:6" x14ac:dyDescent="0.35">
      <c r="C4" s="16" t="s">
        <v>72</v>
      </c>
      <c r="D4" s="16" t="s">
        <v>72</v>
      </c>
      <c r="E4" s="16" t="s">
        <v>86</v>
      </c>
      <c r="F4" s="16" t="s">
        <v>87</v>
      </c>
    </row>
    <row r="5" spans="3:6" x14ac:dyDescent="0.35">
      <c r="C5" s="16"/>
      <c r="D5" s="16"/>
      <c r="E5" s="16" t="s">
        <v>85</v>
      </c>
      <c r="F5" s="16" t="s">
        <v>88</v>
      </c>
    </row>
    <row r="6" spans="3:6" x14ac:dyDescent="0.35">
      <c r="E6" s="16" t="s">
        <v>77</v>
      </c>
      <c r="F6" s="16" t="s">
        <v>74</v>
      </c>
    </row>
    <row r="7" spans="3:6" x14ac:dyDescent="0.35">
      <c r="E7" s="16" t="s">
        <v>78</v>
      </c>
      <c r="F7" s="16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3AA2-05A8-47E9-B272-F49E875613E6}">
  <dimension ref="C2:C3"/>
  <sheetViews>
    <sheetView workbookViewId="0">
      <selection activeCell="F9" sqref="F9"/>
    </sheetView>
  </sheetViews>
  <sheetFormatPr defaultRowHeight="14.5" x14ac:dyDescent="0.35"/>
  <sheetData>
    <row r="2" spans="3:3" x14ac:dyDescent="0.35">
      <c r="C2" t="s">
        <v>41</v>
      </c>
    </row>
    <row r="3" spans="3:3" x14ac:dyDescent="0.35">
      <c r="C3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8A2FDB47E24BAEDBBD56213D2C90" ma:contentTypeVersion="11" ma:contentTypeDescription="Create a new document." ma:contentTypeScope="" ma:versionID="e23952f311cf1ff95f8c285772f2db25">
  <xsd:schema xmlns:xsd="http://www.w3.org/2001/XMLSchema" xmlns:xs="http://www.w3.org/2001/XMLSchema" xmlns:p="http://schemas.microsoft.com/office/2006/metadata/properties" xmlns:ns3="7f8b2b10-a8de-45fe-8018-6d7fcf2dd882" targetNamespace="http://schemas.microsoft.com/office/2006/metadata/properties" ma:root="true" ma:fieldsID="5c0920b8cc3e49c06a3bb432624b7e4d" ns3:_="">
    <xsd:import namespace="7f8b2b10-a8de-45fe-8018-6d7fcf2dd8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b2b10-a8de-45fe-8018-6d7fcf2dd8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39E893-96A1-43F3-B0F5-E6FE85C79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532D3E-4DE8-4FB1-A313-4A752DC6E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b2b10-a8de-45fe-8018-6d7fcf2dd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349EE4-8743-4275-95B0-0EE709FF3902}">
  <ds:schemaRefs>
    <ds:schemaRef ds:uri="http://schemas.microsoft.com/office/2006/metadata/properties"/>
    <ds:schemaRef ds:uri="7f8b2b10-a8de-45fe-8018-6d7fcf2dd882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Pinch </vt:lpstr>
      <vt:lpstr>Streams</vt:lpstr>
      <vt:lpstr>Sheet3</vt:lpstr>
      <vt:lpstr>Sheet2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Kissock</dc:creator>
  <cp:lastModifiedBy>Ovais Ahmed Khan</cp:lastModifiedBy>
  <dcterms:created xsi:type="dcterms:W3CDTF">2022-07-25T22:49:07Z</dcterms:created>
  <dcterms:modified xsi:type="dcterms:W3CDTF">2024-06-20T02:50:57Z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0x010100FA618A2FDB47E24BAEDBBD56213D2C90</vt:lpwstr>
  </property>
</Properties>
</file>