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projects\pulmonary-cognitive\"/>
    </mc:Choice>
  </mc:AlternateContent>
  <bookViews>
    <workbookView xWindow="0" yWindow="465" windowWidth="25605" windowHeight="15465" tabRatio="500"/>
  </bookViews>
  <sheets>
    <sheet name="Calc-I" sheetId="1" r:id="rId1"/>
    <sheet name="GraphI-I" sheetId="7" r:id="rId2"/>
    <sheet name="Calc-S" sheetId="2" r:id="rId3"/>
    <sheet name="GraphS-S" sheetId="6" r:id="rId4"/>
    <sheet name="Calc-R" sheetId="3" r:id="rId5"/>
    <sheet name="GraphR-R" sheetId="8" r:id="rId6"/>
    <sheet name="ES_RandEff" sheetId="4" r:id="rId7"/>
    <sheet name="ES_MLM" sheetId="5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1" l="1"/>
  <c r="AJ6" i="1"/>
  <c r="U18" i="1"/>
  <c r="W18" i="1"/>
  <c r="AF16" i="1"/>
  <c r="AF22" i="1"/>
  <c r="U16" i="1"/>
  <c r="AF4" i="1"/>
  <c r="AC18" i="1"/>
  <c r="AH6" i="1"/>
  <c r="S5" i="1"/>
  <c r="W5" i="1"/>
  <c r="U5" i="1"/>
  <c r="AB5" i="1"/>
  <c r="Z5" i="1"/>
  <c r="X5" i="1"/>
  <c r="AA5" i="1"/>
  <c r="Y5" i="1"/>
  <c r="AF5" i="1"/>
  <c r="C5" i="7"/>
  <c r="S6" i="1"/>
  <c r="W6" i="1"/>
  <c r="U6" i="1"/>
  <c r="AB6" i="1"/>
  <c r="Z6" i="1"/>
  <c r="X6" i="1"/>
  <c r="AA6" i="1"/>
  <c r="Y6" i="1"/>
  <c r="AF6" i="1"/>
  <c r="C6" i="7"/>
  <c r="S7" i="1"/>
  <c r="W7" i="1"/>
  <c r="U7" i="1"/>
  <c r="AB7" i="1"/>
  <c r="Z7" i="1"/>
  <c r="X7" i="1"/>
  <c r="AA7" i="1"/>
  <c r="Y7" i="1"/>
  <c r="AF7" i="1"/>
  <c r="C7" i="7"/>
  <c r="S8" i="1"/>
  <c r="W8" i="1"/>
  <c r="U8" i="1"/>
  <c r="AB8" i="1"/>
  <c r="Z8" i="1"/>
  <c r="X8" i="1"/>
  <c r="AA8" i="1"/>
  <c r="Y8" i="1"/>
  <c r="AF8" i="1"/>
  <c r="C8" i="7"/>
  <c r="S9" i="1"/>
  <c r="W9" i="1"/>
  <c r="U9" i="1"/>
  <c r="AB9" i="1"/>
  <c r="Z9" i="1"/>
  <c r="X9" i="1"/>
  <c r="AA9" i="1"/>
  <c r="Y9" i="1"/>
  <c r="AF9" i="1"/>
  <c r="C9" i="7"/>
  <c r="S10" i="1"/>
  <c r="W10" i="1"/>
  <c r="U10" i="1"/>
  <c r="AB10" i="1"/>
  <c r="Z10" i="1"/>
  <c r="X10" i="1"/>
  <c r="AA10" i="1"/>
  <c r="Y10" i="1"/>
  <c r="AF10" i="1"/>
  <c r="C10" i="7"/>
  <c r="S11" i="1"/>
  <c r="W11" i="1"/>
  <c r="U11" i="1"/>
  <c r="AB11" i="1"/>
  <c r="Z11" i="1"/>
  <c r="X11" i="1"/>
  <c r="AA11" i="1"/>
  <c r="Y11" i="1"/>
  <c r="AF11" i="1"/>
  <c r="C11" i="7"/>
  <c r="S12" i="1"/>
  <c r="W12" i="1"/>
  <c r="U12" i="1"/>
  <c r="AB12" i="1"/>
  <c r="Z12" i="1"/>
  <c r="X12" i="1"/>
  <c r="AA12" i="1"/>
  <c r="Y12" i="1"/>
  <c r="AF12" i="1"/>
  <c r="C12" i="7"/>
  <c r="S13" i="1"/>
  <c r="W13" i="1"/>
  <c r="U13" i="1"/>
  <c r="AB13" i="1"/>
  <c r="Z13" i="1"/>
  <c r="X13" i="1"/>
  <c r="AA13" i="1"/>
  <c r="Y13" i="1"/>
  <c r="AF13" i="1"/>
  <c r="C13" i="7"/>
  <c r="S14" i="1"/>
  <c r="W14" i="1"/>
  <c r="U14" i="1"/>
  <c r="AB14" i="1"/>
  <c r="Z14" i="1"/>
  <c r="X14" i="1"/>
  <c r="AA14" i="1"/>
  <c r="Y14" i="1"/>
  <c r="AF14" i="1"/>
  <c r="C14" i="7"/>
  <c r="S15" i="1"/>
  <c r="W15" i="1"/>
  <c r="U15" i="1"/>
  <c r="AB15" i="1"/>
  <c r="Z15" i="1"/>
  <c r="X15" i="1"/>
  <c r="AA15" i="1"/>
  <c r="Y15" i="1"/>
  <c r="AF15" i="1"/>
  <c r="C15" i="7"/>
  <c r="S16" i="1"/>
  <c r="W16" i="1"/>
  <c r="AB16" i="1"/>
  <c r="Z16" i="1"/>
  <c r="X16" i="1"/>
  <c r="AA16" i="1"/>
  <c r="Y16" i="1"/>
  <c r="C16" i="7"/>
  <c r="AC10" i="1"/>
  <c r="S4" i="1"/>
  <c r="W4" i="1"/>
  <c r="U4" i="1"/>
  <c r="AC4" i="1"/>
  <c r="AC12" i="1"/>
  <c r="AC14" i="1"/>
  <c r="AC15" i="1"/>
  <c r="AC8" i="1"/>
  <c r="AC6" i="1"/>
  <c r="AE10" i="1"/>
  <c r="AE4" i="1"/>
  <c r="AE12" i="1"/>
  <c r="AE14" i="1"/>
  <c r="AE15" i="1"/>
  <c r="AE8" i="1"/>
  <c r="AE6" i="1"/>
  <c r="AE18" i="1"/>
  <c r="AD18" i="1"/>
  <c r="S18" i="1"/>
  <c r="AB18" i="1"/>
  <c r="Z18" i="1"/>
  <c r="X18" i="1"/>
  <c r="AA18" i="1"/>
  <c r="Y18" i="1"/>
  <c r="AF18" i="1"/>
  <c r="C18" i="7"/>
  <c r="AC7" i="1"/>
  <c r="AC11" i="1"/>
  <c r="AC5" i="1"/>
  <c r="AC13" i="1"/>
  <c r="AC9" i="1"/>
  <c r="AC16" i="1"/>
  <c r="AC20" i="1"/>
  <c r="AE7" i="1"/>
  <c r="AE11" i="1"/>
  <c r="AE5" i="1"/>
  <c r="AE13" i="1"/>
  <c r="AE9" i="1"/>
  <c r="AE16" i="1"/>
  <c r="AE20" i="1"/>
  <c r="AD20" i="1"/>
  <c r="S20" i="1"/>
  <c r="W20" i="1"/>
  <c r="U20" i="1"/>
  <c r="AB20" i="1"/>
  <c r="Z20" i="1"/>
  <c r="X20" i="1"/>
  <c r="AA20" i="1"/>
  <c r="Y20" i="1"/>
  <c r="AF20" i="1"/>
  <c r="C20" i="7"/>
  <c r="AC22" i="1"/>
  <c r="AE22" i="1"/>
  <c r="AD22" i="1"/>
  <c r="S22" i="1"/>
  <c r="W22" i="1"/>
  <c r="U22" i="1"/>
  <c r="AB22" i="1"/>
  <c r="Z22" i="1"/>
  <c r="X22" i="1"/>
  <c r="AA22" i="1"/>
  <c r="Y22" i="1"/>
  <c r="C22" i="7"/>
  <c r="S25" i="1"/>
  <c r="W25" i="1"/>
  <c r="U25" i="1"/>
  <c r="AB25" i="1"/>
  <c r="Z25" i="1"/>
  <c r="X25" i="1"/>
  <c r="AA25" i="1"/>
  <c r="Y25" i="1"/>
  <c r="AF25" i="1"/>
  <c r="C25" i="7"/>
  <c r="S26" i="1"/>
  <c r="W26" i="1"/>
  <c r="U26" i="1"/>
  <c r="AB26" i="1"/>
  <c r="Z26" i="1"/>
  <c r="X26" i="1"/>
  <c r="AA26" i="1"/>
  <c r="Y26" i="1"/>
  <c r="AF26" i="1"/>
  <c r="C26" i="7"/>
  <c r="S27" i="1"/>
  <c r="W27" i="1"/>
  <c r="U27" i="1"/>
  <c r="AB27" i="1"/>
  <c r="Z27" i="1"/>
  <c r="X27" i="1"/>
  <c r="AA27" i="1"/>
  <c r="Y27" i="1"/>
  <c r="AF27" i="1"/>
  <c r="C27" i="7"/>
  <c r="S28" i="1"/>
  <c r="W28" i="1"/>
  <c r="U28" i="1"/>
  <c r="AB28" i="1"/>
  <c r="Z28" i="1"/>
  <c r="X28" i="1"/>
  <c r="AA28" i="1"/>
  <c r="Y28" i="1"/>
  <c r="AF28" i="1"/>
  <c r="C28" i="7"/>
  <c r="S29" i="1"/>
  <c r="W29" i="1"/>
  <c r="U29" i="1"/>
  <c r="AB29" i="1"/>
  <c r="Z29" i="1"/>
  <c r="X29" i="1"/>
  <c r="AA29" i="1"/>
  <c r="Y29" i="1"/>
  <c r="AF29" i="1"/>
  <c r="C29" i="7"/>
  <c r="S30" i="1"/>
  <c r="W30" i="1"/>
  <c r="U30" i="1"/>
  <c r="AB30" i="1"/>
  <c r="Z30" i="1"/>
  <c r="X30" i="1"/>
  <c r="AA30" i="1"/>
  <c r="Y30" i="1"/>
  <c r="AF30" i="1"/>
  <c r="C30" i="7"/>
  <c r="S31" i="1"/>
  <c r="W31" i="1"/>
  <c r="U31" i="1"/>
  <c r="AB31" i="1"/>
  <c r="Z31" i="1"/>
  <c r="X31" i="1"/>
  <c r="AA31" i="1"/>
  <c r="Y31" i="1"/>
  <c r="AF31" i="1"/>
  <c r="C31" i="7"/>
  <c r="S32" i="1"/>
  <c r="W32" i="1"/>
  <c r="U32" i="1"/>
  <c r="AB32" i="1"/>
  <c r="Z32" i="1"/>
  <c r="X32" i="1"/>
  <c r="AA32" i="1"/>
  <c r="Y32" i="1"/>
  <c r="AF32" i="1"/>
  <c r="C32" i="7"/>
  <c r="S33" i="1"/>
  <c r="W33" i="1"/>
  <c r="U33" i="1"/>
  <c r="AB33" i="1"/>
  <c r="Z33" i="1"/>
  <c r="X33" i="1"/>
  <c r="AA33" i="1"/>
  <c r="Y33" i="1"/>
  <c r="AF33" i="1"/>
  <c r="C33" i="7"/>
  <c r="S34" i="1"/>
  <c r="W34" i="1"/>
  <c r="U34" i="1"/>
  <c r="AB34" i="1"/>
  <c r="Z34" i="1"/>
  <c r="X34" i="1"/>
  <c r="AA34" i="1"/>
  <c r="Y34" i="1"/>
  <c r="AF34" i="1"/>
  <c r="C34" i="7"/>
  <c r="S35" i="1"/>
  <c r="W35" i="1"/>
  <c r="U35" i="1"/>
  <c r="AB35" i="1"/>
  <c r="Z35" i="1"/>
  <c r="X35" i="1"/>
  <c r="AA35" i="1"/>
  <c r="Y35" i="1"/>
  <c r="AF35" i="1"/>
  <c r="C35" i="7"/>
  <c r="S36" i="1"/>
  <c r="W36" i="1"/>
  <c r="U36" i="1"/>
  <c r="AB36" i="1"/>
  <c r="Z36" i="1"/>
  <c r="X36" i="1"/>
  <c r="AA36" i="1"/>
  <c r="Y36" i="1"/>
  <c r="AF36" i="1"/>
  <c r="C36" i="7"/>
  <c r="S37" i="1"/>
  <c r="W37" i="1"/>
  <c r="U37" i="1"/>
  <c r="AB37" i="1"/>
  <c r="Z37" i="1"/>
  <c r="X37" i="1"/>
  <c r="AA37" i="1"/>
  <c r="Y37" i="1"/>
  <c r="AF37" i="1"/>
  <c r="C37" i="7"/>
  <c r="S38" i="1"/>
  <c r="W38" i="1"/>
  <c r="U38" i="1"/>
  <c r="AB38" i="1"/>
  <c r="Z38" i="1"/>
  <c r="X38" i="1"/>
  <c r="AA38" i="1"/>
  <c r="Y38" i="1"/>
  <c r="AF38" i="1"/>
  <c r="C38" i="7"/>
  <c r="AC33" i="1"/>
  <c r="AC29" i="1"/>
  <c r="AC25" i="1"/>
  <c r="AC35" i="1"/>
  <c r="AC37" i="1"/>
  <c r="AC31" i="1"/>
  <c r="AC27" i="1"/>
  <c r="AC40" i="1"/>
  <c r="AE33" i="1"/>
  <c r="AE29" i="1"/>
  <c r="AE25" i="1"/>
  <c r="AE35" i="1"/>
  <c r="AE37" i="1"/>
  <c r="AE31" i="1"/>
  <c r="AE27" i="1"/>
  <c r="AE40" i="1"/>
  <c r="AD40" i="1"/>
  <c r="S40" i="1"/>
  <c r="W40" i="1"/>
  <c r="U40" i="1"/>
  <c r="AB40" i="1"/>
  <c r="Z40" i="1"/>
  <c r="X40" i="1"/>
  <c r="AA40" i="1"/>
  <c r="Y40" i="1"/>
  <c r="AF40" i="1"/>
  <c r="C40" i="7"/>
  <c r="AC34" i="1"/>
  <c r="AC30" i="1"/>
  <c r="AC26" i="1"/>
  <c r="AC36" i="1"/>
  <c r="AC32" i="1"/>
  <c r="AC38" i="1"/>
  <c r="AC28" i="1"/>
  <c r="AC42" i="1"/>
  <c r="AE34" i="1"/>
  <c r="AE30" i="1"/>
  <c r="AE26" i="1"/>
  <c r="AE36" i="1"/>
  <c r="AE32" i="1"/>
  <c r="AE38" i="1"/>
  <c r="AE28" i="1"/>
  <c r="AE42" i="1"/>
  <c r="AD42" i="1"/>
  <c r="S42" i="1"/>
  <c r="W42" i="1"/>
  <c r="U42" i="1"/>
  <c r="AB42" i="1"/>
  <c r="Z42" i="1"/>
  <c r="X42" i="1"/>
  <c r="AA42" i="1"/>
  <c r="Y42" i="1"/>
  <c r="AF42" i="1"/>
  <c r="C42" i="7"/>
  <c r="AC44" i="1"/>
  <c r="AE44" i="1"/>
  <c r="AD44" i="1"/>
  <c r="S44" i="1"/>
  <c r="W44" i="1"/>
  <c r="U44" i="1"/>
  <c r="AB44" i="1"/>
  <c r="Z44" i="1"/>
  <c r="X44" i="1"/>
  <c r="AA44" i="1"/>
  <c r="Y44" i="1"/>
  <c r="AF44" i="1"/>
  <c r="C44" i="7"/>
  <c r="S47" i="1"/>
  <c r="W47" i="1"/>
  <c r="U47" i="1"/>
  <c r="AB47" i="1"/>
  <c r="Z47" i="1"/>
  <c r="X47" i="1"/>
  <c r="AA47" i="1"/>
  <c r="Y47" i="1"/>
  <c r="AF47" i="1"/>
  <c r="C47" i="7"/>
  <c r="S48" i="1"/>
  <c r="W48" i="1"/>
  <c r="U48" i="1"/>
  <c r="AB48" i="1"/>
  <c r="Z48" i="1"/>
  <c r="X48" i="1"/>
  <c r="AA48" i="1"/>
  <c r="Y48" i="1"/>
  <c r="AF48" i="1"/>
  <c r="C48" i="7"/>
  <c r="S49" i="1"/>
  <c r="W49" i="1"/>
  <c r="U49" i="1"/>
  <c r="AB49" i="1"/>
  <c r="Z49" i="1"/>
  <c r="X49" i="1"/>
  <c r="AA49" i="1"/>
  <c r="Y49" i="1"/>
  <c r="AF49" i="1"/>
  <c r="C49" i="7"/>
  <c r="S50" i="1"/>
  <c r="W50" i="1"/>
  <c r="U50" i="1"/>
  <c r="AB50" i="1"/>
  <c r="Z50" i="1"/>
  <c r="X50" i="1"/>
  <c r="AA50" i="1"/>
  <c r="Y50" i="1"/>
  <c r="AF50" i="1"/>
  <c r="C50" i="7"/>
  <c r="S51" i="1"/>
  <c r="W51" i="1"/>
  <c r="U51" i="1"/>
  <c r="AB51" i="1"/>
  <c r="Z51" i="1"/>
  <c r="X51" i="1"/>
  <c r="AA51" i="1"/>
  <c r="Y51" i="1"/>
  <c r="AF51" i="1"/>
  <c r="C51" i="7"/>
  <c r="S52" i="1"/>
  <c r="W52" i="1"/>
  <c r="U52" i="1"/>
  <c r="AB52" i="1"/>
  <c r="Z52" i="1"/>
  <c r="X52" i="1"/>
  <c r="AA52" i="1"/>
  <c r="Y52" i="1"/>
  <c r="AF52" i="1"/>
  <c r="C52" i="7"/>
  <c r="S53" i="1"/>
  <c r="W53" i="1"/>
  <c r="U53" i="1"/>
  <c r="AB53" i="1"/>
  <c r="Z53" i="1"/>
  <c r="X53" i="1"/>
  <c r="AA53" i="1"/>
  <c r="Y53" i="1"/>
  <c r="AF53" i="1"/>
  <c r="C53" i="7"/>
  <c r="S54" i="1"/>
  <c r="W54" i="1"/>
  <c r="U54" i="1"/>
  <c r="AB54" i="1"/>
  <c r="Z54" i="1"/>
  <c r="X54" i="1"/>
  <c r="AA54" i="1"/>
  <c r="Y54" i="1"/>
  <c r="AF54" i="1"/>
  <c r="C54" i="7"/>
  <c r="S55" i="1"/>
  <c r="W55" i="1"/>
  <c r="U55" i="1"/>
  <c r="AB55" i="1"/>
  <c r="Z55" i="1"/>
  <c r="X55" i="1"/>
  <c r="AA55" i="1"/>
  <c r="Y55" i="1"/>
  <c r="AF55" i="1"/>
  <c r="C55" i="7"/>
  <c r="S56" i="1"/>
  <c r="W56" i="1"/>
  <c r="U56" i="1"/>
  <c r="AB56" i="1"/>
  <c r="Z56" i="1"/>
  <c r="X56" i="1"/>
  <c r="AA56" i="1"/>
  <c r="Y56" i="1"/>
  <c r="AF56" i="1"/>
  <c r="C56" i="7"/>
  <c r="S57" i="1"/>
  <c r="W57" i="1"/>
  <c r="U57" i="1"/>
  <c r="AB57" i="1"/>
  <c r="Z57" i="1"/>
  <c r="X57" i="1"/>
  <c r="AA57" i="1"/>
  <c r="Y57" i="1"/>
  <c r="AF57" i="1"/>
  <c r="C57" i="7"/>
  <c r="S58" i="1"/>
  <c r="W58" i="1"/>
  <c r="U58" i="1"/>
  <c r="AB58" i="1"/>
  <c r="Z58" i="1"/>
  <c r="X58" i="1"/>
  <c r="AA58" i="1"/>
  <c r="Y58" i="1"/>
  <c r="AF58" i="1"/>
  <c r="C58" i="7"/>
  <c r="S59" i="1"/>
  <c r="W59" i="1"/>
  <c r="U59" i="1"/>
  <c r="AB59" i="1"/>
  <c r="Z59" i="1"/>
  <c r="X59" i="1"/>
  <c r="AA59" i="1"/>
  <c r="Y59" i="1"/>
  <c r="AF59" i="1"/>
  <c r="C59" i="7"/>
  <c r="S60" i="1"/>
  <c r="W60" i="1"/>
  <c r="U60" i="1"/>
  <c r="AB60" i="1"/>
  <c r="Z60" i="1"/>
  <c r="X60" i="1"/>
  <c r="AA60" i="1"/>
  <c r="Y60" i="1"/>
  <c r="AF60" i="1"/>
  <c r="C60" i="7"/>
  <c r="S61" i="1"/>
  <c r="W61" i="1"/>
  <c r="U61" i="1"/>
  <c r="AB61" i="1"/>
  <c r="Z61" i="1"/>
  <c r="X61" i="1"/>
  <c r="AA61" i="1"/>
  <c r="Y61" i="1"/>
  <c r="AF61" i="1"/>
  <c r="C61" i="7"/>
  <c r="S62" i="1"/>
  <c r="W62" i="1"/>
  <c r="U62" i="1"/>
  <c r="AB62" i="1"/>
  <c r="Z62" i="1"/>
  <c r="X62" i="1"/>
  <c r="AA62" i="1"/>
  <c r="Y62" i="1"/>
  <c r="AF62" i="1"/>
  <c r="C62" i="7"/>
  <c r="S63" i="1"/>
  <c r="W63" i="1"/>
  <c r="U63" i="1"/>
  <c r="AB63" i="1"/>
  <c r="Z63" i="1"/>
  <c r="X63" i="1"/>
  <c r="AA63" i="1"/>
  <c r="Y63" i="1"/>
  <c r="AF63" i="1"/>
  <c r="C63" i="7"/>
  <c r="S64" i="1"/>
  <c r="W64" i="1"/>
  <c r="U64" i="1"/>
  <c r="AB64" i="1"/>
  <c r="Z64" i="1"/>
  <c r="X64" i="1"/>
  <c r="AA64" i="1"/>
  <c r="Y64" i="1"/>
  <c r="AF64" i="1"/>
  <c r="C64" i="7"/>
  <c r="S65" i="1"/>
  <c r="W65" i="1"/>
  <c r="U65" i="1"/>
  <c r="AB65" i="1"/>
  <c r="Z65" i="1"/>
  <c r="X65" i="1"/>
  <c r="AA65" i="1"/>
  <c r="Y65" i="1"/>
  <c r="AF65" i="1"/>
  <c r="C65" i="7"/>
  <c r="S66" i="1"/>
  <c r="W66" i="1"/>
  <c r="U66" i="1"/>
  <c r="AB66" i="1"/>
  <c r="Z66" i="1"/>
  <c r="X66" i="1"/>
  <c r="AA66" i="1"/>
  <c r="Y66" i="1"/>
  <c r="AF66" i="1"/>
  <c r="C66" i="7"/>
  <c r="S67" i="1"/>
  <c r="W67" i="1"/>
  <c r="U67" i="1"/>
  <c r="AB67" i="1"/>
  <c r="Z67" i="1"/>
  <c r="X67" i="1"/>
  <c r="AA67" i="1"/>
  <c r="Y67" i="1"/>
  <c r="AF67" i="1"/>
  <c r="C67" i="7"/>
  <c r="S68" i="1"/>
  <c r="W68" i="1"/>
  <c r="U68" i="1"/>
  <c r="AB68" i="1"/>
  <c r="Z68" i="1"/>
  <c r="X68" i="1"/>
  <c r="AA68" i="1"/>
  <c r="Y68" i="1"/>
  <c r="AF68" i="1"/>
  <c r="C68" i="7"/>
  <c r="AC55" i="1"/>
  <c r="AC67" i="1"/>
  <c r="AC61" i="1"/>
  <c r="AC47" i="1"/>
  <c r="AC49" i="1"/>
  <c r="AC51" i="1"/>
  <c r="AC59" i="1"/>
  <c r="AC53" i="1"/>
  <c r="AC64" i="1"/>
  <c r="AC63" i="1"/>
  <c r="AC57" i="1"/>
  <c r="AC65" i="1"/>
  <c r="AC70" i="1"/>
  <c r="AE55" i="1"/>
  <c r="AE67" i="1"/>
  <c r="AE61" i="1"/>
  <c r="AE47" i="1"/>
  <c r="AE49" i="1"/>
  <c r="AE51" i="1"/>
  <c r="AE59" i="1"/>
  <c r="AE53" i="1"/>
  <c r="AE64" i="1"/>
  <c r="AE63" i="1"/>
  <c r="AE57" i="1"/>
  <c r="AE65" i="1"/>
  <c r="AE70" i="1"/>
  <c r="AD70" i="1"/>
  <c r="S70" i="1"/>
  <c r="W70" i="1"/>
  <c r="U70" i="1"/>
  <c r="AB70" i="1"/>
  <c r="Z70" i="1"/>
  <c r="X70" i="1"/>
  <c r="AA70" i="1"/>
  <c r="Y70" i="1"/>
  <c r="AF70" i="1"/>
  <c r="C70" i="7"/>
  <c r="AC56" i="1"/>
  <c r="AC68" i="1"/>
  <c r="AC62" i="1"/>
  <c r="AC48" i="1"/>
  <c r="AC52" i="1"/>
  <c r="AC50" i="1"/>
  <c r="AC60" i="1"/>
  <c r="AC58" i="1"/>
  <c r="AC54" i="1"/>
  <c r="AC66" i="1"/>
  <c r="AC72" i="1"/>
  <c r="AE56" i="1"/>
  <c r="AE68" i="1"/>
  <c r="AE62" i="1"/>
  <c r="AE48" i="1"/>
  <c r="AE52" i="1"/>
  <c r="AE50" i="1"/>
  <c r="AE60" i="1"/>
  <c r="AE58" i="1"/>
  <c r="AE54" i="1"/>
  <c r="AE66" i="1"/>
  <c r="AE72" i="1"/>
  <c r="AD72" i="1"/>
  <c r="S72" i="1"/>
  <c r="W72" i="1"/>
  <c r="U72" i="1"/>
  <c r="AB72" i="1"/>
  <c r="Z72" i="1"/>
  <c r="X72" i="1"/>
  <c r="AA72" i="1"/>
  <c r="Y72" i="1"/>
  <c r="AF72" i="1"/>
  <c r="C72" i="7"/>
  <c r="AC74" i="1"/>
  <c r="AE74" i="1"/>
  <c r="AD74" i="1"/>
  <c r="S74" i="1"/>
  <c r="W74" i="1"/>
  <c r="U74" i="1"/>
  <c r="AB74" i="1"/>
  <c r="Z74" i="1"/>
  <c r="X74" i="1"/>
  <c r="AA74" i="1"/>
  <c r="Y74" i="1"/>
  <c r="AF74" i="1"/>
  <c r="C74" i="7"/>
  <c r="S77" i="1"/>
  <c r="W77" i="1"/>
  <c r="U77" i="1"/>
  <c r="AB77" i="1"/>
  <c r="Z77" i="1"/>
  <c r="X77" i="1"/>
  <c r="AA77" i="1"/>
  <c r="Y77" i="1"/>
  <c r="AF77" i="1"/>
  <c r="C77" i="7"/>
  <c r="S78" i="1"/>
  <c r="W78" i="1"/>
  <c r="U78" i="1"/>
  <c r="AB78" i="1"/>
  <c r="Z78" i="1"/>
  <c r="X78" i="1"/>
  <c r="AA78" i="1"/>
  <c r="Y78" i="1"/>
  <c r="AF78" i="1"/>
  <c r="C78" i="7"/>
  <c r="S79" i="1"/>
  <c r="W79" i="1"/>
  <c r="U79" i="1"/>
  <c r="AB79" i="1"/>
  <c r="Z79" i="1"/>
  <c r="X79" i="1"/>
  <c r="AA79" i="1"/>
  <c r="Y79" i="1"/>
  <c r="AF79" i="1"/>
  <c r="C79" i="7"/>
  <c r="S80" i="1"/>
  <c r="W80" i="1"/>
  <c r="U80" i="1"/>
  <c r="AB80" i="1"/>
  <c r="Z80" i="1"/>
  <c r="X80" i="1"/>
  <c r="AA80" i="1"/>
  <c r="Y80" i="1"/>
  <c r="AF80" i="1"/>
  <c r="C80" i="7"/>
  <c r="S81" i="1"/>
  <c r="W81" i="1"/>
  <c r="U81" i="1"/>
  <c r="AB81" i="1"/>
  <c r="Z81" i="1"/>
  <c r="X81" i="1"/>
  <c r="AA81" i="1"/>
  <c r="Y81" i="1"/>
  <c r="AF81" i="1"/>
  <c r="C81" i="7"/>
  <c r="S82" i="1"/>
  <c r="W82" i="1"/>
  <c r="U82" i="1"/>
  <c r="AB82" i="1"/>
  <c r="Z82" i="1"/>
  <c r="X82" i="1"/>
  <c r="AA82" i="1"/>
  <c r="Y82" i="1"/>
  <c r="AF82" i="1"/>
  <c r="C82" i="7"/>
  <c r="S83" i="1"/>
  <c r="W83" i="1"/>
  <c r="U83" i="1"/>
  <c r="AB83" i="1"/>
  <c r="Z83" i="1"/>
  <c r="X83" i="1"/>
  <c r="AA83" i="1"/>
  <c r="Y83" i="1"/>
  <c r="AF83" i="1"/>
  <c r="C83" i="7"/>
  <c r="S84" i="1"/>
  <c r="W84" i="1"/>
  <c r="U84" i="1"/>
  <c r="AB84" i="1"/>
  <c r="Z84" i="1"/>
  <c r="X84" i="1"/>
  <c r="AA84" i="1"/>
  <c r="Y84" i="1"/>
  <c r="AF84" i="1"/>
  <c r="C84" i="7"/>
  <c r="S85" i="1"/>
  <c r="W85" i="1"/>
  <c r="U85" i="1"/>
  <c r="AB85" i="1"/>
  <c r="Z85" i="1"/>
  <c r="X85" i="1"/>
  <c r="AA85" i="1"/>
  <c r="Y85" i="1"/>
  <c r="AF85" i="1"/>
  <c r="C85" i="7"/>
  <c r="S86" i="1"/>
  <c r="W86" i="1"/>
  <c r="U86" i="1"/>
  <c r="AB86" i="1"/>
  <c r="Z86" i="1"/>
  <c r="X86" i="1"/>
  <c r="AA86" i="1"/>
  <c r="Y86" i="1"/>
  <c r="AF86" i="1"/>
  <c r="C86" i="7"/>
  <c r="S87" i="1"/>
  <c r="W87" i="1"/>
  <c r="U87" i="1"/>
  <c r="AB87" i="1"/>
  <c r="Z87" i="1"/>
  <c r="X87" i="1"/>
  <c r="AA87" i="1"/>
  <c r="Y87" i="1"/>
  <c r="AF87" i="1"/>
  <c r="C87" i="7"/>
  <c r="S88" i="1"/>
  <c r="W88" i="1"/>
  <c r="U88" i="1"/>
  <c r="AB88" i="1"/>
  <c r="Z88" i="1"/>
  <c r="X88" i="1"/>
  <c r="AA88" i="1"/>
  <c r="Y88" i="1"/>
  <c r="AF88" i="1"/>
  <c r="C88" i="7"/>
  <c r="S89" i="1"/>
  <c r="W89" i="1"/>
  <c r="U89" i="1"/>
  <c r="AB89" i="1"/>
  <c r="Z89" i="1"/>
  <c r="X89" i="1"/>
  <c r="AA89" i="1"/>
  <c r="Y89" i="1"/>
  <c r="AF89" i="1"/>
  <c r="C89" i="7"/>
  <c r="S90" i="1"/>
  <c r="W90" i="1"/>
  <c r="U90" i="1"/>
  <c r="AB90" i="1"/>
  <c r="Z90" i="1"/>
  <c r="X90" i="1"/>
  <c r="AA90" i="1"/>
  <c r="Y90" i="1"/>
  <c r="AF90" i="1"/>
  <c r="C90" i="7"/>
  <c r="S91" i="1"/>
  <c r="W91" i="1"/>
  <c r="U91" i="1"/>
  <c r="AB91" i="1"/>
  <c r="Z91" i="1"/>
  <c r="X91" i="1"/>
  <c r="AA91" i="1"/>
  <c r="Y91" i="1"/>
  <c r="AF91" i="1"/>
  <c r="C91" i="7"/>
  <c r="S92" i="1"/>
  <c r="W92" i="1"/>
  <c r="U92" i="1"/>
  <c r="AB92" i="1"/>
  <c r="Z92" i="1"/>
  <c r="X92" i="1"/>
  <c r="AA92" i="1"/>
  <c r="Y92" i="1"/>
  <c r="AF92" i="1"/>
  <c r="C92" i="7"/>
  <c r="S93" i="1"/>
  <c r="W93" i="1"/>
  <c r="U93" i="1"/>
  <c r="AB93" i="1"/>
  <c r="Z93" i="1"/>
  <c r="X93" i="1"/>
  <c r="AA93" i="1"/>
  <c r="Y93" i="1"/>
  <c r="AF93" i="1"/>
  <c r="C93" i="7"/>
  <c r="S94" i="1"/>
  <c r="W94" i="1"/>
  <c r="U94" i="1"/>
  <c r="AB94" i="1"/>
  <c r="Z94" i="1"/>
  <c r="X94" i="1"/>
  <c r="AA94" i="1"/>
  <c r="Y94" i="1"/>
  <c r="AF94" i="1"/>
  <c r="C94" i="7"/>
  <c r="AC83" i="1"/>
  <c r="AC89" i="1"/>
  <c r="AC88" i="1"/>
  <c r="AC79" i="1"/>
  <c r="AC93" i="1"/>
  <c r="AC91" i="1"/>
  <c r="AC87" i="1"/>
  <c r="AC85" i="1"/>
  <c r="AC81" i="1"/>
  <c r="AC77" i="1"/>
  <c r="AC96" i="1"/>
  <c r="AE83" i="1"/>
  <c r="AE89" i="1"/>
  <c r="AE88" i="1"/>
  <c r="AE79" i="1"/>
  <c r="AE93" i="1"/>
  <c r="AE91" i="1"/>
  <c r="AE87" i="1"/>
  <c r="AE85" i="1"/>
  <c r="AE81" i="1"/>
  <c r="AE77" i="1"/>
  <c r="AE96" i="1"/>
  <c r="AD96" i="1"/>
  <c r="S96" i="1"/>
  <c r="W96" i="1"/>
  <c r="U96" i="1"/>
  <c r="AB96" i="1"/>
  <c r="Z96" i="1"/>
  <c r="X96" i="1"/>
  <c r="AA96" i="1"/>
  <c r="Y96" i="1"/>
  <c r="AF96" i="1"/>
  <c r="C96" i="7"/>
  <c r="AC84" i="1"/>
  <c r="AC90" i="1"/>
  <c r="AC80" i="1"/>
  <c r="AC92" i="1"/>
  <c r="AC94" i="1"/>
  <c r="AC86" i="1"/>
  <c r="AC78" i="1"/>
  <c r="AC82" i="1"/>
  <c r="AC98" i="1"/>
  <c r="AE84" i="1"/>
  <c r="AE90" i="1"/>
  <c r="AE80" i="1"/>
  <c r="AE92" i="1"/>
  <c r="AE94" i="1"/>
  <c r="AE86" i="1"/>
  <c r="AE78" i="1"/>
  <c r="AE82" i="1"/>
  <c r="AE98" i="1"/>
  <c r="AD98" i="1"/>
  <c r="S98" i="1"/>
  <c r="W98" i="1"/>
  <c r="U98" i="1"/>
  <c r="AB98" i="1"/>
  <c r="Z98" i="1"/>
  <c r="X98" i="1"/>
  <c r="AA98" i="1"/>
  <c r="Y98" i="1"/>
  <c r="AF98" i="1"/>
  <c r="C98" i="7"/>
  <c r="AC100" i="1"/>
  <c r="AE100" i="1"/>
  <c r="AD100" i="1"/>
  <c r="S100" i="1"/>
  <c r="W100" i="1"/>
  <c r="U100" i="1"/>
  <c r="AB100" i="1"/>
  <c r="Z100" i="1"/>
  <c r="X100" i="1"/>
  <c r="AA100" i="1"/>
  <c r="Y100" i="1"/>
  <c r="AF100" i="1"/>
  <c r="C100" i="7"/>
  <c r="S103" i="1"/>
  <c r="W103" i="1"/>
  <c r="U103" i="1"/>
  <c r="AB103" i="1"/>
  <c r="Z103" i="1"/>
  <c r="X103" i="1"/>
  <c r="AA103" i="1"/>
  <c r="Y103" i="1"/>
  <c r="AF103" i="1"/>
  <c r="C103" i="7"/>
  <c r="S104" i="1"/>
  <c r="W104" i="1"/>
  <c r="U104" i="1"/>
  <c r="AB104" i="1"/>
  <c r="Z104" i="1"/>
  <c r="X104" i="1"/>
  <c r="AA104" i="1"/>
  <c r="Y104" i="1"/>
  <c r="AF104" i="1"/>
  <c r="C104" i="7"/>
  <c r="S105" i="1"/>
  <c r="W105" i="1"/>
  <c r="U105" i="1"/>
  <c r="AB105" i="1"/>
  <c r="Z105" i="1"/>
  <c r="X105" i="1"/>
  <c r="AA105" i="1"/>
  <c r="Y105" i="1"/>
  <c r="AF105" i="1"/>
  <c r="C105" i="7"/>
  <c r="S106" i="1"/>
  <c r="W106" i="1"/>
  <c r="U106" i="1"/>
  <c r="AB106" i="1"/>
  <c r="Z106" i="1"/>
  <c r="X106" i="1"/>
  <c r="AA106" i="1"/>
  <c r="Y106" i="1"/>
  <c r="AF106" i="1"/>
  <c r="C106" i="7"/>
  <c r="S107" i="1"/>
  <c r="W107" i="1"/>
  <c r="U107" i="1"/>
  <c r="AB107" i="1"/>
  <c r="Z107" i="1"/>
  <c r="X107" i="1"/>
  <c r="AA107" i="1"/>
  <c r="Y107" i="1"/>
  <c r="AF107" i="1"/>
  <c r="C107" i="7"/>
  <c r="S108" i="1"/>
  <c r="W108" i="1"/>
  <c r="U108" i="1"/>
  <c r="AB108" i="1"/>
  <c r="Z108" i="1"/>
  <c r="X108" i="1"/>
  <c r="AA108" i="1"/>
  <c r="Y108" i="1"/>
  <c r="AF108" i="1"/>
  <c r="C108" i="7"/>
  <c r="S109" i="1"/>
  <c r="W109" i="1"/>
  <c r="U109" i="1"/>
  <c r="AB109" i="1"/>
  <c r="Z109" i="1"/>
  <c r="X109" i="1"/>
  <c r="AA109" i="1"/>
  <c r="Y109" i="1"/>
  <c r="AF109" i="1"/>
  <c r="C109" i="7"/>
  <c r="S110" i="1"/>
  <c r="W110" i="1"/>
  <c r="U110" i="1"/>
  <c r="AB110" i="1"/>
  <c r="Z110" i="1"/>
  <c r="X110" i="1"/>
  <c r="AA110" i="1"/>
  <c r="Y110" i="1"/>
  <c r="AF110" i="1"/>
  <c r="C110" i="7"/>
  <c r="S111" i="1"/>
  <c r="W111" i="1"/>
  <c r="U111" i="1"/>
  <c r="AB111" i="1"/>
  <c r="Z111" i="1"/>
  <c r="X111" i="1"/>
  <c r="AA111" i="1"/>
  <c r="Y111" i="1"/>
  <c r="AF111" i="1"/>
  <c r="C111" i="7"/>
  <c r="S112" i="1"/>
  <c r="W112" i="1"/>
  <c r="U112" i="1"/>
  <c r="AB112" i="1"/>
  <c r="Z112" i="1"/>
  <c r="X112" i="1"/>
  <c r="AA112" i="1"/>
  <c r="Y112" i="1"/>
  <c r="AF112" i="1"/>
  <c r="C112" i="7"/>
  <c r="S113" i="1"/>
  <c r="W113" i="1"/>
  <c r="U113" i="1"/>
  <c r="AB113" i="1"/>
  <c r="Z113" i="1"/>
  <c r="X113" i="1"/>
  <c r="AA113" i="1"/>
  <c r="Y113" i="1"/>
  <c r="AF113" i="1"/>
  <c r="C113" i="7"/>
  <c r="S114" i="1"/>
  <c r="W114" i="1"/>
  <c r="U114" i="1"/>
  <c r="AB114" i="1"/>
  <c r="Z114" i="1"/>
  <c r="X114" i="1"/>
  <c r="AA114" i="1"/>
  <c r="Y114" i="1"/>
  <c r="AF114" i="1"/>
  <c r="C114" i="7"/>
  <c r="S115" i="1"/>
  <c r="W115" i="1"/>
  <c r="U115" i="1"/>
  <c r="AB115" i="1"/>
  <c r="Z115" i="1"/>
  <c r="X115" i="1"/>
  <c r="AA115" i="1"/>
  <c r="Y115" i="1"/>
  <c r="AF115" i="1"/>
  <c r="C115" i="7"/>
  <c r="S116" i="1"/>
  <c r="W116" i="1"/>
  <c r="U116" i="1"/>
  <c r="AB116" i="1"/>
  <c r="Z116" i="1"/>
  <c r="X116" i="1"/>
  <c r="AA116" i="1"/>
  <c r="Y116" i="1"/>
  <c r="AF116" i="1"/>
  <c r="C116" i="7"/>
  <c r="S117" i="1"/>
  <c r="W117" i="1"/>
  <c r="U117" i="1"/>
  <c r="AB117" i="1"/>
  <c r="Z117" i="1"/>
  <c r="X117" i="1"/>
  <c r="AA117" i="1"/>
  <c r="Y117" i="1"/>
  <c r="AF117" i="1"/>
  <c r="C117" i="7"/>
  <c r="S118" i="1"/>
  <c r="W118" i="1"/>
  <c r="U118" i="1"/>
  <c r="AB118" i="1"/>
  <c r="Z118" i="1"/>
  <c r="X118" i="1"/>
  <c r="AA118" i="1"/>
  <c r="Y118" i="1"/>
  <c r="AF118" i="1"/>
  <c r="C118" i="7"/>
  <c r="S119" i="1"/>
  <c r="W119" i="1"/>
  <c r="U119" i="1"/>
  <c r="AB119" i="1"/>
  <c r="Z119" i="1"/>
  <c r="X119" i="1"/>
  <c r="AA119" i="1"/>
  <c r="Y119" i="1"/>
  <c r="AF119" i="1"/>
  <c r="C119" i="7"/>
  <c r="S120" i="1"/>
  <c r="W120" i="1"/>
  <c r="U120" i="1"/>
  <c r="AB120" i="1"/>
  <c r="Z120" i="1"/>
  <c r="X120" i="1"/>
  <c r="AA120" i="1"/>
  <c r="Y120" i="1"/>
  <c r="AF120" i="1"/>
  <c r="C120" i="7"/>
  <c r="S121" i="1"/>
  <c r="W121" i="1"/>
  <c r="U121" i="1"/>
  <c r="AB121" i="1"/>
  <c r="Z121" i="1"/>
  <c r="X121" i="1"/>
  <c r="AA121" i="1"/>
  <c r="Y121" i="1"/>
  <c r="AF121" i="1"/>
  <c r="C121" i="7"/>
  <c r="S122" i="1"/>
  <c r="W122" i="1"/>
  <c r="U122" i="1"/>
  <c r="AB122" i="1"/>
  <c r="Z122" i="1"/>
  <c r="X122" i="1"/>
  <c r="AA122" i="1"/>
  <c r="Y122" i="1"/>
  <c r="AF122" i="1"/>
  <c r="C122" i="7"/>
  <c r="S123" i="1"/>
  <c r="W123" i="1"/>
  <c r="U123" i="1"/>
  <c r="AB123" i="1"/>
  <c r="Z123" i="1"/>
  <c r="X123" i="1"/>
  <c r="AA123" i="1"/>
  <c r="Y123" i="1"/>
  <c r="AF123" i="1"/>
  <c r="C123" i="7"/>
  <c r="S124" i="1"/>
  <c r="W124" i="1"/>
  <c r="U124" i="1"/>
  <c r="AB124" i="1"/>
  <c r="Z124" i="1"/>
  <c r="X124" i="1"/>
  <c r="AA124" i="1"/>
  <c r="Y124" i="1"/>
  <c r="AF124" i="1"/>
  <c r="C124" i="7"/>
  <c r="S125" i="1"/>
  <c r="W125" i="1"/>
  <c r="U125" i="1"/>
  <c r="AB125" i="1"/>
  <c r="Z125" i="1"/>
  <c r="X125" i="1"/>
  <c r="AA125" i="1"/>
  <c r="Y125" i="1"/>
  <c r="AF125" i="1"/>
  <c r="C125" i="7"/>
  <c r="S126" i="1"/>
  <c r="W126" i="1"/>
  <c r="U126" i="1"/>
  <c r="AB126" i="1"/>
  <c r="Z126" i="1"/>
  <c r="X126" i="1"/>
  <c r="AA126" i="1"/>
  <c r="Y126" i="1"/>
  <c r="AF126" i="1"/>
  <c r="C126" i="7"/>
  <c r="S127" i="1"/>
  <c r="W127" i="1"/>
  <c r="U127" i="1"/>
  <c r="AB127" i="1"/>
  <c r="Z127" i="1"/>
  <c r="X127" i="1"/>
  <c r="AA127" i="1"/>
  <c r="Y127" i="1"/>
  <c r="AF127" i="1"/>
  <c r="C127" i="7"/>
  <c r="AC122" i="1"/>
  <c r="AC121" i="1"/>
  <c r="AC103" i="1"/>
  <c r="AC115" i="1"/>
  <c r="AC105" i="1"/>
  <c r="AC117" i="1"/>
  <c r="AC107" i="1"/>
  <c r="AC111" i="1"/>
  <c r="AC124" i="1"/>
  <c r="AC113" i="1"/>
  <c r="AC119" i="1"/>
  <c r="AC126" i="1"/>
  <c r="AC109" i="1"/>
  <c r="AC129" i="1"/>
  <c r="AE122" i="1"/>
  <c r="AE121" i="1"/>
  <c r="AE103" i="1"/>
  <c r="AE115" i="1"/>
  <c r="AE105" i="1"/>
  <c r="AE117" i="1"/>
  <c r="AE107" i="1"/>
  <c r="AE111" i="1"/>
  <c r="AE124" i="1"/>
  <c r="AE113" i="1"/>
  <c r="AE119" i="1"/>
  <c r="AE126" i="1"/>
  <c r="AE109" i="1"/>
  <c r="AE129" i="1"/>
  <c r="AD129" i="1"/>
  <c r="S129" i="1"/>
  <c r="W129" i="1"/>
  <c r="U129" i="1"/>
  <c r="AB129" i="1"/>
  <c r="Z129" i="1"/>
  <c r="X129" i="1"/>
  <c r="AA129" i="1"/>
  <c r="Y129" i="1"/>
  <c r="AF129" i="1"/>
  <c r="C129" i="7"/>
  <c r="AC114" i="1"/>
  <c r="AC127" i="1"/>
  <c r="AC110" i="1"/>
  <c r="AC108" i="1"/>
  <c r="AC106" i="1"/>
  <c r="AC118" i="1"/>
  <c r="AC116" i="1"/>
  <c r="AC104" i="1"/>
  <c r="AC123" i="1"/>
  <c r="AC131" i="1"/>
  <c r="AE114" i="1"/>
  <c r="AE127" i="1"/>
  <c r="AE110" i="1"/>
  <c r="AE108" i="1"/>
  <c r="AE106" i="1"/>
  <c r="AE118" i="1"/>
  <c r="AE116" i="1"/>
  <c r="AE104" i="1"/>
  <c r="AE123" i="1"/>
  <c r="AE131" i="1"/>
  <c r="AD131" i="1"/>
  <c r="S131" i="1"/>
  <c r="W131" i="1"/>
  <c r="U131" i="1"/>
  <c r="AB131" i="1"/>
  <c r="Z131" i="1"/>
  <c r="X131" i="1"/>
  <c r="AA131" i="1"/>
  <c r="Y131" i="1"/>
  <c r="AF131" i="1"/>
  <c r="C131" i="7"/>
  <c r="AC112" i="1"/>
  <c r="AC120" i="1"/>
  <c r="AC125" i="1"/>
  <c r="AC133" i="1"/>
  <c r="AE112" i="1"/>
  <c r="AE120" i="1"/>
  <c r="AE125" i="1"/>
  <c r="AE133" i="1"/>
  <c r="AD133" i="1"/>
  <c r="S133" i="1"/>
  <c r="W133" i="1"/>
  <c r="U133" i="1"/>
  <c r="AB133" i="1"/>
  <c r="Z133" i="1"/>
  <c r="X133" i="1"/>
  <c r="AA133" i="1"/>
  <c r="Y133" i="1"/>
  <c r="AF133" i="1"/>
  <c r="C133" i="7"/>
  <c r="S136" i="1"/>
  <c r="W136" i="1"/>
  <c r="U136" i="1"/>
  <c r="AB136" i="1"/>
  <c r="Z136" i="1"/>
  <c r="X136" i="1"/>
  <c r="AA136" i="1"/>
  <c r="Y136" i="1"/>
  <c r="AF136" i="1"/>
  <c r="C136" i="7"/>
  <c r="S137" i="1"/>
  <c r="W137" i="1"/>
  <c r="U137" i="1"/>
  <c r="AB137" i="1"/>
  <c r="Z137" i="1"/>
  <c r="X137" i="1"/>
  <c r="AA137" i="1"/>
  <c r="Y137" i="1"/>
  <c r="AF137" i="1"/>
  <c r="C137" i="7"/>
  <c r="S138" i="1"/>
  <c r="W138" i="1"/>
  <c r="U138" i="1"/>
  <c r="AB138" i="1"/>
  <c r="Z138" i="1"/>
  <c r="X138" i="1"/>
  <c r="AA138" i="1"/>
  <c r="Y138" i="1"/>
  <c r="AF138" i="1"/>
  <c r="C138" i="7"/>
  <c r="S139" i="1"/>
  <c r="W139" i="1"/>
  <c r="U139" i="1"/>
  <c r="AB139" i="1"/>
  <c r="Z139" i="1"/>
  <c r="X139" i="1"/>
  <c r="AA139" i="1"/>
  <c r="Y139" i="1"/>
  <c r="AF139" i="1"/>
  <c r="C139" i="7"/>
  <c r="S140" i="1"/>
  <c r="W140" i="1"/>
  <c r="U140" i="1"/>
  <c r="AB140" i="1"/>
  <c r="Z140" i="1"/>
  <c r="X140" i="1"/>
  <c r="AA140" i="1"/>
  <c r="Y140" i="1"/>
  <c r="AF140" i="1"/>
  <c r="C140" i="7"/>
  <c r="S141" i="1"/>
  <c r="W141" i="1"/>
  <c r="U141" i="1"/>
  <c r="AB141" i="1"/>
  <c r="Z141" i="1"/>
  <c r="X141" i="1"/>
  <c r="AA141" i="1"/>
  <c r="Y141" i="1"/>
  <c r="AF141" i="1"/>
  <c r="C141" i="7"/>
  <c r="S142" i="1"/>
  <c r="W142" i="1"/>
  <c r="U142" i="1"/>
  <c r="AB142" i="1"/>
  <c r="Z142" i="1"/>
  <c r="X142" i="1"/>
  <c r="AA142" i="1"/>
  <c r="Y142" i="1"/>
  <c r="AF142" i="1"/>
  <c r="C142" i="7"/>
  <c r="S143" i="1"/>
  <c r="W143" i="1"/>
  <c r="U143" i="1"/>
  <c r="AB143" i="1"/>
  <c r="Z143" i="1"/>
  <c r="X143" i="1"/>
  <c r="AA143" i="1"/>
  <c r="Y143" i="1"/>
  <c r="AF143" i="1"/>
  <c r="C143" i="7"/>
  <c r="S144" i="1"/>
  <c r="W144" i="1"/>
  <c r="U144" i="1"/>
  <c r="AB144" i="1"/>
  <c r="Z144" i="1"/>
  <c r="X144" i="1"/>
  <c r="AA144" i="1"/>
  <c r="Y144" i="1"/>
  <c r="AF144" i="1"/>
  <c r="C144" i="7"/>
  <c r="S145" i="1"/>
  <c r="W145" i="1"/>
  <c r="U145" i="1"/>
  <c r="AB145" i="1"/>
  <c r="Z145" i="1"/>
  <c r="X145" i="1"/>
  <c r="AA145" i="1"/>
  <c r="Y145" i="1"/>
  <c r="AF145" i="1"/>
  <c r="C145" i="7"/>
  <c r="S146" i="1"/>
  <c r="W146" i="1"/>
  <c r="U146" i="1"/>
  <c r="AB146" i="1"/>
  <c r="Z146" i="1"/>
  <c r="X146" i="1"/>
  <c r="AA146" i="1"/>
  <c r="Y146" i="1"/>
  <c r="AF146" i="1"/>
  <c r="C146" i="7"/>
  <c r="S147" i="1"/>
  <c r="W147" i="1"/>
  <c r="U147" i="1"/>
  <c r="AB147" i="1"/>
  <c r="Z147" i="1"/>
  <c r="X147" i="1"/>
  <c r="AA147" i="1"/>
  <c r="Y147" i="1"/>
  <c r="AF147" i="1"/>
  <c r="C147" i="7"/>
  <c r="S148" i="1"/>
  <c r="W148" i="1"/>
  <c r="U148" i="1"/>
  <c r="AB148" i="1"/>
  <c r="Z148" i="1"/>
  <c r="X148" i="1"/>
  <c r="AA148" i="1"/>
  <c r="Y148" i="1"/>
  <c r="AF148" i="1"/>
  <c r="C148" i="7"/>
  <c r="S149" i="1"/>
  <c r="W149" i="1"/>
  <c r="U149" i="1"/>
  <c r="AB149" i="1"/>
  <c r="Z149" i="1"/>
  <c r="X149" i="1"/>
  <c r="AA149" i="1"/>
  <c r="Y149" i="1"/>
  <c r="AF149" i="1"/>
  <c r="C149" i="7"/>
  <c r="S150" i="1"/>
  <c r="W150" i="1"/>
  <c r="U150" i="1"/>
  <c r="AB150" i="1"/>
  <c r="Z150" i="1"/>
  <c r="X150" i="1"/>
  <c r="AA150" i="1"/>
  <c r="Y150" i="1"/>
  <c r="AF150" i="1"/>
  <c r="C150" i="7"/>
  <c r="S151" i="1"/>
  <c r="W151" i="1"/>
  <c r="U151" i="1"/>
  <c r="AB151" i="1"/>
  <c r="Z151" i="1"/>
  <c r="X151" i="1"/>
  <c r="AA151" i="1"/>
  <c r="Y151" i="1"/>
  <c r="AF151" i="1"/>
  <c r="C151" i="7"/>
  <c r="S152" i="1"/>
  <c r="W152" i="1"/>
  <c r="U152" i="1"/>
  <c r="AB152" i="1"/>
  <c r="Z152" i="1"/>
  <c r="X152" i="1"/>
  <c r="AA152" i="1"/>
  <c r="Y152" i="1"/>
  <c r="AF152" i="1"/>
  <c r="C152" i="7"/>
  <c r="S153" i="1"/>
  <c r="W153" i="1"/>
  <c r="U153" i="1"/>
  <c r="AB153" i="1"/>
  <c r="Z153" i="1"/>
  <c r="X153" i="1"/>
  <c r="AA153" i="1"/>
  <c r="Y153" i="1"/>
  <c r="AF153" i="1"/>
  <c r="C153" i="7"/>
  <c r="S154" i="1"/>
  <c r="W154" i="1"/>
  <c r="U154" i="1"/>
  <c r="AB154" i="1"/>
  <c r="Z154" i="1"/>
  <c r="X154" i="1"/>
  <c r="AA154" i="1"/>
  <c r="Y154" i="1"/>
  <c r="AF154" i="1"/>
  <c r="C154" i="7"/>
  <c r="S155" i="1"/>
  <c r="W155" i="1"/>
  <c r="U155" i="1"/>
  <c r="AB155" i="1"/>
  <c r="Z155" i="1"/>
  <c r="X155" i="1"/>
  <c r="AA155" i="1"/>
  <c r="Y155" i="1"/>
  <c r="AF155" i="1"/>
  <c r="C155" i="7"/>
  <c r="S156" i="1"/>
  <c r="W156" i="1"/>
  <c r="U156" i="1"/>
  <c r="AB156" i="1"/>
  <c r="Z156" i="1"/>
  <c r="X156" i="1"/>
  <c r="AA156" i="1"/>
  <c r="Y156" i="1"/>
  <c r="AF156" i="1"/>
  <c r="C156" i="7"/>
  <c r="S157" i="1"/>
  <c r="W157" i="1"/>
  <c r="U157" i="1"/>
  <c r="AB157" i="1"/>
  <c r="Z157" i="1"/>
  <c r="X157" i="1"/>
  <c r="AA157" i="1"/>
  <c r="Y157" i="1"/>
  <c r="AF157" i="1"/>
  <c r="C157" i="7"/>
  <c r="S158" i="1"/>
  <c r="W158" i="1"/>
  <c r="U158" i="1"/>
  <c r="AB158" i="1"/>
  <c r="Z158" i="1"/>
  <c r="X158" i="1"/>
  <c r="AA158" i="1"/>
  <c r="Y158" i="1"/>
  <c r="AF158" i="1"/>
  <c r="C158" i="7"/>
  <c r="S159" i="1"/>
  <c r="W159" i="1"/>
  <c r="U159" i="1"/>
  <c r="AB159" i="1"/>
  <c r="Z159" i="1"/>
  <c r="X159" i="1"/>
  <c r="AA159" i="1"/>
  <c r="Y159" i="1"/>
  <c r="AF159" i="1"/>
  <c r="C159" i="7"/>
  <c r="S160" i="1"/>
  <c r="W160" i="1"/>
  <c r="U160" i="1"/>
  <c r="AB160" i="1"/>
  <c r="Z160" i="1"/>
  <c r="X160" i="1"/>
  <c r="AA160" i="1"/>
  <c r="Y160" i="1"/>
  <c r="AF160" i="1"/>
  <c r="C160" i="7"/>
  <c r="S161" i="1"/>
  <c r="W161" i="1"/>
  <c r="U161" i="1"/>
  <c r="AB161" i="1"/>
  <c r="Z161" i="1"/>
  <c r="X161" i="1"/>
  <c r="AA161" i="1"/>
  <c r="Y161" i="1"/>
  <c r="AF161" i="1"/>
  <c r="C161" i="7"/>
  <c r="S162" i="1"/>
  <c r="W162" i="1"/>
  <c r="U162" i="1"/>
  <c r="AB162" i="1"/>
  <c r="Z162" i="1"/>
  <c r="X162" i="1"/>
  <c r="AA162" i="1"/>
  <c r="Y162" i="1"/>
  <c r="AF162" i="1"/>
  <c r="C162" i="7"/>
  <c r="S163" i="1"/>
  <c r="W163" i="1"/>
  <c r="U163" i="1"/>
  <c r="AB163" i="1"/>
  <c r="Z163" i="1"/>
  <c r="X163" i="1"/>
  <c r="AA163" i="1"/>
  <c r="Y163" i="1"/>
  <c r="AF163" i="1"/>
  <c r="C163" i="7"/>
  <c r="S164" i="1"/>
  <c r="W164" i="1"/>
  <c r="U164" i="1"/>
  <c r="AB164" i="1"/>
  <c r="Z164" i="1"/>
  <c r="X164" i="1"/>
  <c r="AA164" i="1"/>
  <c r="Y164" i="1"/>
  <c r="AF164" i="1"/>
  <c r="C164" i="7"/>
  <c r="S165" i="1"/>
  <c r="W165" i="1"/>
  <c r="U165" i="1"/>
  <c r="AB165" i="1"/>
  <c r="Z165" i="1"/>
  <c r="X165" i="1"/>
  <c r="AA165" i="1"/>
  <c r="Y165" i="1"/>
  <c r="AF165" i="1"/>
  <c r="C165" i="7"/>
  <c r="S166" i="1"/>
  <c r="W166" i="1"/>
  <c r="U166" i="1"/>
  <c r="AB166" i="1"/>
  <c r="Z166" i="1"/>
  <c r="X166" i="1"/>
  <c r="AA166" i="1"/>
  <c r="Y166" i="1"/>
  <c r="AF166" i="1"/>
  <c r="C166" i="7"/>
  <c r="S167" i="1"/>
  <c r="W167" i="1"/>
  <c r="U167" i="1"/>
  <c r="AB167" i="1"/>
  <c r="Z167" i="1"/>
  <c r="X167" i="1"/>
  <c r="AA167" i="1"/>
  <c r="Y167" i="1"/>
  <c r="AF167" i="1"/>
  <c r="C167" i="7"/>
  <c r="S168" i="1"/>
  <c r="W168" i="1"/>
  <c r="U168" i="1"/>
  <c r="AB168" i="1"/>
  <c r="Z168" i="1"/>
  <c r="X168" i="1"/>
  <c r="AA168" i="1"/>
  <c r="Y168" i="1"/>
  <c r="AF168" i="1"/>
  <c r="C168" i="7"/>
  <c r="S169" i="1"/>
  <c r="W169" i="1"/>
  <c r="U169" i="1"/>
  <c r="AB169" i="1"/>
  <c r="Z169" i="1"/>
  <c r="X169" i="1"/>
  <c r="AA169" i="1"/>
  <c r="Y169" i="1"/>
  <c r="AF169" i="1"/>
  <c r="C169" i="7"/>
  <c r="S170" i="1"/>
  <c r="W170" i="1"/>
  <c r="U170" i="1"/>
  <c r="AB170" i="1"/>
  <c r="Z170" i="1"/>
  <c r="X170" i="1"/>
  <c r="AA170" i="1"/>
  <c r="Y170" i="1"/>
  <c r="AF170" i="1"/>
  <c r="C170" i="7"/>
  <c r="S171" i="1"/>
  <c r="W171" i="1"/>
  <c r="U171" i="1"/>
  <c r="AB171" i="1"/>
  <c r="Z171" i="1"/>
  <c r="X171" i="1"/>
  <c r="AA171" i="1"/>
  <c r="Y171" i="1"/>
  <c r="AF171" i="1"/>
  <c r="C171" i="7"/>
  <c r="S172" i="1"/>
  <c r="W172" i="1"/>
  <c r="U172" i="1"/>
  <c r="AB172" i="1"/>
  <c r="Z172" i="1"/>
  <c r="X172" i="1"/>
  <c r="AA172" i="1"/>
  <c r="Y172" i="1"/>
  <c r="AF172" i="1"/>
  <c r="C172" i="7"/>
  <c r="S173" i="1"/>
  <c r="W173" i="1"/>
  <c r="U173" i="1"/>
  <c r="AB173" i="1"/>
  <c r="Z173" i="1"/>
  <c r="X173" i="1"/>
  <c r="AA173" i="1"/>
  <c r="Y173" i="1"/>
  <c r="AF173" i="1"/>
  <c r="C173" i="7"/>
  <c r="AC154" i="1"/>
  <c r="AC142" i="1"/>
  <c r="AC144" i="1"/>
  <c r="AC145" i="1"/>
  <c r="AC168" i="1"/>
  <c r="AC167" i="1"/>
  <c r="AC139" i="1"/>
  <c r="AC170" i="1"/>
  <c r="AC164" i="1"/>
  <c r="AC140" i="1"/>
  <c r="AC152" i="1"/>
  <c r="AC150" i="1"/>
  <c r="AC148" i="1"/>
  <c r="AC146" i="1"/>
  <c r="AC136" i="1"/>
  <c r="AC162" i="1"/>
  <c r="AC160" i="1"/>
  <c r="AC172" i="1"/>
  <c r="AC158" i="1"/>
  <c r="AC156" i="1"/>
  <c r="AC175" i="1"/>
  <c r="AE154" i="1"/>
  <c r="AE142" i="1"/>
  <c r="AE144" i="1"/>
  <c r="AE145" i="1"/>
  <c r="AE168" i="1"/>
  <c r="AE167" i="1"/>
  <c r="AE139" i="1"/>
  <c r="AE170" i="1"/>
  <c r="AE164" i="1"/>
  <c r="AE140" i="1"/>
  <c r="AE152" i="1"/>
  <c r="AE150" i="1"/>
  <c r="AE148" i="1"/>
  <c r="AE146" i="1"/>
  <c r="AE136" i="1"/>
  <c r="AE162" i="1"/>
  <c r="AE160" i="1"/>
  <c r="AE172" i="1"/>
  <c r="AE158" i="1"/>
  <c r="AE156" i="1"/>
  <c r="AE175" i="1"/>
  <c r="AD175" i="1"/>
  <c r="S175" i="1"/>
  <c r="W175" i="1"/>
  <c r="U175" i="1"/>
  <c r="AB175" i="1"/>
  <c r="Z175" i="1"/>
  <c r="X175" i="1"/>
  <c r="AA175" i="1"/>
  <c r="Y175" i="1"/>
  <c r="AF175" i="1"/>
  <c r="C175" i="7"/>
  <c r="AC155" i="1"/>
  <c r="AC143" i="1"/>
  <c r="AC166" i="1"/>
  <c r="AC171" i="1"/>
  <c r="AC169" i="1"/>
  <c r="AC138" i="1"/>
  <c r="AC141" i="1"/>
  <c r="AC165" i="1"/>
  <c r="AC153" i="1"/>
  <c r="AC151" i="1"/>
  <c r="AC149" i="1"/>
  <c r="AC147" i="1"/>
  <c r="AC137" i="1"/>
  <c r="AC163" i="1"/>
  <c r="AC161" i="1"/>
  <c r="AC173" i="1"/>
  <c r="AC159" i="1"/>
  <c r="AC157" i="1"/>
  <c r="AC177" i="1"/>
  <c r="AE155" i="1"/>
  <c r="AE143" i="1"/>
  <c r="AE166" i="1"/>
  <c r="AE171" i="1"/>
  <c r="AE169" i="1"/>
  <c r="AE138" i="1"/>
  <c r="AE141" i="1"/>
  <c r="AE165" i="1"/>
  <c r="AE153" i="1"/>
  <c r="AE151" i="1"/>
  <c r="AE149" i="1"/>
  <c r="AE147" i="1"/>
  <c r="AE137" i="1"/>
  <c r="AE163" i="1"/>
  <c r="AE161" i="1"/>
  <c r="AE173" i="1"/>
  <c r="AE159" i="1"/>
  <c r="AE157" i="1"/>
  <c r="AE177" i="1"/>
  <c r="AD177" i="1"/>
  <c r="S177" i="1"/>
  <c r="W177" i="1"/>
  <c r="U177" i="1"/>
  <c r="AB177" i="1"/>
  <c r="Z177" i="1"/>
  <c r="X177" i="1"/>
  <c r="AA177" i="1"/>
  <c r="Y177" i="1"/>
  <c r="AF177" i="1"/>
  <c r="C177" i="7"/>
  <c r="AC179" i="1"/>
  <c r="AE179" i="1"/>
  <c r="AD179" i="1"/>
  <c r="S179" i="1"/>
  <c r="W179" i="1"/>
  <c r="U179" i="1"/>
  <c r="AB179" i="1"/>
  <c r="Z179" i="1"/>
  <c r="X179" i="1"/>
  <c r="AA179" i="1"/>
  <c r="Y179" i="1"/>
  <c r="AF179" i="1"/>
  <c r="C179" i="7"/>
  <c r="AC181" i="1"/>
  <c r="AE181" i="1"/>
  <c r="AD181" i="1"/>
  <c r="S181" i="1"/>
  <c r="W181" i="1"/>
  <c r="U181" i="1"/>
  <c r="AB181" i="1"/>
  <c r="Z181" i="1"/>
  <c r="X181" i="1"/>
  <c r="AA181" i="1"/>
  <c r="Y181" i="1"/>
  <c r="AF181" i="1"/>
  <c r="C181" i="7"/>
  <c r="AC183" i="1"/>
  <c r="AE183" i="1"/>
  <c r="AD183" i="1"/>
  <c r="S183" i="1"/>
  <c r="W183" i="1"/>
  <c r="U183" i="1"/>
  <c r="AB183" i="1"/>
  <c r="Z183" i="1"/>
  <c r="X183" i="1"/>
  <c r="AA183" i="1"/>
  <c r="Y183" i="1"/>
  <c r="AF183" i="1"/>
  <c r="C183" i="7"/>
  <c r="AC185" i="1"/>
  <c r="AE185" i="1"/>
  <c r="AD185" i="1"/>
  <c r="S185" i="1"/>
  <c r="W185" i="1"/>
  <c r="U185" i="1"/>
  <c r="AB185" i="1"/>
  <c r="Z185" i="1"/>
  <c r="X185" i="1"/>
  <c r="AA185" i="1"/>
  <c r="Y185" i="1"/>
  <c r="AF185" i="1"/>
  <c r="C185" i="7"/>
  <c r="AB4" i="1"/>
  <c r="Z4" i="1"/>
  <c r="X4" i="1"/>
  <c r="AA4" i="1"/>
  <c r="Y4" i="1"/>
  <c r="C4" i="7"/>
  <c r="S77" i="2"/>
  <c r="W77" i="2"/>
  <c r="U77" i="2"/>
  <c r="AC77" i="2"/>
  <c r="S78" i="2"/>
  <c r="W78" i="2"/>
  <c r="U78" i="2"/>
  <c r="AC78" i="2"/>
  <c r="S79" i="2"/>
  <c r="W79" i="2"/>
  <c r="U79" i="2"/>
  <c r="AC79" i="2"/>
  <c r="S80" i="2"/>
  <c r="W80" i="2"/>
  <c r="U80" i="2"/>
  <c r="AC80" i="2"/>
  <c r="S81" i="2"/>
  <c r="W81" i="2"/>
  <c r="U81" i="2"/>
  <c r="AC81" i="2"/>
  <c r="S82" i="2"/>
  <c r="W82" i="2"/>
  <c r="U82" i="2"/>
  <c r="AC82" i="2"/>
  <c r="S83" i="2"/>
  <c r="W83" i="2"/>
  <c r="U83" i="2"/>
  <c r="AC83" i="2"/>
  <c r="S84" i="2"/>
  <c r="W84" i="2"/>
  <c r="U84" i="2"/>
  <c r="AC84" i="2"/>
  <c r="S85" i="2"/>
  <c r="W85" i="2"/>
  <c r="U85" i="2"/>
  <c r="AC85" i="2"/>
  <c r="S86" i="2"/>
  <c r="W86" i="2"/>
  <c r="U86" i="2"/>
  <c r="AC86" i="2"/>
  <c r="S87" i="2"/>
  <c r="W87" i="2"/>
  <c r="U87" i="2"/>
  <c r="AC87" i="2"/>
  <c r="S88" i="2"/>
  <c r="W88" i="2"/>
  <c r="U88" i="2"/>
  <c r="AC88" i="2"/>
  <c r="S89" i="2"/>
  <c r="W89" i="2"/>
  <c r="U89" i="2"/>
  <c r="AC89" i="2"/>
  <c r="S90" i="2"/>
  <c r="W90" i="2"/>
  <c r="U90" i="2"/>
  <c r="AC90" i="2"/>
  <c r="S91" i="2"/>
  <c r="W91" i="2"/>
  <c r="U91" i="2"/>
  <c r="AC91" i="2"/>
  <c r="S92" i="2"/>
  <c r="W92" i="2"/>
  <c r="U92" i="2"/>
  <c r="AC92" i="2"/>
  <c r="S93" i="2"/>
  <c r="W93" i="2"/>
  <c r="U93" i="2"/>
  <c r="AC93" i="2"/>
  <c r="S94" i="2"/>
  <c r="W94" i="2"/>
  <c r="U94" i="2"/>
  <c r="AC94" i="2"/>
  <c r="AC100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100" i="2"/>
  <c r="AD100" i="2"/>
  <c r="S100" i="2"/>
  <c r="W100" i="2"/>
  <c r="U100" i="2"/>
  <c r="AB100" i="2"/>
  <c r="Z100" i="2"/>
  <c r="X100" i="2"/>
  <c r="AA100" i="2"/>
  <c r="Y100" i="2"/>
  <c r="AF100" i="2"/>
  <c r="C100" i="6"/>
  <c r="S136" i="2"/>
  <c r="W136" i="2"/>
  <c r="U136" i="2"/>
  <c r="AC136" i="2"/>
  <c r="S137" i="2"/>
  <c r="W137" i="2"/>
  <c r="U137" i="2"/>
  <c r="AC137" i="2"/>
  <c r="S138" i="2"/>
  <c r="W138" i="2"/>
  <c r="U138" i="2"/>
  <c r="AC138" i="2"/>
  <c r="S139" i="2"/>
  <c r="W139" i="2"/>
  <c r="U139" i="2"/>
  <c r="AC139" i="2"/>
  <c r="S140" i="2"/>
  <c r="W140" i="2"/>
  <c r="U140" i="2"/>
  <c r="AC140" i="2"/>
  <c r="S141" i="2"/>
  <c r="W141" i="2"/>
  <c r="U141" i="2"/>
  <c r="AC141" i="2"/>
  <c r="S142" i="2"/>
  <c r="W142" i="2"/>
  <c r="U142" i="2"/>
  <c r="AC142" i="2"/>
  <c r="S143" i="2"/>
  <c r="W143" i="2"/>
  <c r="U143" i="2"/>
  <c r="AC143" i="2"/>
  <c r="S144" i="2"/>
  <c r="W144" i="2"/>
  <c r="U144" i="2"/>
  <c r="AC144" i="2"/>
  <c r="S145" i="2"/>
  <c r="W145" i="2"/>
  <c r="U145" i="2"/>
  <c r="AC145" i="2"/>
  <c r="S146" i="2"/>
  <c r="W146" i="2"/>
  <c r="U146" i="2"/>
  <c r="AC146" i="2"/>
  <c r="S147" i="2"/>
  <c r="W147" i="2"/>
  <c r="U147" i="2"/>
  <c r="AC147" i="2"/>
  <c r="S148" i="2"/>
  <c r="W148" i="2"/>
  <c r="U148" i="2"/>
  <c r="AC148" i="2"/>
  <c r="S149" i="2"/>
  <c r="W149" i="2"/>
  <c r="U149" i="2"/>
  <c r="AC149" i="2"/>
  <c r="S150" i="2"/>
  <c r="W150" i="2"/>
  <c r="U150" i="2"/>
  <c r="AC150" i="2"/>
  <c r="S151" i="2"/>
  <c r="W151" i="2"/>
  <c r="U151" i="2"/>
  <c r="AC151" i="2"/>
  <c r="S152" i="2"/>
  <c r="W152" i="2"/>
  <c r="U152" i="2"/>
  <c r="AC152" i="2"/>
  <c r="S153" i="2"/>
  <c r="W153" i="2"/>
  <c r="U153" i="2"/>
  <c r="AC153" i="2"/>
  <c r="S154" i="2"/>
  <c r="W154" i="2"/>
  <c r="U154" i="2"/>
  <c r="AC154" i="2"/>
  <c r="S155" i="2"/>
  <c r="W155" i="2"/>
  <c r="U155" i="2"/>
  <c r="AC155" i="2"/>
  <c r="S156" i="2"/>
  <c r="W156" i="2"/>
  <c r="U156" i="2"/>
  <c r="AC156" i="2"/>
  <c r="S157" i="2"/>
  <c r="W157" i="2"/>
  <c r="U157" i="2"/>
  <c r="AC157" i="2"/>
  <c r="S158" i="2"/>
  <c r="W158" i="2"/>
  <c r="U158" i="2"/>
  <c r="AC158" i="2"/>
  <c r="S159" i="2"/>
  <c r="W159" i="2"/>
  <c r="U159" i="2"/>
  <c r="AC159" i="2"/>
  <c r="S160" i="2"/>
  <c r="W160" i="2"/>
  <c r="U160" i="2"/>
  <c r="AC160" i="2"/>
  <c r="S161" i="2"/>
  <c r="W161" i="2"/>
  <c r="U161" i="2"/>
  <c r="AC161" i="2"/>
  <c r="S162" i="2"/>
  <c r="W162" i="2"/>
  <c r="U162" i="2"/>
  <c r="AC162" i="2"/>
  <c r="S163" i="2"/>
  <c r="W163" i="2"/>
  <c r="U163" i="2"/>
  <c r="AC163" i="2"/>
  <c r="S164" i="2"/>
  <c r="W164" i="2"/>
  <c r="U164" i="2"/>
  <c r="AC164" i="2"/>
  <c r="S165" i="2"/>
  <c r="W165" i="2"/>
  <c r="U165" i="2"/>
  <c r="AC165" i="2"/>
  <c r="S166" i="2"/>
  <c r="W166" i="2"/>
  <c r="U166" i="2"/>
  <c r="AC166" i="2"/>
  <c r="S167" i="2"/>
  <c r="W167" i="2"/>
  <c r="U167" i="2"/>
  <c r="AC167" i="2"/>
  <c r="S168" i="2"/>
  <c r="W168" i="2"/>
  <c r="U168" i="2"/>
  <c r="AC168" i="2"/>
  <c r="S169" i="2"/>
  <c r="W169" i="2"/>
  <c r="U169" i="2"/>
  <c r="AC169" i="2"/>
  <c r="S170" i="2"/>
  <c r="W170" i="2"/>
  <c r="U170" i="2"/>
  <c r="AC170" i="2"/>
  <c r="S171" i="2"/>
  <c r="W171" i="2"/>
  <c r="U171" i="2"/>
  <c r="AC171" i="2"/>
  <c r="S172" i="2"/>
  <c r="W172" i="2"/>
  <c r="U172" i="2"/>
  <c r="AC172" i="2"/>
  <c r="S173" i="2"/>
  <c r="W173" i="2"/>
  <c r="U173" i="2"/>
  <c r="AC173" i="2"/>
  <c r="AC179" i="2"/>
  <c r="S103" i="2"/>
  <c r="W103" i="2"/>
  <c r="U103" i="2"/>
  <c r="AC103" i="2"/>
  <c r="S104" i="2"/>
  <c r="W104" i="2"/>
  <c r="U104" i="2"/>
  <c r="AC104" i="2"/>
  <c r="S105" i="2"/>
  <c r="W105" i="2"/>
  <c r="U105" i="2"/>
  <c r="AC105" i="2"/>
  <c r="S106" i="2"/>
  <c r="W106" i="2"/>
  <c r="U106" i="2"/>
  <c r="AC106" i="2"/>
  <c r="S107" i="2"/>
  <c r="W107" i="2"/>
  <c r="U107" i="2"/>
  <c r="AC107" i="2"/>
  <c r="S108" i="2"/>
  <c r="W108" i="2"/>
  <c r="U108" i="2"/>
  <c r="AC108" i="2"/>
  <c r="S109" i="2"/>
  <c r="W109" i="2"/>
  <c r="U109" i="2"/>
  <c r="AC109" i="2"/>
  <c r="S110" i="2"/>
  <c r="W110" i="2"/>
  <c r="U110" i="2"/>
  <c r="AC110" i="2"/>
  <c r="S111" i="2"/>
  <c r="W111" i="2"/>
  <c r="U111" i="2"/>
  <c r="AC111" i="2"/>
  <c r="S112" i="2"/>
  <c r="W112" i="2"/>
  <c r="U112" i="2"/>
  <c r="AC112" i="2"/>
  <c r="S113" i="2"/>
  <c r="W113" i="2"/>
  <c r="U113" i="2"/>
  <c r="AC113" i="2"/>
  <c r="S114" i="2"/>
  <c r="W114" i="2"/>
  <c r="U114" i="2"/>
  <c r="AC114" i="2"/>
  <c r="S115" i="2"/>
  <c r="W115" i="2"/>
  <c r="U115" i="2"/>
  <c r="AC115" i="2"/>
  <c r="S116" i="2"/>
  <c r="W116" i="2"/>
  <c r="U116" i="2"/>
  <c r="AC116" i="2"/>
  <c r="S117" i="2"/>
  <c r="W117" i="2"/>
  <c r="U117" i="2"/>
  <c r="AC117" i="2"/>
  <c r="S118" i="2"/>
  <c r="W118" i="2"/>
  <c r="U118" i="2"/>
  <c r="AC118" i="2"/>
  <c r="S119" i="2"/>
  <c r="W119" i="2"/>
  <c r="U119" i="2"/>
  <c r="AC119" i="2"/>
  <c r="S120" i="2"/>
  <c r="W120" i="2"/>
  <c r="U120" i="2"/>
  <c r="AC120" i="2"/>
  <c r="S121" i="2"/>
  <c r="W121" i="2"/>
  <c r="U121" i="2"/>
  <c r="AC121" i="2"/>
  <c r="S122" i="2"/>
  <c r="W122" i="2"/>
  <c r="U122" i="2"/>
  <c r="AC122" i="2"/>
  <c r="S123" i="2"/>
  <c r="W123" i="2"/>
  <c r="U123" i="2"/>
  <c r="AC123" i="2"/>
  <c r="S124" i="2"/>
  <c r="W124" i="2"/>
  <c r="U124" i="2"/>
  <c r="AC124" i="2"/>
  <c r="S125" i="2"/>
  <c r="W125" i="2"/>
  <c r="U125" i="2"/>
  <c r="AC125" i="2"/>
  <c r="S126" i="2"/>
  <c r="W126" i="2"/>
  <c r="U126" i="2"/>
  <c r="AC126" i="2"/>
  <c r="S127" i="2"/>
  <c r="W127" i="2"/>
  <c r="U127" i="2"/>
  <c r="AC127" i="2"/>
  <c r="AC133" i="2"/>
  <c r="S47" i="2"/>
  <c r="W47" i="2"/>
  <c r="U47" i="2"/>
  <c r="AC47" i="2"/>
  <c r="S48" i="2"/>
  <c r="W48" i="2"/>
  <c r="U48" i="2"/>
  <c r="AC48" i="2"/>
  <c r="S49" i="2"/>
  <c r="W49" i="2"/>
  <c r="U49" i="2"/>
  <c r="AC49" i="2"/>
  <c r="S50" i="2"/>
  <c r="W50" i="2"/>
  <c r="U50" i="2"/>
  <c r="AC50" i="2"/>
  <c r="S51" i="2"/>
  <c r="W51" i="2"/>
  <c r="U51" i="2"/>
  <c r="AC51" i="2"/>
  <c r="S52" i="2"/>
  <c r="W52" i="2"/>
  <c r="U52" i="2"/>
  <c r="AC52" i="2"/>
  <c r="S53" i="2"/>
  <c r="W53" i="2"/>
  <c r="U53" i="2"/>
  <c r="AC53" i="2"/>
  <c r="S54" i="2"/>
  <c r="W54" i="2"/>
  <c r="U54" i="2"/>
  <c r="AC54" i="2"/>
  <c r="S55" i="2"/>
  <c r="W55" i="2"/>
  <c r="U55" i="2"/>
  <c r="AC55" i="2"/>
  <c r="S56" i="2"/>
  <c r="W56" i="2"/>
  <c r="U56" i="2"/>
  <c r="AC56" i="2"/>
  <c r="S57" i="2"/>
  <c r="W57" i="2"/>
  <c r="U57" i="2"/>
  <c r="AC57" i="2"/>
  <c r="S58" i="2"/>
  <c r="W58" i="2"/>
  <c r="U58" i="2"/>
  <c r="AC58" i="2"/>
  <c r="S59" i="2"/>
  <c r="W59" i="2"/>
  <c r="U59" i="2"/>
  <c r="AC59" i="2"/>
  <c r="S60" i="2"/>
  <c r="W60" i="2"/>
  <c r="U60" i="2"/>
  <c r="AC60" i="2"/>
  <c r="S61" i="2"/>
  <c r="W61" i="2"/>
  <c r="U61" i="2"/>
  <c r="AC61" i="2"/>
  <c r="S62" i="2"/>
  <c r="W62" i="2"/>
  <c r="U62" i="2"/>
  <c r="AC62" i="2"/>
  <c r="S63" i="2"/>
  <c r="W63" i="2"/>
  <c r="U63" i="2"/>
  <c r="AC63" i="2"/>
  <c r="S64" i="2"/>
  <c r="W64" i="2"/>
  <c r="U64" i="2"/>
  <c r="AC64" i="2"/>
  <c r="S65" i="2"/>
  <c r="W65" i="2"/>
  <c r="U65" i="2"/>
  <c r="AC65" i="2"/>
  <c r="S66" i="2"/>
  <c r="W66" i="2"/>
  <c r="U66" i="2"/>
  <c r="AC66" i="2"/>
  <c r="S67" i="2"/>
  <c r="W67" i="2"/>
  <c r="U67" i="2"/>
  <c r="AC67" i="2"/>
  <c r="S68" i="2"/>
  <c r="W68" i="2"/>
  <c r="U68" i="2"/>
  <c r="AC68" i="2"/>
  <c r="AC74" i="2"/>
  <c r="S25" i="2"/>
  <c r="W25" i="2"/>
  <c r="U25" i="2"/>
  <c r="AC25" i="2"/>
  <c r="S26" i="2"/>
  <c r="W26" i="2"/>
  <c r="U26" i="2"/>
  <c r="AC26" i="2"/>
  <c r="S27" i="2"/>
  <c r="W27" i="2"/>
  <c r="U27" i="2"/>
  <c r="AC27" i="2"/>
  <c r="S28" i="2"/>
  <c r="W28" i="2"/>
  <c r="U28" i="2"/>
  <c r="AC28" i="2"/>
  <c r="S29" i="2"/>
  <c r="W29" i="2"/>
  <c r="U29" i="2"/>
  <c r="AC29" i="2"/>
  <c r="S30" i="2"/>
  <c r="W30" i="2"/>
  <c r="U30" i="2"/>
  <c r="AC30" i="2"/>
  <c r="S31" i="2"/>
  <c r="W31" i="2"/>
  <c r="U31" i="2"/>
  <c r="AC31" i="2"/>
  <c r="S32" i="2"/>
  <c r="W32" i="2"/>
  <c r="U32" i="2"/>
  <c r="AC32" i="2"/>
  <c r="S33" i="2"/>
  <c r="W33" i="2"/>
  <c r="U33" i="2"/>
  <c r="AC33" i="2"/>
  <c r="S34" i="2"/>
  <c r="W34" i="2"/>
  <c r="U34" i="2"/>
  <c r="AC34" i="2"/>
  <c r="S35" i="2"/>
  <c r="W35" i="2"/>
  <c r="U35" i="2"/>
  <c r="AC35" i="2"/>
  <c r="S36" i="2"/>
  <c r="W36" i="2"/>
  <c r="U36" i="2"/>
  <c r="AC36" i="2"/>
  <c r="S37" i="2"/>
  <c r="W37" i="2"/>
  <c r="U37" i="2"/>
  <c r="AC37" i="2"/>
  <c r="S38" i="2"/>
  <c r="W38" i="2"/>
  <c r="U38" i="2"/>
  <c r="AC38" i="2"/>
  <c r="AC44" i="2"/>
  <c r="S4" i="2"/>
  <c r="W4" i="2"/>
  <c r="U4" i="2"/>
  <c r="AC4" i="2"/>
  <c r="S5" i="2"/>
  <c r="W5" i="2"/>
  <c r="U5" i="2"/>
  <c r="AC5" i="2"/>
  <c r="S6" i="2"/>
  <c r="W6" i="2"/>
  <c r="U6" i="2"/>
  <c r="AC6" i="2"/>
  <c r="S7" i="2"/>
  <c r="W7" i="2"/>
  <c r="U7" i="2"/>
  <c r="AC7" i="2"/>
  <c r="S8" i="2"/>
  <c r="W8" i="2"/>
  <c r="U8" i="2"/>
  <c r="AC8" i="2"/>
  <c r="S9" i="2"/>
  <c r="W9" i="2"/>
  <c r="U9" i="2"/>
  <c r="AC9" i="2"/>
  <c r="S10" i="2"/>
  <c r="W10" i="2"/>
  <c r="U10" i="2"/>
  <c r="AC10" i="2"/>
  <c r="S11" i="2"/>
  <c r="W11" i="2"/>
  <c r="U11" i="2"/>
  <c r="AC11" i="2"/>
  <c r="S12" i="2"/>
  <c r="W12" i="2"/>
  <c r="U12" i="2"/>
  <c r="AC12" i="2"/>
  <c r="S13" i="2"/>
  <c r="W13" i="2"/>
  <c r="U13" i="2"/>
  <c r="AC13" i="2"/>
  <c r="S14" i="2"/>
  <c r="W14" i="2"/>
  <c r="U14" i="2"/>
  <c r="AC14" i="2"/>
  <c r="S15" i="2"/>
  <c r="W15" i="2"/>
  <c r="U15" i="2"/>
  <c r="AC15" i="2"/>
  <c r="S16" i="2"/>
  <c r="W16" i="2"/>
  <c r="U16" i="2"/>
  <c r="AC16" i="2"/>
  <c r="AC22" i="2"/>
  <c r="AC18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9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33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7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4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22" i="2"/>
  <c r="AE185" i="2"/>
  <c r="AD185" i="2"/>
  <c r="S185" i="2"/>
  <c r="W185" i="2"/>
  <c r="U185" i="2"/>
  <c r="AB185" i="2"/>
  <c r="Z185" i="2"/>
  <c r="X185" i="2"/>
  <c r="AA185" i="2"/>
  <c r="Y185" i="2"/>
  <c r="AF185" i="2"/>
  <c r="C185" i="6"/>
  <c r="AC177" i="2"/>
  <c r="AC131" i="2"/>
  <c r="AC98" i="2"/>
  <c r="AC72" i="2"/>
  <c r="AC42" i="2"/>
  <c r="AC20" i="2"/>
  <c r="AC183" i="2"/>
  <c r="AE177" i="2"/>
  <c r="AE131" i="2"/>
  <c r="AE98" i="2"/>
  <c r="AE72" i="2"/>
  <c r="AE42" i="2"/>
  <c r="AE20" i="2"/>
  <c r="AE183" i="2"/>
  <c r="AD183" i="2"/>
  <c r="S183" i="2"/>
  <c r="W183" i="2"/>
  <c r="U183" i="2"/>
  <c r="AB183" i="2"/>
  <c r="Z183" i="2"/>
  <c r="X183" i="2"/>
  <c r="AA183" i="2"/>
  <c r="Y183" i="2"/>
  <c r="AF183" i="2"/>
  <c r="C183" i="6"/>
  <c r="AC175" i="2"/>
  <c r="AC129" i="2"/>
  <c r="AC96" i="2"/>
  <c r="AC70" i="2"/>
  <c r="AC40" i="2"/>
  <c r="AC18" i="2"/>
  <c r="AC181" i="2"/>
  <c r="AE175" i="2"/>
  <c r="AE129" i="2"/>
  <c r="AE96" i="2"/>
  <c r="AE70" i="2"/>
  <c r="AE40" i="2"/>
  <c r="AE18" i="2"/>
  <c r="AE181" i="2"/>
  <c r="AD181" i="2"/>
  <c r="S181" i="2"/>
  <c r="W181" i="2"/>
  <c r="U181" i="2"/>
  <c r="AB181" i="2"/>
  <c r="Z181" i="2"/>
  <c r="X181" i="2"/>
  <c r="AA181" i="2"/>
  <c r="Y181" i="2"/>
  <c r="AF181" i="2"/>
  <c r="C181" i="6"/>
  <c r="AD179" i="2"/>
  <c r="S179" i="2"/>
  <c r="W179" i="2"/>
  <c r="U179" i="2"/>
  <c r="AB179" i="2"/>
  <c r="Z179" i="2"/>
  <c r="X179" i="2"/>
  <c r="AA179" i="2"/>
  <c r="Y179" i="2"/>
  <c r="AF179" i="2"/>
  <c r="C179" i="6"/>
  <c r="AD177" i="2"/>
  <c r="S177" i="2"/>
  <c r="W177" i="2"/>
  <c r="U177" i="2"/>
  <c r="AB177" i="2"/>
  <c r="Z177" i="2"/>
  <c r="X177" i="2"/>
  <c r="AA177" i="2"/>
  <c r="Y177" i="2"/>
  <c r="AF177" i="2"/>
  <c r="C177" i="6"/>
  <c r="AD175" i="2"/>
  <c r="S175" i="2"/>
  <c r="W175" i="2"/>
  <c r="U175" i="2"/>
  <c r="AB175" i="2"/>
  <c r="Z175" i="2"/>
  <c r="X175" i="2"/>
  <c r="AA175" i="2"/>
  <c r="Y175" i="2"/>
  <c r="AF175" i="2"/>
  <c r="C175" i="6"/>
  <c r="AB173" i="2"/>
  <c r="Z173" i="2"/>
  <c r="X173" i="2"/>
  <c r="AA173" i="2"/>
  <c r="Y173" i="2"/>
  <c r="AF173" i="2"/>
  <c r="C173" i="6"/>
  <c r="AB172" i="2"/>
  <c r="Z172" i="2"/>
  <c r="X172" i="2"/>
  <c r="AA172" i="2"/>
  <c r="Y172" i="2"/>
  <c r="AF172" i="2"/>
  <c r="C172" i="6"/>
  <c r="AB171" i="2"/>
  <c r="Z171" i="2"/>
  <c r="X171" i="2"/>
  <c r="AA171" i="2"/>
  <c r="Y171" i="2"/>
  <c r="AF171" i="2"/>
  <c r="C171" i="6"/>
  <c r="AB170" i="2"/>
  <c r="Z170" i="2"/>
  <c r="X170" i="2"/>
  <c r="AA170" i="2"/>
  <c r="Y170" i="2"/>
  <c r="AF170" i="2"/>
  <c r="C170" i="6"/>
  <c r="AB169" i="2"/>
  <c r="Z169" i="2"/>
  <c r="X169" i="2"/>
  <c r="AA169" i="2"/>
  <c r="Y169" i="2"/>
  <c r="AF169" i="2"/>
  <c r="C169" i="6"/>
  <c r="AB168" i="2"/>
  <c r="Z168" i="2"/>
  <c r="X168" i="2"/>
  <c r="AA168" i="2"/>
  <c r="Y168" i="2"/>
  <c r="AF168" i="2"/>
  <c r="C168" i="6"/>
  <c r="AB167" i="2"/>
  <c r="Z167" i="2"/>
  <c r="X167" i="2"/>
  <c r="AA167" i="2"/>
  <c r="Y167" i="2"/>
  <c r="AF167" i="2"/>
  <c r="C167" i="6"/>
  <c r="AB166" i="2"/>
  <c r="Z166" i="2"/>
  <c r="X166" i="2"/>
  <c r="AA166" i="2"/>
  <c r="Y166" i="2"/>
  <c r="AF166" i="2"/>
  <c r="C166" i="6"/>
  <c r="AB165" i="2"/>
  <c r="Z165" i="2"/>
  <c r="X165" i="2"/>
  <c r="AA165" i="2"/>
  <c r="Y165" i="2"/>
  <c r="AF165" i="2"/>
  <c r="C165" i="6"/>
  <c r="AB164" i="2"/>
  <c r="Z164" i="2"/>
  <c r="X164" i="2"/>
  <c r="AA164" i="2"/>
  <c r="Y164" i="2"/>
  <c r="AF164" i="2"/>
  <c r="C164" i="6"/>
  <c r="AB163" i="2"/>
  <c r="Z163" i="2"/>
  <c r="X163" i="2"/>
  <c r="AA163" i="2"/>
  <c r="Y163" i="2"/>
  <c r="AF163" i="2"/>
  <c r="C163" i="6"/>
  <c r="AB162" i="2"/>
  <c r="Z162" i="2"/>
  <c r="X162" i="2"/>
  <c r="AA162" i="2"/>
  <c r="Y162" i="2"/>
  <c r="AF162" i="2"/>
  <c r="C162" i="6"/>
  <c r="AB161" i="2"/>
  <c r="Z161" i="2"/>
  <c r="X161" i="2"/>
  <c r="AA161" i="2"/>
  <c r="Y161" i="2"/>
  <c r="AF161" i="2"/>
  <c r="C161" i="6"/>
  <c r="AB160" i="2"/>
  <c r="Z160" i="2"/>
  <c r="X160" i="2"/>
  <c r="AA160" i="2"/>
  <c r="Y160" i="2"/>
  <c r="AF160" i="2"/>
  <c r="C160" i="6"/>
  <c r="AB159" i="2"/>
  <c r="Z159" i="2"/>
  <c r="X159" i="2"/>
  <c r="AA159" i="2"/>
  <c r="Y159" i="2"/>
  <c r="AF159" i="2"/>
  <c r="C159" i="6"/>
  <c r="AB158" i="2"/>
  <c r="Z158" i="2"/>
  <c r="X158" i="2"/>
  <c r="AA158" i="2"/>
  <c r="Y158" i="2"/>
  <c r="AF158" i="2"/>
  <c r="C158" i="6"/>
  <c r="AB157" i="2"/>
  <c r="Z157" i="2"/>
  <c r="X157" i="2"/>
  <c r="AA157" i="2"/>
  <c r="Y157" i="2"/>
  <c r="AF157" i="2"/>
  <c r="C157" i="6"/>
  <c r="AB156" i="2"/>
  <c r="Z156" i="2"/>
  <c r="X156" i="2"/>
  <c r="AA156" i="2"/>
  <c r="Y156" i="2"/>
  <c r="AF156" i="2"/>
  <c r="C156" i="6"/>
  <c r="AB155" i="2"/>
  <c r="Z155" i="2"/>
  <c r="X155" i="2"/>
  <c r="AA155" i="2"/>
  <c r="Y155" i="2"/>
  <c r="AF155" i="2"/>
  <c r="C155" i="6"/>
  <c r="AB154" i="2"/>
  <c r="Z154" i="2"/>
  <c r="X154" i="2"/>
  <c r="AA154" i="2"/>
  <c r="Y154" i="2"/>
  <c r="AF154" i="2"/>
  <c r="C154" i="6"/>
  <c r="AB153" i="2"/>
  <c r="Z153" i="2"/>
  <c r="X153" i="2"/>
  <c r="AA153" i="2"/>
  <c r="Y153" i="2"/>
  <c r="AF153" i="2"/>
  <c r="C153" i="6"/>
  <c r="AB152" i="2"/>
  <c r="Z152" i="2"/>
  <c r="X152" i="2"/>
  <c r="AA152" i="2"/>
  <c r="Y152" i="2"/>
  <c r="AF152" i="2"/>
  <c r="C152" i="6"/>
  <c r="AB151" i="2"/>
  <c r="Z151" i="2"/>
  <c r="X151" i="2"/>
  <c r="AA151" i="2"/>
  <c r="Y151" i="2"/>
  <c r="AF151" i="2"/>
  <c r="C151" i="6"/>
  <c r="AB150" i="2"/>
  <c r="Z150" i="2"/>
  <c r="X150" i="2"/>
  <c r="AA150" i="2"/>
  <c r="Y150" i="2"/>
  <c r="AF150" i="2"/>
  <c r="C150" i="6"/>
  <c r="AB149" i="2"/>
  <c r="Z149" i="2"/>
  <c r="X149" i="2"/>
  <c r="AA149" i="2"/>
  <c r="Y149" i="2"/>
  <c r="AF149" i="2"/>
  <c r="C149" i="6"/>
  <c r="AB148" i="2"/>
  <c r="Z148" i="2"/>
  <c r="X148" i="2"/>
  <c r="AA148" i="2"/>
  <c r="Y148" i="2"/>
  <c r="AF148" i="2"/>
  <c r="C148" i="6"/>
  <c r="AB147" i="2"/>
  <c r="Z147" i="2"/>
  <c r="X147" i="2"/>
  <c r="AA147" i="2"/>
  <c r="Y147" i="2"/>
  <c r="AF147" i="2"/>
  <c r="C147" i="6"/>
  <c r="AB146" i="2"/>
  <c r="Z146" i="2"/>
  <c r="X146" i="2"/>
  <c r="AA146" i="2"/>
  <c r="Y146" i="2"/>
  <c r="AF146" i="2"/>
  <c r="C146" i="6"/>
  <c r="AB145" i="2"/>
  <c r="Z145" i="2"/>
  <c r="X145" i="2"/>
  <c r="AA145" i="2"/>
  <c r="Y145" i="2"/>
  <c r="AF145" i="2"/>
  <c r="C145" i="6"/>
  <c r="AB144" i="2"/>
  <c r="Z144" i="2"/>
  <c r="X144" i="2"/>
  <c r="AA144" i="2"/>
  <c r="Y144" i="2"/>
  <c r="AF144" i="2"/>
  <c r="C144" i="6"/>
  <c r="AB143" i="2"/>
  <c r="Z143" i="2"/>
  <c r="X143" i="2"/>
  <c r="AA143" i="2"/>
  <c r="Y143" i="2"/>
  <c r="AF143" i="2"/>
  <c r="C143" i="6"/>
  <c r="AB142" i="2"/>
  <c r="Z142" i="2"/>
  <c r="X142" i="2"/>
  <c r="AA142" i="2"/>
  <c r="Y142" i="2"/>
  <c r="AF142" i="2"/>
  <c r="C142" i="6"/>
  <c r="AB141" i="2"/>
  <c r="Z141" i="2"/>
  <c r="X141" i="2"/>
  <c r="AA141" i="2"/>
  <c r="Y141" i="2"/>
  <c r="AF141" i="2"/>
  <c r="C141" i="6"/>
  <c r="AB140" i="2"/>
  <c r="Z140" i="2"/>
  <c r="X140" i="2"/>
  <c r="AA140" i="2"/>
  <c r="Y140" i="2"/>
  <c r="AF140" i="2"/>
  <c r="C140" i="6"/>
  <c r="AB139" i="2"/>
  <c r="Z139" i="2"/>
  <c r="X139" i="2"/>
  <c r="AA139" i="2"/>
  <c r="Y139" i="2"/>
  <c r="AF139" i="2"/>
  <c r="C139" i="6"/>
  <c r="AB138" i="2"/>
  <c r="Z138" i="2"/>
  <c r="X138" i="2"/>
  <c r="AA138" i="2"/>
  <c r="Y138" i="2"/>
  <c r="AF138" i="2"/>
  <c r="C138" i="6"/>
  <c r="AB137" i="2"/>
  <c r="Z137" i="2"/>
  <c r="X137" i="2"/>
  <c r="AA137" i="2"/>
  <c r="Y137" i="2"/>
  <c r="AF137" i="2"/>
  <c r="C137" i="6"/>
  <c r="AB136" i="2"/>
  <c r="Z136" i="2"/>
  <c r="X136" i="2"/>
  <c r="AA136" i="2"/>
  <c r="Y136" i="2"/>
  <c r="AF136" i="2"/>
  <c r="C136" i="6"/>
  <c r="AD133" i="2"/>
  <c r="S133" i="2"/>
  <c r="W133" i="2"/>
  <c r="U133" i="2"/>
  <c r="AB133" i="2"/>
  <c r="Z133" i="2"/>
  <c r="X133" i="2"/>
  <c r="AA133" i="2"/>
  <c r="Y133" i="2"/>
  <c r="AF133" i="2"/>
  <c r="C133" i="6"/>
  <c r="AD131" i="2"/>
  <c r="S131" i="2"/>
  <c r="W131" i="2"/>
  <c r="U131" i="2"/>
  <c r="AB131" i="2"/>
  <c r="Z131" i="2"/>
  <c r="X131" i="2"/>
  <c r="AA131" i="2"/>
  <c r="Y131" i="2"/>
  <c r="AF131" i="2"/>
  <c r="C131" i="6"/>
  <c r="AD129" i="2"/>
  <c r="S129" i="2"/>
  <c r="W129" i="2"/>
  <c r="U129" i="2"/>
  <c r="AB129" i="2"/>
  <c r="Z129" i="2"/>
  <c r="X129" i="2"/>
  <c r="AA129" i="2"/>
  <c r="Y129" i="2"/>
  <c r="AF129" i="2"/>
  <c r="C129" i="6"/>
  <c r="AB127" i="2"/>
  <c r="Z127" i="2"/>
  <c r="X127" i="2"/>
  <c r="AA127" i="2"/>
  <c r="Y127" i="2"/>
  <c r="AF127" i="2"/>
  <c r="C127" i="6"/>
  <c r="AB126" i="2"/>
  <c r="Z126" i="2"/>
  <c r="X126" i="2"/>
  <c r="AA126" i="2"/>
  <c r="Y126" i="2"/>
  <c r="AF126" i="2"/>
  <c r="C126" i="6"/>
  <c r="AB125" i="2"/>
  <c r="Z125" i="2"/>
  <c r="X125" i="2"/>
  <c r="AA125" i="2"/>
  <c r="Y125" i="2"/>
  <c r="AF125" i="2"/>
  <c r="C125" i="6"/>
  <c r="AB124" i="2"/>
  <c r="Z124" i="2"/>
  <c r="X124" i="2"/>
  <c r="AA124" i="2"/>
  <c r="Y124" i="2"/>
  <c r="AF124" i="2"/>
  <c r="C124" i="6"/>
  <c r="AB123" i="2"/>
  <c r="Z123" i="2"/>
  <c r="X123" i="2"/>
  <c r="AA123" i="2"/>
  <c r="Y123" i="2"/>
  <c r="AF123" i="2"/>
  <c r="C123" i="6"/>
  <c r="AB122" i="2"/>
  <c r="Z122" i="2"/>
  <c r="X122" i="2"/>
  <c r="AA122" i="2"/>
  <c r="Y122" i="2"/>
  <c r="AF122" i="2"/>
  <c r="C122" i="6"/>
  <c r="AB121" i="2"/>
  <c r="Z121" i="2"/>
  <c r="X121" i="2"/>
  <c r="AA121" i="2"/>
  <c r="Y121" i="2"/>
  <c r="AF121" i="2"/>
  <c r="C121" i="6"/>
  <c r="AB120" i="2"/>
  <c r="Z120" i="2"/>
  <c r="X120" i="2"/>
  <c r="AA120" i="2"/>
  <c r="Y120" i="2"/>
  <c r="AF120" i="2"/>
  <c r="C120" i="6"/>
  <c r="AB119" i="2"/>
  <c r="Z119" i="2"/>
  <c r="X119" i="2"/>
  <c r="AA119" i="2"/>
  <c r="Y119" i="2"/>
  <c r="AF119" i="2"/>
  <c r="C119" i="6"/>
  <c r="AB118" i="2"/>
  <c r="Z118" i="2"/>
  <c r="X118" i="2"/>
  <c r="AA118" i="2"/>
  <c r="Y118" i="2"/>
  <c r="AF118" i="2"/>
  <c r="C118" i="6"/>
  <c r="AB117" i="2"/>
  <c r="Z117" i="2"/>
  <c r="X117" i="2"/>
  <c r="AA117" i="2"/>
  <c r="Y117" i="2"/>
  <c r="AF117" i="2"/>
  <c r="C117" i="6"/>
  <c r="AB116" i="2"/>
  <c r="Z116" i="2"/>
  <c r="X116" i="2"/>
  <c r="AA116" i="2"/>
  <c r="Y116" i="2"/>
  <c r="AF116" i="2"/>
  <c r="C116" i="6"/>
  <c r="AB115" i="2"/>
  <c r="Z115" i="2"/>
  <c r="X115" i="2"/>
  <c r="AA115" i="2"/>
  <c r="Y115" i="2"/>
  <c r="AF115" i="2"/>
  <c r="C115" i="6"/>
  <c r="AB114" i="2"/>
  <c r="Z114" i="2"/>
  <c r="X114" i="2"/>
  <c r="AA114" i="2"/>
  <c r="Y114" i="2"/>
  <c r="AF114" i="2"/>
  <c r="C114" i="6"/>
  <c r="AB113" i="2"/>
  <c r="Z113" i="2"/>
  <c r="X113" i="2"/>
  <c r="AA113" i="2"/>
  <c r="Y113" i="2"/>
  <c r="AF113" i="2"/>
  <c r="C113" i="6"/>
  <c r="AB112" i="2"/>
  <c r="Z112" i="2"/>
  <c r="X112" i="2"/>
  <c r="AA112" i="2"/>
  <c r="Y112" i="2"/>
  <c r="AF112" i="2"/>
  <c r="C112" i="6"/>
  <c r="AB111" i="2"/>
  <c r="Z111" i="2"/>
  <c r="X111" i="2"/>
  <c r="AA111" i="2"/>
  <c r="Y111" i="2"/>
  <c r="AF111" i="2"/>
  <c r="C111" i="6"/>
  <c r="AB110" i="2"/>
  <c r="Z110" i="2"/>
  <c r="X110" i="2"/>
  <c r="AA110" i="2"/>
  <c r="Y110" i="2"/>
  <c r="AF110" i="2"/>
  <c r="C110" i="6"/>
  <c r="AB109" i="2"/>
  <c r="Z109" i="2"/>
  <c r="X109" i="2"/>
  <c r="AA109" i="2"/>
  <c r="Y109" i="2"/>
  <c r="AF109" i="2"/>
  <c r="C109" i="6"/>
  <c r="AB108" i="2"/>
  <c r="Z108" i="2"/>
  <c r="X108" i="2"/>
  <c r="AA108" i="2"/>
  <c r="Y108" i="2"/>
  <c r="AF108" i="2"/>
  <c r="C108" i="6"/>
  <c r="AB107" i="2"/>
  <c r="Z107" i="2"/>
  <c r="X107" i="2"/>
  <c r="AA107" i="2"/>
  <c r="Y107" i="2"/>
  <c r="AF107" i="2"/>
  <c r="C107" i="6"/>
  <c r="AB106" i="2"/>
  <c r="Z106" i="2"/>
  <c r="X106" i="2"/>
  <c r="AA106" i="2"/>
  <c r="Y106" i="2"/>
  <c r="AF106" i="2"/>
  <c r="C106" i="6"/>
  <c r="AB105" i="2"/>
  <c r="Z105" i="2"/>
  <c r="X105" i="2"/>
  <c r="AA105" i="2"/>
  <c r="Y105" i="2"/>
  <c r="AF105" i="2"/>
  <c r="C105" i="6"/>
  <c r="AB104" i="2"/>
  <c r="Z104" i="2"/>
  <c r="X104" i="2"/>
  <c r="AA104" i="2"/>
  <c r="Y104" i="2"/>
  <c r="AF104" i="2"/>
  <c r="C104" i="6"/>
  <c r="AB103" i="2"/>
  <c r="Z103" i="2"/>
  <c r="X103" i="2"/>
  <c r="AA103" i="2"/>
  <c r="Y103" i="2"/>
  <c r="AF103" i="2"/>
  <c r="C103" i="6"/>
  <c r="AD98" i="2"/>
  <c r="S98" i="2"/>
  <c r="W98" i="2"/>
  <c r="U98" i="2"/>
  <c r="AB98" i="2"/>
  <c r="Z98" i="2"/>
  <c r="X98" i="2"/>
  <c r="AA98" i="2"/>
  <c r="Y98" i="2"/>
  <c r="AF98" i="2"/>
  <c r="C98" i="6"/>
  <c r="AD96" i="2"/>
  <c r="S96" i="2"/>
  <c r="W96" i="2"/>
  <c r="U96" i="2"/>
  <c r="AB96" i="2"/>
  <c r="Z96" i="2"/>
  <c r="X96" i="2"/>
  <c r="AA96" i="2"/>
  <c r="Y96" i="2"/>
  <c r="AF96" i="2"/>
  <c r="C96" i="6"/>
  <c r="AB94" i="2"/>
  <c r="Z94" i="2"/>
  <c r="X94" i="2"/>
  <c r="AA94" i="2"/>
  <c r="Y94" i="2"/>
  <c r="AF94" i="2"/>
  <c r="C94" i="6"/>
  <c r="AB93" i="2"/>
  <c r="Z93" i="2"/>
  <c r="X93" i="2"/>
  <c r="AA93" i="2"/>
  <c r="Y93" i="2"/>
  <c r="AF93" i="2"/>
  <c r="C93" i="6"/>
  <c r="AB92" i="2"/>
  <c r="Z92" i="2"/>
  <c r="X92" i="2"/>
  <c r="AA92" i="2"/>
  <c r="Y92" i="2"/>
  <c r="AF92" i="2"/>
  <c r="C92" i="6"/>
  <c r="AB91" i="2"/>
  <c r="Z91" i="2"/>
  <c r="X91" i="2"/>
  <c r="AA91" i="2"/>
  <c r="Y91" i="2"/>
  <c r="AF91" i="2"/>
  <c r="C91" i="6"/>
  <c r="AB90" i="2"/>
  <c r="Z90" i="2"/>
  <c r="X90" i="2"/>
  <c r="AA90" i="2"/>
  <c r="Y90" i="2"/>
  <c r="AF90" i="2"/>
  <c r="C90" i="6"/>
  <c r="AB89" i="2"/>
  <c r="Z89" i="2"/>
  <c r="X89" i="2"/>
  <c r="AA89" i="2"/>
  <c r="Y89" i="2"/>
  <c r="AF89" i="2"/>
  <c r="C89" i="6"/>
  <c r="AB88" i="2"/>
  <c r="Z88" i="2"/>
  <c r="X88" i="2"/>
  <c r="AA88" i="2"/>
  <c r="Y88" i="2"/>
  <c r="AF88" i="2"/>
  <c r="C88" i="6"/>
  <c r="AB87" i="2"/>
  <c r="Z87" i="2"/>
  <c r="X87" i="2"/>
  <c r="AA87" i="2"/>
  <c r="Y87" i="2"/>
  <c r="AF87" i="2"/>
  <c r="C87" i="6"/>
  <c r="AB86" i="2"/>
  <c r="Z86" i="2"/>
  <c r="X86" i="2"/>
  <c r="AA86" i="2"/>
  <c r="Y86" i="2"/>
  <c r="AF86" i="2"/>
  <c r="C86" i="6"/>
  <c r="AB85" i="2"/>
  <c r="Z85" i="2"/>
  <c r="X85" i="2"/>
  <c r="AA85" i="2"/>
  <c r="Y85" i="2"/>
  <c r="AF85" i="2"/>
  <c r="C85" i="6"/>
  <c r="AB84" i="2"/>
  <c r="Z84" i="2"/>
  <c r="X84" i="2"/>
  <c r="AA84" i="2"/>
  <c r="Y84" i="2"/>
  <c r="AF84" i="2"/>
  <c r="C84" i="6"/>
  <c r="AB83" i="2"/>
  <c r="Z83" i="2"/>
  <c r="X83" i="2"/>
  <c r="AA83" i="2"/>
  <c r="Y83" i="2"/>
  <c r="AF83" i="2"/>
  <c r="C83" i="6"/>
  <c r="AB82" i="2"/>
  <c r="Z82" i="2"/>
  <c r="X82" i="2"/>
  <c r="AA82" i="2"/>
  <c r="Y82" i="2"/>
  <c r="AF82" i="2"/>
  <c r="C82" i="6"/>
  <c r="AB81" i="2"/>
  <c r="Z81" i="2"/>
  <c r="X81" i="2"/>
  <c r="AA81" i="2"/>
  <c r="Y81" i="2"/>
  <c r="AF81" i="2"/>
  <c r="C81" i="6"/>
  <c r="AB80" i="2"/>
  <c r="Z80" i="2"/>
  <c r="X80" i="2"/>
  <c r="AA80" i="2"/>
  <c r="Y80" i="2"/>
  <c r="AF80" i="2"/>
  <c r="C80" i="6"/>
  <c r="AB79" i="2"/>
  <c r="Z79" i="2"/>
  <c r="X79" i="2"/>
  <c r="AA79" i="2"/>
  <c r="Y79" i="2"/>
  <c r="AF79" i="2"/>
  <c r="C79" i="6"/>
  <c r="AB78" i="2"/>
  <c r="Z78" i="2"/>
  <c r="X78" i="2"/>
  <c r="AA78" i="2"/>
  <c r="Y78" i="2"/>
  <c r="AF78" i="2"/>
  <c r="C78" i="6"/>
  <c r="AB77" i="2"/>
  <c r="Z77" i="2"/>
  <c r="X77" i="2"/>
  <c r="AA77" i="2"/>
  <c r="Y77" i="2"/>
  <c r="AF77" i="2"/>
  <c r="C77" i="6"/>
  <c r="AD74" i="2"/>
  <c r="S74" i="2"/>
  <c r="W74" i="2"/>
  <c r="U74" i="2"/>
  <c r="AB74" i="2"/>
  <c r="Z74" i="2"/>
  <c r="X74" i="2"/>
  <c r="AA74" i="2"/>
  <c r="Y74" i="2"/>
  <c r="AF74" i="2"/>
  <c r="C74" i="6"/>
  <c r="AD72" i="2"/>
  <c r="S72" i="2"/>
  <c r="W72" i="2"/>
  <c r="U72" i="2"/>
  <c r="AB72" i="2"/>
  <c r="Z72" i="2"/>
  <c r="X72" i="2"/>
  <c r="AA72" i="2"/>
  <c r="Y72" i="2"/>
  <c r="AF72" i="2"/>
  <c r="C72" i="6"/>
  <c r="AD70" i="2"/>
  <c r="S70" i="2"/>
  <c r="W70" i="2"/>
  <c r="U70" i="2"/>
  <c r="AB70" i="2"/>
  <c r="Z70" i="2"/>
  <c r="X70" i="2"/>
  <c r="AA70" i="2"/>
  <c r="Y70" i="2"/>
  <c r="AF70" i="2"/>
  <c r="C70" i="6"/>
  <c r="AB68" i="2"/>
  <c r="Z68" i="2"/>
  <c r="X68" i="2"/>
  <c r="AA68" i="2"/>
  <c r="Y68" i="2"/>
  <c r="AF68" i="2"/>
  <c r="C68" i="6"/>
  <c r="AB67" i="2"/>
  <c r="Z67" i="2"/>
  <c r="X67" i="2"/>
  <c r="AA67" i="2"/>
  <c r="Y67" i="2"/>
  <c r="AF67" i="2"/>
  <c r="C67" i="6"/>
  <c r="AB66" i="2"/>
  <c r="Z66" i="2"/>
  <c r="X66" i="2"/>
  <c r="AA66" i="2"/>
  <c r="Y66" i="2"/>
  <c r="AF66" i="2"/>
  <c r="C66" i="6"/>
  <c r="AB65" i="2"/>
  <c r="Z65" i="2"/>
  <c r="X65" i="2"/>
  <c r="AA65" i="2"/>
  <c r="Y65" i="2"/>
  <c r="AF65" i="2"/>
  <c r="C65" i="6"/>
  <c r="AB64" i="2"/>
  <c r="Z64" i="2"/>
  <c r="X64" i="2"/>
  <c r="AA64" i="2"/>
  <c r="Y64" i="2"/>
  <c r="AF64" i="2"/>
  <c r="C64" i="6"/>
  <c r="AB63" i="2"/>
  <c r="Z63" i="2"/>
  <c r="X63" i="2"/>
  <c r="AA63" i="2"/>
  <c r="Y63" i="2"/>
  <c r="AF63" i="2"/>
  <c r="C63" i="6"/>
  <c r="AB62" i="2"/>
  <c r="Z62" i="2"/>
  <c r="X62" i="2"/>
  <c r="AA62" i="2"/>
  <c r="Y62" i="2"/>
  <c r="AF62" i="2"/>
  <c r="C62" i="6"/>
  <c r="AB61" i="2"/>
  <c r="Z61" i="2"/>
  <c r="X61" i="2"/>
  <c r="AA61" i="2"/>
  <c r="Y61" i="2"/>
  <c r="AF61" i="2"/>
  <c r="C61" i="6"/>
  <c r="AB60" i="2"/>
  <c r="Z60" i="2"/>
  <c r="X60" i="2"/>
  <c r="AA60" i="2"/>
  <c r="Y60" i="2"/>
  <c r="AF60" i="2"/>
  <c r="C60" i="6"/>
  <c r="AB59" i="2"/>
  <c r="Z59" i="2"/>
  <c r="X59" i="2"/>
  <c r="AA59" i="2"/>
  <c r="Y59" i="2"/>
  <c r="AF59" i="2"/>
  <c r="C59" i="6"/>
  <c r="AB58" i="2"/>
  <c r="Z58" i="2"/>
  <c r="X58" i="2"/>
  <c r="AA58" i="2"/>
  <c r="Y58" i="2"/>
  <c r="AF58" i="2"/>
  <c r="C58" i="6"/>
  <c r="AB57" i="2"/>
  <c r="Z57" i="2"/>
  <c r="X57" i="2"/>
  <c r="AA57" i="2"/>
  <c r="Y57" i="2"/>
  <c r="AF57" i="2"/>
  <c r="C57" i="6"/>
  <c r="AB56" i="2"/>
  <c r="Z56" i="2"/>
  <c r="X56" i="2"/>
  <c r="AA56" i="2"/>
  <c r="Y56" i="2"/>
  <c r="AF56" i="2"/>
  <c r="C56" i="6"/>
  <c r="AB55" i="2"/>
  <c r="Z55" i="2"/>
  <c r="X55" i="2"/>
  <c r="AA55" i="2"/>
  <c r="Y55" i="2"/>
  <c r="AF55" i="2"/>
  <c r="C55" i="6"/>
  <c r="AB54" i="2"/>
  <c r="Z54" i="2"/>
  <c r="X54" i="2"/>
  <c r="AA54" i="2"/>
  <c r="Y54" i="2"/>
  <c r="AF54" i="2"/>
  <c r="C54" i="6"/>
  <c r="AB53" i="2"/>
  <c r="Z53" i="2"/>
  <c r="X53" i="2"/>
  <c r="AA53" i="2"/>
  <c r="Y53" i="2"/>
  <c r="AF53" i="2"/>
  <c r="C53" i="6"/>
  <c r="AB52" i="2"/>
  <c r="Z52" i="2"/>
  <c r="X52" i="2"/>
  <c r="AA52" i="2"/>
  <c r="Y52" i="2"/>
  <c r="AF52" i="2"/>
  <c r="C52" i="6"/>
  <c r="AB51" i="2"/>
  <c r="Z51" i="2"/>
  <c r="X51" i="2"/>
  <c r="AA51" i="2"/>
  <c r="Y51" i="2"/>
  <c r="AF51" i="2"/>
  <c r="C51" i="6"/>
  <c r="AB50" i="2"/>
  <c r="Z50" i="2"/>
  <c r="X50" i="2"/>
  <c r="AA50" i="2"/>
  <c r="Y50" i="2"/>
  <c r="AF50" i="2"/>
  <c r="C50" i="6"/>
  <c r="AB49" i="2"/>
  <c r="Z49" i="2"/>
  <c r="X49" i="2"/>
  <c r="AA49" i="2"/>
  <c r="Y49" i="2"/>
  <c r="AF49" i="2"/>
  <c r="C49" i="6"/>
  <c r="AB48" i="2"/>
  <c r="Z48" i="2"/>
  <c r="X48" i="2"/>
  <c r="AA48" i="2"/>
  <c r="Y48" i="2"/>
  <c r="AF48" i="2"/>
  <c r="C48" i="6"/>
  <c r="AB47" i="2"/>
  <c r="Z47" i="2"/>
  <c r="X47" i="2"/>
  <c r="AA47" i="2"/>
  <c r="Y47" i="2"/>
  <c r="AF47" i="2"/>
  <c r="C47" i="6"/>
  <c r="AD44" i="2"/>
  <c r="S44" i="2"/>
  <c r="W44" i="2"/>
  <c r="U44" i="2"/>
  <c r="AB44" i="2"/>
  <c r="Z44" i="2"/>
  <c r="X44" i="2"/>
  <c r="AA44" i="2"/>
  <c r="Y44" i="2"/>
  <c r="AF44" i="2"/>
  <c r="C44" i="6"/>
  <c r="AD42" i="2"/>
  <c r="S42" i="2"/>
  <c r="W42" i="2"/>
  <c r="U42" i="2"/>
  <c r="AB42" i="2"/>
  <c r="Z42" i="2"/>
  <c r="X42" i="2"/>
  <c r="AA42" i="2"/>
  <c r="Y42" i="2"/>
  <c r="AF42" i="2"/>
  <c r="C42" i="6"/>
  <c r="AD40" i="2"/>
  <c r="S40" i="2"/>
  <c r="W40" i="2"/>
  <c r="U40" i="2"/>
  <c r="AB40" i="2"/>
  <c r="Z40" i="2"/>
  <c r="X40" i="2"/>
  <c r="AA40" i="2"/>
  <c r="Y40" i="2"/>
  <c r="AF40" i="2"/>
  <c r="C40" i="6"/>
  <c r="AB38" i="2"/>
  <c r="Z38" i="2"/>
  <c r="X38" i="2"/>
  <c r="AA38" i="2"/>
  <c r="Y38" i="2"/>
  <c r="AF38" i="2"/>
  <c r="C38" i="6"/>
  <c r="AB37" i="2"/>
  <c r="Z37" i="2"/>
  <c r="X37" i="2"/>
  <c r="AA37" i="2"/>
  <c r="Y37" i="2"/>
  <c r="AF37" i="2"/>
  <c r="C37" i="6"/>
  <c r="AB36" i="2"/>
  <c r="Z36" i="2"/>
  <c r="X36" i="2"/>
  <c r="AA36" i="2"/>
  <c r="Y36" i="2"/>
  <c r="AF36" i="2"/>
  <c r="C36" i="6"/>
  <c r="AB35" i="2"/>
  <c r="Z35" i="2"/>
  <c r="X35" i="2"/>
  <c r="AA35" i="2"/>
  <c r="Y35" i="2"/>
  <c r="AF35" i="2"/>
  <c r="C35" i="6"/>
  <c r="AB34" i="2"/>
  <c r="Z34" i="2"/>
  <c r="X34" i="2"/>
  <c r="AA34" i="2"/>
  <c r="Y34" i="2"/>
  <c r="AF34" i="2"/>
  <c r="C34" i="6"/>
  <c r="AB33" i="2"/>
  <c r="Z33" i="2"/>
  <c r="X33" i="2"/>
  <c r="AA33" i="2"/>
  <c r="Y33" i="2"/>
  <c r="AF33" i="2"/>
  <c r="C33" i="6"/>
  <c r="AB32" i="2"/>
  <c r="Z32" i="2"/>
  <c r="X32" i="2"/>
  <c r="AA32" i="2"/>
  <c r="Y32" i="2"/>
  <c r="AF32" i="2"/>
  <c r="C32" i="6"/>
  <c r="AB31" i="2"/>
  <c r="Z31" i="2"/>
  <c r="X31" i="2"/>
  <c r="AA31" i="2"/>
  <c r="Y31" i="2"/>
  <c r="AF31" i="2"/>
  <c r="C31" i="6"/>
  <c r="AB30" i="2"/>
  <c r="Z30" i="2"/>
  <c r="X30" i="2"/>
  <c r="AA30" i="2"/>
  <c r="Y30" i="2"/>
  <c r="AF30" i="2"/>
  <c r="C30" i="6"/>
  <c r="AB29" i="2"/>
  <c r="Z29" i="2"/>
  <c r="X29" i="2"/>
  <c r="AA29" i="2"/>
  <c r="Y29" i="2"/>
  <c r="AF29" i="2"/>
  <c r="C29" i="6"/>
  <c r="AB28" i="2"/>
  <c r="Z28" i="2"/>
  <c r="X28" i="2"/>
  <c r="AA28" i="2"/>
  <c r="Y28" i="2"/>
  <c r="AF28" i="2"/>
  <c r="C28" i="6"/>
  <c r="AB27" i="2"/>
  <c r="Z27" i="2"/>
  <c r="X27" i="2"/>
  <c r="AA27" i="2"/>
  <c r="Y27" i="2"/>
  <c r="AF27" i="2"/>
  <c r="C27" i="6"/>
  <c r="AB26" i="2"/>
  <c r="Z26" i="2"/>
  <c r="X26" i="2"/>
  <c r="AA26" i="2"/>
  <c r="Y26" i="2"/>
  <c r="AF26" i="2"/>
  <c r="C26" i="6"/>
  <c r="AB25" i="2"/>
  <c r="Z25" i="2"/>
  <c r="X25" i="2"/>
  <c r="AA25" i="2"/>
  <c r="Y25" i="2"/>
  <c r="AF25" i="2"/>
  <c r="C25" i="6"/>
  <c r="AD22" i="2"/>
  <c r="S22" i="2"/>
  <c r="W22" i="2"/>
  <c r="U22" i="2"/>
  <c r="AB22" i="2"/>
  <c r="Z22" i="2"/>
  <c r="X22" i="2"/>
  <c r="AA22" i="2"/>
  <c r="Y22" i="2"/>
  <c r="AF22" i="2"/>
  <c r="C22" i="6"/>
  <c r="AD20" i="2"/>
  <c r="S20" i="2"/>
  <c r="W20" i="2"/>
  <c r="U20" i="2"/>
  <c r="AB20" i="2"/>
  <c r="Z20" i="2"/>
  <c r="X20" i="2"/>
  <c r="AA20" i="2"/>
  <c r="Y20" i="2"/>
  <c r="AF20" i="2"/>
  <c r="C20" i="6"/>
  <c r="AD18" i="2"/>
  <c r="S18" i="2"/>
  <c r="W18" i="2"/>
  <c r="U18" i="2"/>
  <c r="AB18" i="2"/>
  <c r="Z18" i="2"/>
  <c r="X18" i="2"/>
  <c r="AA18" i="2"/>
  <c r="Y18" i="2"/>
  <c r="AF18" i="2"/>
  <c r="C18" i="6"/>
  <c r="AB16" i="2"/>
  <c r="Z16" i="2"/>
  <c r="X16" i="2"/>
  <c r="AA16" i="2"/>
  <c r="Y16" i="2"/>
  <c r="AF16" i="2"/>
  <c r="C16" i="6"/>
  <c r="AB15" i="2"/>
  <c r="Z15" i="2"/>
  <c r="X15" i="2"/>
  <c r="AA15" i="2"/>
  <c r="Y15" i="2"/>
  <c r="AF15" i="2"/>
  <c r="C15" i="6"/>
  <c r="AB14" i="2"/>
  <c r="Z14" i="2"/>
  <c r="X14" i="2"/>
  <c r="AA14" i="2"/>
  <c r="Y14" i="2"/>
  <c r="AF14" i="2"/>
  <c r="C14" i="6"/>
  <c r="AB13" i="2"/>
  <c r="Z13" i="2"/>
  <c r="X13" i="2"/>
  <c r="AA13" i="2"/>
  <c r="Y13" i="2"/>
  <c r="AF13" i="2"/>
  <c r="C13" i="6"/>
  <c r="AB12" i="2"/>
  <c r="Z12" i="2"/>
  <c r="X12" i="2"/>
  <c r="AA12" i="2"/>
  <c r="Y12" i="2"/>
  <c r="AF12" i="2"/>
  <c r="C12" i="6"/>
  <c r="AB11" i="2"/>
  <c r="Z11" i="2"/>
  <c r="X11" i="2"/>
  <c r="AA11" i="2"/>
  <c r="Y11" i="2"/>
  <c r="AF11" i="2"/>
  <c r="C11" i="6"/>
  <c r="AB10" i="2"/>
  <c r="Z10" i="2"/>
  <c r="X10" i="2"/>
  <c r="AA10" i="2"/>
  <c r="Y10" i="2"/>
  <c r="AF10" i="2"/>
  <c r="C10" i="6"/>
  <c r="AB9" i="2"/>
  <c r="Z9" i="2"/>
  <c r="X9" i="2"/>
  <c r="AA9" i="2"/>
  <c r="Y9" i="2"/>
  <c r="AF9" i="2"/>
  <c r="C9" i="6"/>
  <c r="AB8" i="2"/>
  <c r="Z8" i="2"/>
  <c r="X8" i="2"/>
  <c r="AA8" i="2"/>
  <c r="Y8" i="2"/>
  <c r="AF8" i="2"/>
  <c r="C8" i="6"/>
  <c r="AB7" i="2"/>
  <c r="Z7" i="2"/>
  <c r="X7" i="2"/>
  <c r="AA7" i="2"/>
  <c r="Y7" i="2"/>
  <c r="AF7" i="2"/>
  <c r="C7" i="6"/>
  <c r="AB6" i="2"/>
  <c r="Z6" i="2"/>
  <c r="X6" i="2"/>
  <c r="AA6" i="2"/>
  <c r="Y6" i="2"/>
  <c r="AF6" i="2"/>
  <c r="C6" i="6"/>
  <c r="AB5" i="2"/>
  <c r="Z5" i="2"/>
  <c r="X5" i="2"/>
  <c r="AA5" i="2"/>
  <c r="Y5" i="2"/>
  <c r="AF5" i="2"/>
  <c r="C5" i="6"/>
  <c r="AB4" i="2"/>
  <c r="Z4" i="2"/>
  <c r="X4" i="2"/>
  <c r="AA4" i="2"/>
  <c r="Y4" i="2"/>
  <c r="AF4" i="2"/>
  <c r="C4" i="6"/>
  <c r="S136" i="3"/>
  <c r="W136" i="3"/>
  <c r="U136" i="3"/>
  <c r="AC136" i="3"/>
  <c r="S137" i="3"/>
  <c r="W137" i="3"/>
  <c r="U137" i="3"/>
  <c r="AC137" i="3"/>
  <c r="S138" i="3"/>
  <c r="W138" i="3"/>
  <c r="U138" i="3"/>
  <c r="AC138" i="3"/>
  <c r="S139" i="3"/>
  <c r="W139" i="3"/>
  <c r="U139" i="3"/>
  <c r="AC139" i="3"/>
  <c r="S140" i="3"/>
  <c r="W140" i="3"/>
  <c r="U140" i="3"/>
  <c r="AC140" i="3"/>
  <c r="S141" i="3"/>
  <c r="W141" i="3"/>
  <c r="U141" i="3"/>
  <c r="AC141" i="3"/>
  <c r="S142" i="3"/>
  <c r="W142" i="3"/>
  <c r="U142" i="3"/>
  <c r="AC142" i="3"/>
  <c r="S143" i="3"/>
  <c r="W143" i="3"/>
  <c r="U143" i="3"/>
  <c r="AC143" i="3"/>
  <c r="S144" i="3"/>
  <c r="W144" i="3"/>
  <c r="U144" i="3"/>
  <c r="AC144" i="3"/>
  <c r="S145" i="3"/>
  <c r="W145" i="3"/>
  <c r="U145" i="3"/>
  <c r="AC145" i="3"/>
  <c r="S146" i="3"/>
  <c r="W146" i="3"/>
  <c r="U146" i="3"/>
  <c r="AC146" i="3"/>
  <c r="S147" i="3"/>
  <c r="W147" i="3"/>
  <c r="U147" i="3"/>
  <c r="AC147" i="3"/>
  <c r="S148" i="3"/>
  <c r="W148" i="3"/>
  <c r="U148" i="3"/>
  <c r="AC148" i="3"/>
  <c r="S149" i="3"/>
  <c r="W149" i="3"/>
  <c r="U149" i="3"/>
  <c r="AC149" i="3"/>
  <c r="S150" i="3"/>
  <c r="W150" i="3"/>
  <c r="U150" i="3"/>
  <c r="AC150" i="3"/>
  <c r="S151" i="3"/>
  <c r="W151" i="3"/>
  <c r="U151" i="3"/>
  <c r="AC151" i="3"/>
  <c r="S152" i="3"/>
  <c r="W152" i="3"/>
  <c r="U152" i="3"/>
  <c r="AC152" i="3"/>
  <c r="S153" i="3"/>
  <c r="W153" i="3"/>
  <c r="U153" i="3"/>
  <c r="AC153" i="3"/>
  <c r="S154" i="3"/>
  <c r="W154" i="3"/>
  <c r="U154" i="3"/>
  <c r="AC154" i="3"/>
  <c r="S155" i="3"/>
  <c r="W155" i="3"/>
  <c r="U155" i="3"/>
  <c r="AC155" i="3"/>
  <c r="S156" i="3"/>
  <c r="W156" i="3"/>
  <c r="U156" i="3"/>
  <c r="AC156" i="3"/>
  <c r="S157" i="3"/>
  <c r="W157" i="3"/>
  <c r="U157" i="3"/>
  <c r="AC157" i="3"/>
  <c r="S158" i="3"/>
  <c r="W158" i="3"/>
  <c r="U158" i="3"/>
  <c r="AC158" i="3"/>
  <c r="S159" i="3"/>
  <c r="W159" i="3"/>
  <c r="U159" i="3"/>
  <c r="AC159" i="3"/>
  <c r="S160" i="3"/>
  <c r="W160" i="3"/>
  <c r="U160" i="3"/>
  <c r="AC160" i="3"/>
  <c r="S161" i="3"/>
  <c r="W161" i="3"/>
  <c r="U161" i="3"/>
  <c r="AC161" i="3"/>
  <c r="S162" i="3"/>
  <c r="W162" i="3"/>
  <c r="U162" i="3"/>
  <c r="AC162" i="3"/>
  <c r="S163" i="3"/>
  <c r="W163" i="3"/>
  <c r="U163" i="3"/>
  <c r="AC163" i="3"/>
  <c r="S164" i="3"/>
  <c r="W164" i="3"/>
  <c r="U164" i="3"/>
  <c r="AC164" i="3"/>
  <c r="S165" i="3"/>
  <c r="W165" i="3"/>
  <c r="U165" i="3"/>
  <c r="AC165" i="3"/>
  <c r="S166" i="3"/>
  <c r="W166" i="3"/>
  <c r="U166" i="3"/>
  <c r="AC166" i="3"/>
  <c r="S167" i="3"/>
  <c r="W167" i="3"/>
  <c r="U167" i="3"/>
  <c r="AC167" i="3"/>
  <c r="S168" i="3"/>
  <c r="W168" i="3"/>
  <c r="U168" i="3"/>
  <c r="AC168" i="3"/>
  <c r="S169" i="3"/>
  <c r="W169" i="3"/>
  <c r="U169" i="3"/>
  <c r="AC169" i="3"/>
  <c r="S170" i="3"/>
  <c r="W170" i="3"/>
  <c r="U170" i="3"/>
  <c r="AC170" i="3"/>
  <c r="S171" i="3"/>
  <c r="W171" i="3"/>
  <c r="U171" i="3"/>
  <c r="AC171" i="3"/>
  <c r="S172" i="3"/>
  <c r="W172" i="3"/>
  <c r="U172" i="3"/>
  <c r="AC172" i="3"/>
  <c r="S173" i="3"/>
  <c r="W173" i="3"/>
  <c r="U173" i="3"/>
  <c r="AC173" i="3"/>
  <c r="AC179" i="3"/>
  <c r="S103" i="3"/>
  <c r="W103" i="3"/>
  <c r="U103" i="3"/>
  <c r="AC103" i="3"/>
  <c r="S104" i="3"/>
  <c r="W104" i="3"/>
  <c r="U104" i="3"/>
  <c r="AC104" i="3"/>
  <c r="S105" i="3"/>
  <c r="W105" i="3"/>
  <c r="U105" i="3"/>
  <c r="AC105" i="3"/>
  <c r="S106" i="3"/>
  <c r="W106" i="3"/>
  <c r="U106" i="3"/>
  <c r="AC106" i="3"/>
  <c r="S107" i="3"/>
  <c r="W107" i="3"/>
  <c r="U107" i="3"/>
  <c r="AC107" i="3"/>
  <c r="S108" i="3"/>
  <c r="W108" i="3"/>
  <c r="U108" i="3"/>
  <c r="AC108" i="3"/>
  <c r="S109" i="3"/>
  <c r="W109" i="3"/>
  <c r="U109" i="3"/>
  <c r="AC109" i="3"/>
  <c r="S110" i="3"/>
  <c r="W110" i="3"/>
  <c r="U110" i="3"/>
  <c r="AC110" i="3"/>
  <c r="S111" i="3"/>
  <c r="W111" i="3"/>
  <c r="U111" i="3"/>
  <c r="AC111" i="3"/>
  <c r="S112" i="3"/>
  <c r="W112" i="3"/>
  <c r="U112" i="3"/>
  <c r="AC112" i="3"/>
  <c r="S113" i="3"/>
  <c r="W113" i="3"/>
  <c r="U113" i="3"/>
  <c r="AC113" i="3"/>
  <c r="S114" i="3"/>
  <c r="W114" i="3"/>
  <c r="U114" i="3"/>
  <c r="AC114" i="3"/>
  <c r="S115" i="3"/>
  <c r="W115" i="3"/>
  <c r="U115" i="3"/>
  <c r="AC115" i="3"/>
  <c r="S116" i="3"/>
  <c r="W116" i="3"/>
  <c r="U116" i="3"/>
  <c r="AC116" i="3"/>
  <c r="S117" i="3"/>
  <c r="W117" i="3"/>
  <c r="U117" i="3"/>
  <c r="AC117" i="3"/>
  <c r="S118" i="3"/>
  <c r="W118" i="3"/>
  <c r="U118" i="3"/>
  <c r="AC118" i="3"/>
  <c r="S119" i="3"/>
  <c r="W119" i="3"/>
  <c r="U119" i="3"/>
  <c r="AC119" i="3"/>
  <c r="S120" i="3"/>
  <c r="W120" i="3"/>
  <c r="U120" i="3"/>
  <c r="AC120" i="3"/>
  <c r="S121" i="3"/>
  <c r="W121" i="3"/>
  <c r="U121" i="3"/>
  <c r="AC121" i="3"/>
  <c r="S122" i="3"/>
  <c r="W122" i="3"/>
  <c r="U122" i="3"/>
  <c r="AC122" i="3"/>
  <c r="S123" i="3"/>
  <c r="W123" i="3"/>
  <c r="U123" i="3"/>
  <c r="AC123" i="3"/>
  <c r="S124" i="3"/>
  <c r="W124" i="3"/>
  <c r="U124" i="3"/>
  <c r="AC124" i="3"/>
  <c r="S125" i="3"/>
  <c r="W125" i="3"/>
  <c r="U125" i="3"/>
  <c r="AC125" i="3"/>
  <c r="S126" i="3"/>
  <c r="W126" i="3"/>
  <c r="U126" i="3"/>
  <c r="AC126" i="3"/>
  <c r="S127" i="3"/>
  <c r="W127" i="3"/>
  <c r="U127" i="3"/>
  <c r="AC127" i="3"/>
  <c r="AC133" i="3"/>
  <c r="S77" i="3"/>
  <c r="W77" i="3"/>
  <c r="U77" i="3"/>
  <c r="AC77" i="3"/>
  <c r="S78" i="3"/>
  <c r="W78" i="3"/>
  <c r="U78" i="3"/>
  <c r="AC78" i="3"/>
  <c r="S79" i="3"/>
  <c r="W79" i="3"/>
  <c r="U79" i="3"/>
  <c r="AC79" i="3"/>
  <c r="S80" i="3"/>
  <c r="W80" i="3"/>
  <c r="U80" i="3"/>
  <c r="AC80" i="3"/>
  <c r="S81" i="3"/>
  <c r="W81" i="3"/>
  <c r="U81" i="3"/>
  <c r="AC81" i="3"/>
  <c r="S82" i="3"/>
  <c r="W82" i="3"/>
  <c r="U82" i="3"/>
  <c r="AC82" i="3"/>
  <c r="S83" i="3"/>
  <c r="W83" i="3"/>
  <c r="U83" i="3"/>
  <c r="AC83" i="3"/>
  <c r="S84" i="3"/>
  <c r="W84" i="3"/>
  <c r="U84" i="3"/>
  <c r="AC84" i="3"/>
  <c r="S85" i="3"/>
  <c r="W85" i="3"/>
  <c r="U85" i="3"/>
  <c r="AC85" i="3"/>
  <c r="S86" i="3"/>
  <c r="W86" i="3"/>
  <c r="U86" i="3"/>
  <c r="AC86" i="3"/>
  <c r="S87" i="3"/>
  <c r="W87" i="3"/>
  <c r="U87" i="3"/>
  <c r="AC87" i="3"/>
  <c r="S88" i="3"/>
  <c r="W88" i="3"/>
  <c r="U88" i="3"/>
  <c r="AC88" i="3"/>
  <c r="S89" i="3"/>
  <c r="W89" i="3"/>
  <c r="U89" i="3"/>
  <c r="AC89" i="3"/>
  <c r="S90" i="3"/>
  <c r="W90" i="3"/>
  <c r="U90" i="3"/>
  <c r="AC90" i="3"/>
  <c r="S91" i="3"/>
  <c r="W91" i="3"/>
  <c r="U91" i="3"/>
  <c r="AC91" i="3"/>
  <c r="S92" i="3"/>
  <c r="W92" i="3"/>
  <c r="U92" i="3"/>
  <c r="AC92" i="3"/>
  <c r="S93" i="3"/>
  <c r="W93" i="3"/>
  <c r="U93" i="3"/>
  <c r="AC93" i="3"/>
  <c r="S94" i="3"/>
  <c r="W94" i="3"/>
  <c r="U94" i="3"/>
  <c r="AC94" i="3"/>
  <c r="AC100" i="3"/>
  <c r="S47" i="3"/>
  <c r="W47" i="3"/>
  <c r="U47" i="3"/>
  <c r="AC47" i="3"/>
  <c r="S48" i="3"/>
  <c r="W48" i="3"/>
  <c r="U48" i="3"/>
  <c r="AC48" i="3"/>
  <c r="S49" i="3"/>
  <c r="W49" i="3"/>
  <c r="U49" i="3"/>
  <c r="AC49" i="3"/>
  <c r="S50" i="3"/>
  <c r="W50" i="3"/>
  <c r="U50" i="3"/>
  <c r="AC50" i="3"/>
  <c r="S51" i="3"/>
  <c r="W51" i="3"/>
  <c r="U51" i="3"/>
  <c r="AC51" i="3"/>
  <c r="S52" i="3"/>
  <c r="W52" i="3"/>
  <c r="U52" i="3"/>
  <c r="AC52" i="3"/>
  <c r="S53" i="3"/>
  <c r="W53" i="3"/>
  <c r="U53" i="3"/>
  <c r="AC53" i="3"/>
  <c r="S54" i="3"/>
  <c r="W54" i="3"/>
  <c r="U54" i="3"/>
  <c r="AC54" i="3"/>
  <c r="S55" i="3"/>
  <c r="W55" i="3"/>
  <c r="U55" i="3"/>
  <c r="AC55" i="3"/>
  <c r="S56" i="3"/>
  <c r="W56" i="3"/>
  <c r="U56" i="3"/>
  <c r="AC56" i="3"/>
  <c r="S57" i="3"/>
  <c r="W57" i="3"/>
  <c r="U57" i="3"/>
  <c r="AC57" i="3"/>
  <c r="S58" i="3"/>
  <c r="W58" i="3"/>
  <c r="U58" i="3"/>
  <c r="AC58" i="3"/>
  <c r="S59" i="3"/>
  <c r="W59" i="3"/>
  <c r="U59" i="3"/>
  <c r="AC59" i="3"/>
  <c r="S60" i="3"/>
  <c r="W60" i="3"/>
  <c r="U60" i="3"/>
  <c r="AC60" i="3"/>
  <c r="S61" i="3"/>
  <c r="W61" i="3"/>
  <c r="U61" i="3"/>
  <c r="AC61" i="3"/>
  <c r="S62" i="3"/>
  <c r="W62" i="3"/>
  <c r="U62" i="3"/>
  <c r="AC62" i="3"/>
  <c r="S63" i="3"/>
  <c r="W63" i="3"/>
  <c r="U63" i="3"/>
  <c r="AC63" i="3"/>
  <c r="S64" i="3"/>
  <c r="W64" i="3"/>
  <c r="U64" i="3"/>
  <c r="AC64" i="3"/>
  <c r="S65" i="3"/>
  <c r="W65" i="3"/>
  <c r="U65" i="3"/>
  <c r="AC65" i="3"/>
  <c r="S66" i="3"/>
  <c r="W66" i="3"/>
  <c r="U66" i="3"/>
  <c r="AC66" i="3"/>
  <c r="S67" i="3"/>
  <c r="W67" i="3"/>
  <c r="U67" i="3"/>
  <c r="AC67" i="3"/>
  <c r="S68" i="3"/>
  <c r="W68" i="3"/>
  <c r="U68" i="3"/>
  <c r="AC68" i="3"/>
  <c r="AC74" i="3"/>
  <c r="S25" i="3"/>
  <c r="W25" i="3"/>
  <c r="U25" i="3"/>
  <c r="AC25" i="3"/>
  <c r="S26" i="3"/>
  <c r="W26" i="3"/>
  <c r="U26" i="3"/>
  <c r="AC26" i="3"/>
  <c r="S27" i="3"/>
  <c r="W27" i="3"/>
  <c r="U27" i="3"/>
  <c r="AC27" i="3"/>
  <c r="S28" i="3"/>
  <c r="W28" i="3"/>
  <c r="U28" i="3"/>
  <c r="AC28" i="3"/>
  <c r="S29" i="3"/>
  <c r="W29" i="3"/>
  <c r="U29" i="3"/>
  <c r="AC29" i="3"/>
  <c r="S30" i="3"/>
  <c r="W30" i="3"/>
  <c r="U30" i="3"/>
  <c r="AC30" i="3"/>
  <c r="S31" i="3"/>
  <c r="W31" i="3"/>
  <c r="U31" i="3"/>
  <c r="AC31" i="3"/>
  <c r="S32" i="3"/>
  <c r="W32" i="3"/>
  <c r="U32" i="3"/>
  <c r="AC32" i="3"/>
  <c r="S33" i="3"/>
  <c r="W33" i="3"/>
  <c r="U33" i="3"/>
  <c r="AC33" i="3"/>
  <c r="S34" i="3"/>
  <c r="W34" i="3"/>
  <c r="U34" i="3"/>
  <c r="AC34" i="3"/>
  <c r="S35" i="3"/>
  <c r="W35" i="3"/>
  <c r="U35" i="3"/>
  <c r="AC35" i="3"/>
  <c r="S36" i="3"/>
  <c r="W36" i="3"/>
  <c r="U36" i="3"/>
  <c r="AC36" i="3"/>
  <c r="S37" i="3"/>
  <c r="W37" i="3"/>
  <c r="U37" i="3"/>
  <c r="AC37" i="3"/>
  <c r="S38" i="3"/>
  <c r="W38" i="3"/>
  <c r="U38" i="3"/>
  <c r="AC38" i="3"/>
  <c r="AC44" i="3"/>
  <c r="S4" i="3"/>
  <c r="W4" i="3"/>
  <c r="U4" i="3"/>
  <c r="AC4" i="3"/>
  <c r="S5" i="3"/>
  <c r="W5" i="3"/>
  <c r="U5" i="3"/>
  <c r="AC5" i="3"/>
  <c r="S6" i="3"/>
  <c r="W6" i="3"/>
  <c r="U6" i="3"/>
  <c r="AC6" i="3"/>
  <c r="S7" i="3"/>
  <c r="W7" i="3"/>
  <c r="U7" i="3"/>
  <c r="AC7" i="3"/>
  <c r="S8" i="3"/>
  <c r="W8" i="3"/>
  <c r="U8" i="3"/>
  <c r="AC8" i="3"/>
  <c r="S9" i="3"/>
  <c r="W9" i="3"/>
  <c r="U9" i="3"/>
  <c r="AC9" i="3"/>
  <c r="S10" i="3"/>
  <c r="W10" i="3"/>
  <c r="U10" i="3"/>
  <c r="AC10" i="3"/>
  <c r="S11" i="3"/>
  <c r="W11" i="3"/>
  <c r="U11" i="3"/>
  <c r="AC11" i="3"/>
  <c r="S12" i="3"/>
  <c r="W12" i="3"/>
  <c r="U12" i="3"/>
  <c r="AC12" i="3"/>
  <c r="S13" i="3"/>
  <c r="W13" i="3"/>
  <c r="U13" i="3"/>
  <c r="AC13" i="3"/>
  <c r="S14" i="3"/>
  <c r="W14" i="3"/>
  <c r="U14" i="3"/>
  <c r="AC14" i="3"/>
  <c r="S15" i="3"/>
  <c r="W15" i="3"/>
  <c r="U15" i="3"/>
  <c r="AC15" i="3"/>
  <c r="S16" i="3"/>
  <c r="W16" i="3"/>
  <c r="U16" i="3"/>
  <c r="AC16" i="3"/>
  <c r="AC22" i="3"/>
  <c r="AC18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9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33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100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7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4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22" i="3"/>
  <c r="AE185" i="3"/>
  <c r="AD185" i="3"/>
  <c r="S185" i="3"/>
  <c r="W185" i="3"/>
  <c r="U185" i="3"/>
  <c r="AB185" i="3"/>
  <c r="Z185" i="3"/>
  <c r="X185" i="3"/>
  <c r="AA185" i="3"/>
  <c r="Y185" i="3"/>
  <c r="AF185" i="3"/>
  <c r="C185" i="8"/>
  <c r="AC177" i="3"/>
  <c r="AC131" i="3"/>
  <c r="AC98" i="3"/>
  <c r="AC72" i="3"/>
  <c r="AC42" i="3"/>
  <c r="AC20" i="3"/>
  <c r="AC183" i="3"/>
  <c r="AE177" i="3"/>
  <c r="AE131" i="3"/>
  <c r="AE98" i="3"/>
  <c r="AE72" i="3"/>
  <c r="AE42" i="3"/>
  <c r="AE20" i="3"/>
  <c r="AE183" i="3"/>
  <c r="AD183" i="3"/>
  <c r="S183" i="3"/>
  <c r="W183" i="3"/>
  <c r="U183" i="3"/>
  <c r="AB183" i="3"/>
  <c r="Z183" i="3"/>
  <c r="X183" i="3"/>
  <c r="AA183" i="3"/>
  <c r="Y183" i="3"/>
  <c r="AF183" i="3"/>
  <c r="C183" i="8"/>
  <c r="AC175" i="3"/>
  <c r="AC129" i="3"/>
  <c r="AC96" i="3"/>
  <c r="AC70" i="3"/>
  <c r="AC40" i="3"/>
  <c r="AC18" i="3"/>
  <c r="AC181" i="3"/>
  <c r="AE175" i="3"/>
  <c r="AE129" i="3"/>
  <c r="AE96" i="3"/>
  <c r="AE70" i="3"/>
  <c r="AE40" i="3"/>
  <c r="AE18" i="3"/>
  <c r="AE181" i="3"/>
  <c r="AD181" i="3"/>
  <c r="S181" i="3"/>
  <c r="W181" i="3"/>
  <c r="U181" i="3"/>
  <c r="AB181" i="3"/>
  <c r="Z181" i="3"/>
  <c r="X181" i="3"/>
  <c r="AA181" i="3"/>
  <c r="Y181" i="3"/>
  <c r="AF181" i="3"/>
  <c r="C181" i="8"/>
  <c r="AD179" i="3"/>
  <c r="S179" i="3"/>
  <c r="W179" i="3"/>
  <c r="U179" i="3"/>
  <c r="AB179" i="3"/>
  <c r="Z179" i="3"/>
  <c r="X179" i="3"/>
  <c r="AA179" i="3"/>
  <c r="Y179" i="3"/>
  <c r="AF179" i="3"/>
  <c r="C179" i="8"/>
  <c r="AD177" i="3"/>
  <c r="S177" i="3"/>
  <c r="W177" i="3"/>
  <c r="U177" i="3"/>
  <c r="AB177" i="3"/>
  <c r="Z177" i="3"/>
  <c r="X177" i="3"/>
  <c r="AA177" i="3"/>
  <c r="Y177" i="3"/>
  <c r="AF177" i="3"/>
  <c r="C177" i="8"/>
  <c r="AD175" i="3"/>
  <c r="S175" i="3"/>
  <c r="W175" i="3"/>
  <c r="U175" i="3"/>
  <c r="AB175" i="3"/>
  <c r="Z175" i="3"/>
  <c r="X175" i="3"/>
  <c r="AA175" i="3"/>
  <c r="Y175" i="3"/>
  <c r="AF175" i="3"/>
  <c r="C175" i="8"/>
  <c r="AB173" i="3"/>
  <c r="Z173" i="3"/>
  <c r="X173" i="3"/>
  <c r="AA173" i="3"/>
  <c r="Y173" i="3"/>
  <c r="AF173" i="3"/>
  <c r="C173" i="8"/>
  <c r="AB172" i="3"/>
  <c r="Z172" i="3"/>
  <c r="X172" i="3"/>
  <c r="AA172" i="3"/>
  <c r="Y172" i="3"/>
  <c r="AF172" i="3"/>
  <c r="C172" i="8"/>
  <c r="AB171" i="3"/>
  <c r="Z171" i="3"/>
  <c r="X171" i="3"/>
  <c r="AA171" i="3"/>
  <c r="Y171" i="3"/>
  <c r="AF171" i="3"/>
  <c r="C171" i="8"/>
  <c r="AB170" i="3"/>
  <c r="Z170" i="3"/>
  <c r="X170" i="3"/>
  <c r="AA170" i="3"/>
  <c r="Y170" i="3"/>
  <c r="AF170" i="3"/>
  <c r="C170" i="8"/>
  <c r="AB169" i="3"/>
  <c r="Z169" i="3"/>
  <c r="X169" i="3"/>
  <c r="AA169" i="3"/>
  <c r="Y169" i="3"/>
  <c r="AF169" i="3"/>
  <c r="C169" i="8"/>
  <c r="AB168" i="3"/>
  <c r="Z168" i="3"/>
  <c r="X168" i="3"/>
  <c r="AA168" i="3"/>
  <c r="Y168" i="3"/>
  <c r="AF168" i="3"/>
  <c r="C168" i="8"/>
  <c r="AB167" i="3"/>
  <c r="Z167" i="3"/>
  <c r="X167" i="3"/>
  <c r="AA167" i="3"/>
  <c r="Y167" i="3"/>
  <c r="AF167" i="3"/>
  <c r="C167" i="8"/>
  <c r="AB166" i="3"/>
  <c r="Z166" i="3"/>
  <c r="X166" i="3"/>
  <c r="AA166" i="3"/>
  <c r="Y166" i="3"/>
  <c r="AF166" i="3"/>
  <c r="C166" i="8"/>
  <c r="AB165" i="3"/>
  <c r="Z165" i="3"/>
  <c r="X165" i="3"/>
  <c r="AA165" i="3"/>
  <c r="Y165" i="3"/>
  <c r="AF165" i="3"/>
  <c r="C165" i="8"/>
  <c r="AB164" i="3"/>
  <c r="Z164" i="3"/>
  <c r="X164" i="3"/>
  <c r="AA164" i="3"/>
  <c r="Y164" i="3"/>
  <c r="AF164" i="3"/>
  <c r="C164" i="8"/>
  <c r="AB163" i="3"/>
  <c r="Z163" i="3"/>
  <c r="X163" i="3"/>
  <c r="AA163" i="3"/>
  <c r="Y163" i="3"/>
  <c r="AF163" i="3"/>
  <c r="C163" i="8"/>
  <c r="AB162" i="3"/>
  <c r="Z162" i="3"/>
  <c r="X162" i="3"/>
  <c r="AA162" i="3"/>
  <c r="Y162" i="3"/>
  <c r="AF162" i="3"/>
  <c r="C162" i="8"/>
  <c r="AB161" i="3"/>
  <c r="Z161" i="3"/>
  <c r="X161" i="3"/>
  <c r="AA161" i="3"/>
  <c r="Y161" i="3"/>
  <c r="AF161" i="3"/>
  <c r="C161" i="8"/>
  <c r="AB160" i="3"/>
  <c r="Z160" i="3"/>
  <c r="X160" i="3"/>
  <c r="AA160" i="3"/>
  <c r="Y160" i="3"/>
  <c r="AF160" i="3"/>
  <c r="C160" i="8"/>
  <c r="AB159" i="3"/>
  <c r="Z159" i="3"/>
  <c r="X159" i="3"/>
  <c r="AA159" i="3"/>
  <c r="Y159" i="3"/>
  <c r="AF159" i="3"/>
  <c r="C159" i="8"/>
  <c r="AB158" i="3"/>
  <c r="Z158" i="3"/>
  <c r="X158" i="3"/>
  <c r="AA158" i="3"/>
  <c r="Y158" i="3"/>
  <c r="AF158" i="3"/>
  <c r="C158" i="8"/>
  <c r="AB157" i="3"/>
  <c r="Z157" i="3"/>
  <c r="X157" i="3"/>
  <c r="AA157" i="3"/>
  <c r="Y157" i="3"/>
  <c r="AF157" i="3"/>
  <c r="C157" i="8"/>
  <c r="AB156" i="3"/>
  <c r="Z156" i="3"/>
  <c r="X156" i="3"/>
  <c r="AA156" i="3"/>
  <c r="Y156" i="3"/>
  <c r="AF156" i="3"/>
  <c r="C156" i="8"/>
  <c r="AB155" i="3"/>
  <c r="Z155" i="3"/>
  <c r="X155" i="3"/>
  <c r="AA155" i="3"/>
  <c r="Y155" i="3"/>
  <c r="AF155" i="3"/>
  <c r="C155" i="8"/>
  <c r="AB154" i="3"/>
  <c r="Z154" i="3"/>
  <c r="X154" i="3"/>
  <c r="AA154" i="3"/>
  <c r="Y154" i="3"/>
  <c r="AF154" i="3"/>
  <c r="C154" i="8"/>
  <c r="AB153" i="3"/>
  <c r="Z153" i="3"/>
  <c r="X153" i="3"/>
  <c r="AA153" i="3"/>
  <c r="Y153" i="3"/>
  <c r="AF153" i="3"/>
  <c r="C153" i="8"/>
  <c r="AB152" i="3"/>
  <c r="Z152" i="3"/>
  <c r="X152" i="3"/>
  <c r="AA152" i="3"/>
  <c r="Y152" i="3"/>
  <c r="AF152" i="3"/>
  <c r="C152" i="8"/>
  <c r="AB151" i="3"/>
  <c r="Z151" i="3"/>
  <c r="X151" i="3"/>
  <c r="AA151" i="3"/>
  <c r="Y151" i="3"/>
  <c r="AF151" i="3"/>
  <c r="C151" i="8"/>
  <c r="AB150" i="3"/>
  <c r="Z150" i="3"/>
  <c r="X150" i="3"/>
  <c r="AA150" i="3"/>
  <c r="Y150" i="3"/>
  <c r="AF150" i="3"/>
  <c r="C150" i="8"/>
  <c r="AB149" i="3"/>
  <c r="Z149" i="3"/>
  <c r="X149" i="3"/>
  <c r="AA149" i="3"/>
  <c r="Y149" i="3"/>
  <c r="AF149" i="3"/>
  <c r="C149" i="8"/>
  <c r="AB148" i="3"/>
  <c r="Z148" i="3"/>
  <c r="X148" i="3"/>
  <c r="AA148" i="3"/>
  <c r="Y148" i="3"/>
  <c r="AF148" i="3"/>
  <c r="C148" i="8"/>
  <c r="AB147" i="3"/>
  <c r="Z147" i="3"/>
  <c r="X147" i="3"/>
  <c r="AA147" i="3"/>
  <c r="Y147" i="3"/>
  <c r="AF147" i="3"/>
  <c r="C147" i="8"/>
  <c r="AB146" i="3"/>
  <c r="Z146" i="3"/>
  <c r="X146" i="3"/>
  <c r="AA146" i="3"/>
  <c r="Y146" i="3"/>
  <c r="AF146" i="3"/>
  <c r="C146" i="8"/>
  <c r="AB145" i="3"/>
  <c r="Z145" i="3"/>
  <c r="X145" i="3"/>
  <c r="AA145" i="3"/>
  <c r="Y145" i="3"/>
  <c r="AF145" i="3"/>
  <c r="C145" i="8"/>
  <c r="AB144" i="3"/>
  <c r="Z144" i="3"/>
  <c r="X144" i="3"/>
  <c r="AA144" i="3"/>
  <c r="Y144" i="3"/>
  <c r="AF144" i="3"/>
  <c r="C144" i="8"/>
  <c r="AB143" i="3"/>
  <c r="Z143" i="3"/>
  <c r="X143" i="3"/>
  <c r="AA143" i="3"/>
  <c r="Y143" i="3"/>
  <c r="AF143" i="3"/>
  <c r="C143" i="8"/>
  <c r="AB142" i="3"/>
  <c r="Z142" i="3"/>
  <c r="X142" i="3"/>
  <c r="AA142" i="3"/>
  <c r="Y142" i="3"/>
  <c r="AF142" i="3"/>
  <c r="C142" i="8"/>
  <c r="AB141" i="3"/>
  <c r="Z141" i="3"/>
  <c r="X141" i="3"/>
  <c r="AA141" i="3"/>
  <c r="Y141" i="3"/>
  <c r="AF141" i="3"/>
  <c r="C141" i="8"/>
  <c r="AB140" i="3"/>
  <c r="Z140" i="3"/>
  <c r="X140" i="3"/>
  <c r="AA140" i="3"/>
  <c r="Y140" i="3"/>
  <c r="AF140" i="3"/>
  <c r="C140" i="8"/>
  <c r="AB139" i="3"/>
  <c r="Z139" i="3"/>
  <c r="X139" i="3"/>
  <c r="AA139" i="3"/>
  <c r="Y139" i="3"/>
  <c r="AF139" i="3"/>
  <c r="C139" i="8"/>
  <c r="AB138" i="3"/>
  <c r="Z138" i="3"/>
  <c r="X138" i="3"/>
  <c r="AA138" i="3"/>
  <c r="Y138" i="3"/>
  <c r="AF138" i="3"/>
  <c r="C138" i="8"/>
  <c r="AB137" i="3"/>
  <c r="Z137" i="3"/>
  <c r="X137" i="3"/>
  <c r="AA137" i="3"/>
  <c r="Y137" i="3"/>
  <c r="AF137" i="3"/>
  <c r="C137" i="8"/>
  <c r="AB136" i="3"/>
  <c r="Z136" i="3"/>
  <c r="X136" i="3"/>
  <c r="AA136" i="3"/>
  <c r="Y136" i="3"/>
  <c r="AF136" i="3"/>
  <c r="C136" i="8"/>
  <c r="AD133" i="3"/>
  <c r="S133" i="3"/>
  <c r="W133" i="3"/>
  <c r="U133" i="3"/>
  <c r="AB133" i="3"/>
  <c r="Z133" i="3"/>
  <c r="X133" i="3"/>
  <c r="AA133" i="3"/>
  <c r="Y133" i="3"/>
  <c r="AF133" i="3"/>
  <c r="C133" i="8"/>
  <c r="AD131" i="3"/>
  <c r="S131" i="3"/>
  <c r="W131" i="3"/>
  <c r="U131" i="3"/>
  <c r="AB131" i="3"/>
  <c r="Z131" i="3"/>
  <c r="X131" i="3"/>
  <c r="AA131" i="3"/>
  <c r="Y131" i="3"/>
  <c r="AF131" i="3"/>
  <c r="C131" i="8"/>
  <c r="AD129" i="3"/>
  <c r="S129" i="3"/>
  <c r="W129" i="3"/>
  <c r="U129" i="3"/>
  <c r="AB129" i="3"/>
  <c r="Z129" i="3"/>
  <c r="X129" i="3"/>
  <c r="AA129" i="3"/>
  <c r="Y129" i="3"/>
  <c r="AF129" i="3"/>
  <c r="C129" i="8"/>
  <c r="AB127" i="3"/>
  <c r="Z127" i="3"/>
  <c r="X127" i="3"/>
  <c r="AA127" i="3"/>
  <c r="Y127" i="3"/>
  <c r="AF127" i="3"/>
  <c r="C127" i="8"/>
  <c r="AB126" i="3"/>
  <c r="Z126" i="3"/>
  <c r="X126" i="3"/>
  <c r="AA126" i="3"/>
  <c r="Y126" i="3"/>
  <c r="AF126" i="3"/>
  <c r="C126" i="8"/>
  <c r="AB125" i="3"/>
  <c r="Z125" i="3"/>
  <c r="X125" i="3"/>
  <c r="AA125" i="3"/>
  <c r="Y125" i="3"/>
  <c r="AF125" i="3"/>
  <c r="C125" i="8"/>
  <c r="AB124" i="3"/>
  <c r="Z124" i="3"/>
  <c r="X124" i="3"/>
  <c r="AA124" i="3"/>
  <c r="Y124" i="3"/>
  <c r="AF124" i="3"/>
  <c r="C124" i="8"/>
  <c r="AB123" i="3"/>
  <c r="Z123" i="3"/>
  <c r="X123" i="3"/>
  <c r="AA123" i="3"/>
  <c r="Y123" i="3"/>
  <c r="AF123" i="3"/>
  <c r="C123" i="8"/>
  <c r="AB122" i="3"/>
  <c r="Z122" i="3"/>
  <c r="X122" i="3"/>
  <c r="AA122" i="3"/>
  <c r="Y122" i="3"/>
  <c r="AF122" i="3"/>
  <c r="C122" i="8"/>
  <c r="AB121" i="3"/>
  <c r="Z121" i="3"/>
  <c r="X121" i="3"/>
  <c r="AA121" i="3"/>
  <c r="Y121" i="3"/>
  <c r="AF121" i="3"/>
  <c r="C121" i="8"/>
  <c r="AB120" i="3"/>
  <c r="Z120" i="3"/>
  <c r="X120" i="3"/>
  <c r="AA120" i="3"/>
  <c r="Y120" i="3"/>
  <c r="AF120" i="3"/>
  <c r="C120" i="8"/>
  <c r="AB119" i="3"/>
  <c r="Z119" i="3"/>
  <c r="X119" i="3"/>
  <c r="AA119" i="3"/>
  <c r="Y119" i="3"/>
  <c r="AF119" i="3"/>
  <c r="C119" i="8"/>
  <c r="AB118" i="3"/>
  <c r="Z118" i="3"/>
  <c r="X118" i="3"/>
  <c r="AA118" i="3"/>
  <c r="Y118" i="3"/>
  <c r="AF118" i="3"/>
  <c r="C118" i="8"/>
  <c r="AB117" i="3"/>
  <c r="Z117" i="3"/>
  <c r="X117" i="3"/>
  <c r="AA117" i="3"/>
  <c r="Y117" i="3"/>
  <c r="AF117" i="3"/>
  <c r="C117" i="8"/>
  <c r="AB116" i="3"/>
  <c r="Z116" i="3"/>
  <c r="X116" i="3"/>
  <c r="AA116" i="3"/>
  <c r="Y116" i="3"/>
  <c r="AF116" i="3"/>
  <c r="C116" i="8"/>
  <c r="AB115" i="3"/>
  <c r="Z115" i="3"/>
  <c r="X115" i="3"/>
  <c r="AA115" i="3"/>
  <c r="Y115" i="3"/>
  <c r="AF115" i="3"/>
  <c r="C115" i="8"/>
  <c r="AB114" i="3"/>
  <c r="Z114" i="3"/>
  <c r="X114" i="3"/>
  <c r="AA114" i="3"/>
  <c r="Y114" i="3"/>
  <c r="AF114" i="3"/>
  <c r="C114" i="8"/>
  <c r="AB113" i="3"/>
  <c r="Z113" i="3"/>
  <c r="X113" i="3"/>
  <c r="AA113" i="3"/>
  <c r="Y113" i="3"/>
  <c r="AF113" i="3"/>
  <c r="C113" i="8"/>
  <c r="AB112" i="3"/>
  <c r="Z112" i="3"/>
  <c r="X112" i="3"/>
  <c r="AA112" i="3"/>
  <c r="Y112" i="3"/>
  <c r="AF112" i="3"/>
  <c r="C112" i="8"/>
  <c r="AB111" i="3"/>
  <c r="Z111" i="3"/>
  <c r="X111" i="3"/>
  <c r="AA111" i="3"/>
  <c r="Y111" i="3"/>
  <c r="AF111" i="3"/>
  <c r="C111" i="8"/>
  <c r="AB110" i="3"/>
  <c r="Z110" i="3"/>
  <c r="X110" i="3"/>
  <c r="AA110" i="3"/>
  <c r="Y110" i="3"/>
  <c r="AF110" i="3"/>
  <c r="C110" i="8"/>
  <c r="AB109" i="3"/>
  <c r="Z109" i="3"/>
  <c r="X109" i="3"/>
  <c r="AA109" i="3"/>
  <c r="Y109" i="3"/>
  <c r="AF109" i="3"/>
  <c r="C109" i="8"/>
  <c r="AB108" i="3"/>
  <c r="Z108" i="3"/>
  <c r="X108" i="3"/>
  <c r="AA108" i="3"/>
  <c r="Y108" i="3"/>
  <c r="AF108" i="3"/>
  <c r="C108" i="8"/>
  <c r="AB107" i="3"/>
  <c r="Z107" i="3"/>
  <c r="X107" i="3"/>
  <c r="AA107" i="3"/>
  <c r="Y107" i="3"/>
  <c r="AF107" i="3"/>
  <c r="C107" i="8"/>
  <c r="AB106" i="3"/>
  <c r="Z106" i="3"/>
  <c r="X106" i="3"/>
  <c r="AA106" i="3"/>
  <c r="Y106" i="3"/>
  <c r="AF106" i="3"/>
  <c r="C106" i="8"/>
  <c r="AB105" i="3"/>
  <c r="Z105" i="3"/>
  <c r="X105" i="3"/>
  <c r="AA105" i="3"/>
  <c r="Y105" i="3"/>
  <c r="AF105" i="3"/>
  <c r="C105" i="8"/>
  <c r="AB104" i="3"/>
  <c r="Z104" i="3"/>
  <c r="X104" i="3"/>
  <c r="AA104" i="3"/>
  <c r="Y104" i="3"/>
  <c r="AF104" i="3"/>
  <c r="C104" i="8"/>
  <c r="AB103" i="3"/>
  <c r="Z103" i="3"/>
  <c r="X103" i="3"/>
  <c r="AA103" i="3"/>
  <c r="Y103" i="3"/>
  <c r="AF103" i="3"/>
  <c r="C103" i="8"/>
  <c r="AD100" i="3"/>
  <c r="S100" i="3"/>
  <c r="W100" i="3"/>
  <c r="U100" i="3"/>
  <c r="AB100" i="3"/>
  <c r="Z100" i="3"/>
  <c r="X100" i="3"/>
  <c r="AA100" i="3"/>
  <c r="Y100" i="3"/>
  <c r="AF100" i="3"/>
  <c r="C100" i="8"/>
  <c r="AD98" i="3"/>
  <c r="S98" i="3"/>
  <c r="W98" i="3"/>
  <c r="U98" i="3"/>
  <c r="AB98" i="3"/>
  <c r="Z98" i="3"/>
  <c r="X98" i="3"/>
  <c r="AA98" i="3"/>
  <c r="Y98" i="3"/>
  <c r="AF98" i="3"/>
  <c r="C98" i="8"/>
  <c r="AD96" i="3"/>
  <c r="S96" i="3"/>
  <c r="W96" i="3"/>
  <c r="U96" i="3"/>
  <c r="AB96" i="3"/>
  <c r="Z96" i="3"/>
  <c r="X96" i="3"/>
  <c r="AA96" i="3"/>
  <c r="Y96" i="3"/>
  <c r="AF96" i="3"/>
  <c r="C96" i="8"/>
  <c r="AB94" i="3"/>
  <c r="Z94" i="3"/>
  <c r="X94" i="3"/>
  <c r="AA94" i="3"/>
  <c r="Y94" i="3"/>
  <c r="AF94" i="3"/>
  <c r="C94" i="8"/>
  <c r="AB93" i="3"/>
  <c r="Z93" i="3"/>
  <c r="X93" i="3"/>
  <c r="AA93" i="3"/>
  <c r="Y93" i="3"/>
  <c r="AF93" i="3"/>
  <c r="C93" i="8"/>
  <c r="AB92" i="3"/>
  <c r="Z92" i="3"/>
  <c r="X92" i="3"/>
  <c r="AA92" i="3"/>
  <c r="Y92" i="3"/>
  <c r="AF92" i="3"/>
  <c r="C92" i="8"/>
  <c r="AB91" i="3"/>
  <c r="Z91" i="3"/>
  <c r="X91" i="3"/>
  <c r="AA91" i="3"/>
  <c r="Y91" i="3"/>
  <c r="AF91" i="3"/>
  <c r="C91" i="8"/>
  <c r="AB90" i="3"/>
  <c r="Z90" i="3"/>
  <c r="X90" i="3"/>
  <c r="AA90" i="3"/>
  <c r="Y90" i="3"/>
  <c r="AF90" i="3"/>
  <c r="C90" i="8"/>
  <c r="AB89" i="3"/>
  <c r="Z89" i="3"/>
  <c r="X89" i="3"/>
  <c r="AA89" i="3"/>
  <c r="Y89" i="3"/>
  <c r="AF89" i="3"/>
  <c r="C89" i="8"/>
  <c r="AB88" i="3"/>
  <c r="Z88" i="3"/>
  <c r="X88" i="3"/>
  <c r="AA88" i="3"/>
  <c r="Y88" i="3"/>
  <c r="AF88" i="3"/>
  <c r="C88" i="8"/>
  <c r="AB87" i="3"/>
  <c r="Z87" i="3"/>
  <c r="X87" i="3"/>
  <c r="AA87" i="3"/>
  <c r="Y87" i="3"/>
  <c r="AF87" i="3"/>
  <c r="C87" i="8"/>
  <c r="AB86" i="3"/>
  <c r="Z86" i="3"/>
  <c r="X86" i="3"/>
  <c r="AA86" i="3"/>
  <c r="Y86" i="3"/>
  <c r="AF86" i="3"/>
  <c r="C86" i="8"/>
  <c r="AB85" i="3"/>
  <c r="Z85" i="3"/>
  <c r="X85" i="3"/>
  <c r="AA85" i="3"/>
  <c r="Y85" i="3"/>
  <c r="AF85" i="3"/>
  <c r="C85" i="8"/>
  <c r="AB84" i="3"/>
  <c r="Z84" i="3"/>
  <c r="X84" i="3"/>
  <c r="AA84" i="3"/>
  <c r="Y84" i="3"/>
  <c r="AF84" i="3"/>
  <c r="C84" i="8"/>
  <c r="AB83" i="3"/>
  <c r="Z83" i="3"/>
  <c r="X83" i="3"/>
  <c r="AA83" i="3"/>
  <c r="Y83" i="3"/>
  <c r="AF83" i="3"/>
  <c r="C83" i="8"/>
  <c r="AB82" i="3"/>
  <c r="Z82" i="3"/>
  <c r="X82" i="3"/>
  <c r="AA82" i="3"/>
  <c r="Y82" i="3"/>
  <c r="AF82" i="3"/>
  <c r="C82" i="8"/>
  <c r="AB81" i="3"/>
  <c r="Z81" i="3"/>
  <c r="X81" i="3"/>
  <c r="AA81" i="3"/>
  <c r="Y81" i="3"/>
  <c r="AF81" i="3"/>
  <c r="C81" i="8"/>
  <c r="AB80" i="3"/>
  <c r="Z80" i="3"/>
  <c r="X80" i="3"/>
  <c r="AA80" i="3"/>
  <c r="Y80" i="3"/>
  <c r="AF80" i="3"/>
  <c r="C80" i="8"/>
  <c r="AB79" i="3"/>
  <c r="Z79" i="3"/>
  <c r="X79" i="3"/>
  <c r="AA79" i="3"/>
  <c r="Y79" i="3"/>
  <c r="AF79" i="3"/>
  <c r="C79" i="8"/>
  <c r="AB78" i="3"/>
  <c r="Z78" i="3"/>
  <c r="X78" i="3"/>
  <c r="AA78" i="3"/>
  <c r="Y78" i="3"/>
  <c r="AF78" i="3"/>
  <c r="C78" i="8"/>
  <c r="AB77" i="3"/>
  <c r="Z77" i="3"/>
  <c r="X77" i="3"/>
  <c r="AA77" i="3"/>
  <c r="Y77" i="3"/>
  <c r="AF77" i="3"/>
  <c r="C77" i="8"/>
  <c r="AD74" i="3"/>
  <c r="S74" i="3"/>
  <c r="W74" i="3"/>
  <c r="U74" i="3"/>
  <c r="AB74" i="3"/>
  <c r="Z74" i="3"/>
  <c r="X74" i="3"/>
  <c r="AA74" i="3"/>
  <c r="Y74" i="3"/>
  <c r="AF74" i="3"/>
  <c r="C74" i="8"/>
  <c r="AD72" i="3"/>
  <c r="S72" i="3"/>
  <c r="W72" i="3"/>
  <c r="U72" i="3"/>
  <c r="AB72" i="3"/>
  <c r="Z72" i="3"/>
  <c r="X72" i="3"/>
  <c r="AA72" i="3"/>
  <c r="Y72" i="3"/>
  <c r="AF72" i="3"/>
  <c r="C72" i="8"/>
  <c r="AD70" i="3"/>
  <c r="S70" i="3"/>
  <c r="W70" i="3"/>
  <c r="U70" i="3"/>
  <c r="AB70" i="3"/>
  <c r="Z70" i="3"/>
  <c r="X70" i="3"/>
  <c r="AA70" i="3"/>
  <c r="Y70" i="3"/>
  <c r="AF70" i="3"/>
  <c r="C70" i="8"/>
  <c r="AB68" i="3"/>
  <c r="Z68" i="3"/>
  <c r="X68" i="3"/>
  <c r="AA68" i="3"/>
  <c r="Y68" i="3"/>
  <c r="AF68" i="3"/>
  <c r="C68" i="8"/>
  <c r="AB67" i="3"/>
  <c r="Z67" i="3"/>
  <c r="X67" i="3"/>
  <c r="AA67" i="3"/>
  <c r="Y67" i="3"/>
  <c r="AF67" i="3"/>
  <c r="C67" i="8"/>
  <c r="AB66" i="3"/>
  <c r="Z66" i="3"/>
  <c r="X66" i="3"/>
  <c r="AA66" i="3"/>
  <c r="Y66" i="3"/>
  <c r="AF66" i="3"/>
  <c r="C66" i="8"/>
  <c r="AB65" i="3"/>
  <c r="Z65" i="3"/>
  <c r="X65" i="3"/>
  <c r="AA65" i="3"/>
  <c r="Y65" i="3"/>
  <c r="AF65" i="3"/>
  <c r="C65" i="8"/>
  <c r="AB64" i="3"/>
  <c r="Z64" i="3"/>
  <c r="X64" i="3"/>
  <c r="AA64" i="3"/>
  <c r="Y64" i="3"/>
  <c r="AF64" i="3"/>
  <c r="C64" i="8"/>
  <c r="AB63" i="3"/>
  <c r="Z63" i="3"/>
  <c r="X63" i="3"/>
  <c r="AA63" i="3"/>
  <c r="Y63" i="3"/>
  <c r="AF63" i="3"/>
  <c r="C63" i="8"/>
  <c r="AB62" i="3"/>
  <c r="Z62" i="3"/>
  <c r="X62" i="3"/>
  <c r="AA62" i="3"/>
  <c r="Y62" i="3"/>
  <c r="AF62" i="3"/>
  <c r="C62" i="8"/>
  <c r="AB61" i="3"/>
  <c r="Z61" i="3"/>
  <c r="X61" i="3"/>
  <c r="AA61" i="3"/>
  <c r="Y61" i="3"/>
  <c r="AF61" i="3"/>
  <c r="C61" i="8"/>
  <c r="AB60" i="3"/>
  <c r="Z60" i="3"/>
  <c r="X60" i="3"/>
  <c r="AA60" i="3"/>
  <c r="Y60" i="3"/>
  <c r="AF60" i="3"/>
  <c r="C60" i="8"/>
  <c r="AB59" i="3"/>
  <c r="Z59" i="3"/>
  <c r="X59" i="3"/>
  <c r="AA59" i="3"/>
  <c r="Y59" i="3"/>
  <c r="AF59" i="3"/>
  <c r="C59" i="8"/>
  <c r="AB58" i="3"/>
  <c r="Z58" i="3"/>
  <c r="X58" i="3"/>
  <c r="AA58" i="3"/>
  <c r="Y58" i="3"/>
  <c r="AF58" i="3"/>
  <c r="C58" i="8"/>
  <c r="AB57" i="3"/>
  <c r="Z57" i="3"/>
  <c r="X57" i="3"/>
  <c r="AA57" i="3"/>
  <c r="Y57" i="3"/>
  <c r="AF57" i="3"/>
  <c r="C57" i="8"/>
  <c r="AB56" i="3"/>
  <c r="Z56" i="3"/>
  <c r="X56" i="3"/>
  <c r="AA56" i="3"/>
  <c r="Y56" i="3"/>
  <c r="AF56" i="3"/>
  <c r="C56" i="8"/>
  <c r="AB55" i="3"/>
  <c r="Z55" i="3"/>
  <c r="X55" i="3"/>
  <c r="AA55" i="3"/>
  <c r="Y55" i="3"/>
  <c r="AF55" i="3"/>
  <c r="C55" i="8"/>
  <c r="AB54" i="3"/>
  <c r="Z54" i="3"/>
  <c r="X54" i="3"/>
  <c r="AA54" i="3"/>
  <c r="Y54" i="3"/>
  <c r="AF54" i="3"/>
  <c r="C54" i="8"/>
  <c r="AB53" i="3"/>
  <c r="Z53" i="3"/>
  <c r="X53" i="3"/>
  <c r="AA53" i="3"/>
  <c r="Y53" i="3"/>
  <c r="AF53" i="3"/>
  <c r="C53" i="8"/>
  <c r="AB52" i="3"/>
  <c r="Z52" i="3"/>
  <c r="X52" i="3"/>
  <c r="AA52" i="3"/>
  <c r="Y52" i="3"/>
  <c r="AF52" i="3"/>
  <c r="C52" i="8"/>
  <c r="AB51" i="3"/>
  <c r="Z51" i="3"/>
  <c r="X51" i="3"/>
  <c r="AA51" i="3"/>
  <c r="Y51" i="3"/>
  <c r="AF51" i="3"/>
  <c r="C51" i="8"/>
  <c r="AB50" i="3"/>
  <c r="Z50" i="3"/>
  <c r="X50" i="3"/>
  <c r="AA50" i="3"/>
  <c r="Y50" i="3"/>
  <c r="AF50" i="3"/>
  <c r="C50" i="8"/>
  <c r="AB49" i="3"/>
  <c r="Z49" i="3"/>
  <c r="X49" i="3"/>
  <c r="AA49" i="3"/>
  <c r="Y49" i="3"/>
  <c r="AF49" i="3"/>
  <c r="C49" i="8"/>
  <c r="AB48" i="3"/>
  <c r="Z48" i="3"/>
  <c r="X48" i="3"/>
  <c r="AA48" i="3"/>
  <c r="Y48" i="3"/>
  <c r="AF48" i="3"/>
  <c r="C48" i="8"/>
  <c r="AB47" i="3"/>
  <c r="Z47" i="3"/>
  <c r="X47" i="3"/>
  <c r="AA47" i="3"/>
  <c r="Y47" i="3"/>
  <c r="AF47" i="3"/>
  <c r="C47" i="8"/>
  <c r="AD44" i="3"/>
  <c r="S44" i="3"/>
  <c r="W44" i="3"/>
  <c r="U44" i="3"/>
  <c r="AB44" i="3"/>
  <c r="Z44" i="3"/>
  <c r="X44" i="3"/>
  <c r="AA44" i="3"/>
  <c r="Y44" i="3"/>
  <c r="AF44" i="3"/>
  <c r="C44" i="8"/>
  <c r="AD42" i="3"/>
  <c r="S42" i="3"/>
  <c r="W42" i="3"/>
  <c r="U42" i="3"/>
  <c r="AB42" i="3"/>
  <c r="Z42" i="3"/>
  <c r="X42" i="3"/>
  <c r="AA42" i="3"/>
  <c r="Y42" i="3"/>
  <c r="AF42" i="3"/>
  <c r="C42" i="8"/>
  <c r="AD40" i="3"/>
  <c r="S40" i="3"/>
  <c r="W40" i="3"/>
  <c r="U40" i="3"/>
  <c r="AB40" i="3"/>
  <c r="Z40" i="3"/>
  <c r="X40" i="3"/>
  <c r="AA40" i="3"/>
  <c r="Y40" i="3"/>
  <c r="AF40" i="3"/>
  <c r="C40" i="8"/>
  <c r="AB38" i="3"/>
  <c r="Z38" i="3"/>
  <c r="X38" i="3"/>
  <c r="AA38" i="3"/>
  <c r="Y38" i="3"/>
  <c r="AF38" i="3"/>
  <c r="C38" i="8"/>
  <c r="AB37" i="3"/>
  <c r="Z37" i="3"/>
  <c r="X37" i="3"/>
  <c r="AA37" i="3"/>
  <c r="Y37" i="3"/>
  <c r="AF37" i="3"/>
  <c r="C37" i="8"/>
  <c r="AB36" i="3"/>
  <c r="Z36" i="3"/>
  <c r="X36" i="3"/>
  <c r="AA36" i="3"/>
  <c r="Y36" i="3"/>
  <c r="AF36" i="3"/>
  <c r="C36" i="8"/>
  <c r="AB35" i="3"/>
  <c r="Z35" i="3"/>
  <c r="X35" i="3"/>
  <c r="AA35" i="3"/>
  <c r="Y35" i="3"/>
  <c r="AF35" i="3"/>
  <c r="C35" i="8"/>
  <c r="AB34" i="3"/>
  <c r="Z34" i="3"/>
  <c r="X34" i="3"/>
  <c r="AA34" i="3"/>
  <c r="Y34" i="3"/>
  <c r="AF34" i="3"/>
  <c r="C34" i="8"/>
  <c r="AB33" i="3"/>
  <c r="Z33" i="3"/>
  <c r="X33" i="3"/>
  <c r="AA33" i="3"/>
  <c r="Y33" i="3"/>
  <c r="AF33" i="3"/>
  <c r="C33" i="8"/>
  <c r="AB32" i="3"/>
  <c r="Z32" i="3"/>
  <c r="X32" i="3"/>
  <c r="AA32" i="3"/>
  <c r="Y32" i="3"/>
  <c r="AF32" i="3"/>
  <c r="C32" i="8"/>
  <c r="AB31" i="3"/>
  <c r="Z31" i="3"/>
  <c r="X31" i="3"/>
  <c r="AA31" i="3"/>
  <c r="Y31" i="3"/>
  <c r="AF31" i="3"/>
  <c r="C31" i="8"/>
  <c r="AB30" i="3"/>
  <c r="Z30" i="3"/>
  <c r="X30" i="3"/>
  <c r="AA30" i="3"/>
  <c r="Y30" i="3"/>
  <c r="AF30" i="3"/>
  <c r="C30" i="8"/>
  <c r="AB29" i="3"/>
  <c r="Z29" i="3"/>
  <c r="X29" i="3"/>
  <c r="AA29" i="3"/>
  <c r="Y29" i="3"/>
  <c r="AF29" i="3"/>
  <c r="C29" i="8"/>
  <c r="AB28" i="3"/>
  <c r="Z28" i="3"/>
  <c r="X28" i="3"/>
  <c r="AA28" i="3"/>
  <c r="Y28" i="3"/>
  <c r="AF28" i="3"/>
  <c r="C28" i="8"/>
  <c r="AB27" i="3"/>
  <c r="Z27" i="3"/>
  <c r="X27" i="3"/>
  <c r="AA27" i="3"/>
  <c r="Y27" i="3"/>
  <c r="AF27" i="3"/>
  <c r="C27" i="8"/>
  <c r="AB26" i="3"/>
  <c r="Z26" i="3"/>
  <c r="X26" i="3"/>
  <c r="AA26" i="3"/>
  <c r="Y26" i="3"/>
  <c r="AF26" i="3"/>
  <c r="C26" i="8"/>
  <c r="AB25" i="3"/>
  <c r="Z25" i="3"/>
  <c r="X25" i="3"/>
  <c r="AA25" i="3"/>
  <c r="Y25" i="3"/>
  <c r="AF25" i="3"/>
  <c r="C25" i="8"/>
  <c r="AD22" i="3"/>
  <c r="S22" i="3"/>
  <c r="W22" i="3"/>
  <c r="U22" i="3"/>
  <c r="AB22" i="3"/>
  <c r="Z22" i="3"/>
  <c r="X22" i="3"/>
  <c r="AA22" i="3"/>
  <c r="Y22" i="3"/>
  <c r="AF22" i="3"/>
  <c r="C22" i="8"/>
  <c r="AD20" i="3"/>
  <c r="S20" i="3"/>
  <c r="W20" i="3"/>
  <c r="U20" i="3"/>
  <c r="AB20" i="3"/>
  <c r="Z20" i="3"/>
  <c r="X20" i="3"/>
  <c r="AA20" i="3"/>
  <c r="Y20" i="3"/>
  <c r="AF20" i="3"/>
  <c r="C20" i="8"/>
  <c r="AD18" i="3"/>
  <c r="S18" i="3"/>
  <c r="W18" i="3"/>
  <c r="U18" i="3"/>
  <c r="AB18" i="3"/>
  <c r="Z18" i="3"/>
  <c r="X18" i="3"/>
  <c r="AA18" i="3"/>
  <c r="Y18" i="3"/>
  <c r="AF18" i="3"/>
  <c r="C18" i="8"/>
  <c r="AB5" i="3"/>
  <c r="Z5" i="3"/>
  <c r="X5" i="3"/>
  <c r="AA5" i="3"/>
  <c r="Y5" i="3"/>
  <c r="AF5" i="3"/>
  <c r="C5" i="8"/>
  <c r="AB6" i="3"/>
  <c r="Z6" i="3"/>
  <c r="X6" i="3"/>
  <c r="AA6" i="3"/>
  <c r="Y6" i="3"/>
  <c r="AF6" i="3"/>
  <c r="C6" i="8"/>
  <c r="AB7" i="3"/>
  <c r="Z7" i="3"/>
  <c r="X7" i="3"/>
  <c r="AA7" i="3"/>
  <c r="Y7" i="3"/>
  <c r="AF7" i="3"/>
  <c r="C7" i="8"/>
  <c r="AB8" i="3"/>
  <c r="Z8" i="3"/>
  <c r="X8" i="3"/>
  <c r="AA8" i="3"/>
  <c r="Y8" i="3"/>
  <c r="AF8" i="3"/>
  <c r="C8" i="8"/>
  <c r="AB9" i="3"/>
  <c r="Z9" i="3"/>
  <c r="X9" i="3"/>
  <c r="AA9" i="3"/>
  <c r="Y9" i="3"/>
  <c r="AF9" i="3"/>
  <c r="C9" i="8"/>
  <c r="AB10" i="3"/>
  <c r="Z10" i="3"/>
  <c r="X10" i="3"/>
  <c r="AA10" i="3"/>
  <c r="Y10" i="3"/>
  <c r="AF10" i="3"/>
  <c r="C10" i="8"/>
  <c r="AB11" i="3"/>
  <c r="Z11" i="3"/>
  <c r="X11" i="3"/>
  <c r="AA11" i="3"/>
  <c r="Y11" i="3"/>
  <c r="AF11" i="3"/>
  <c r="C11" i="8"/>
  <c r="AB12" i="3"/>
  <c r="Z12" i="3"/>
  <c r="X12" i="3"/>
  <c r="AA12" i="3"/>
  <c r="Y12" i="3"/>
  <c r="AF12" i="3"/>
  <c r="C12" i="8"/>
  <c r="AB13" i="3"/>
  <c r="Z13" i="3"/>
  <c r="X13" i="3"/>
  <c r="AA13" i="3"/>
  <c r="Y13" i="3"/>
  <c r="AF13" i="3"/>
  <c r="C13" i="8"/>
  <c r="AB14" i="3"/>
  <c r="Z14" i="3"/>
  <c r="X14" i="3"/>
  <c r="AA14" i="3"/>
  <c r="Y14" i="3"/>
  <c r="AF14" i="3"/>
  <c r="C14" i="8"/>
  <c r="AB15" i="3"/>
  <c r="Z15" i="3"/>
  <c r="X15" i="3"/>
  <c r="AA15" i="3"/>
  <c r="Y15" i="3"/>
  <c r="AF15" i="3"/>
  <c r="C15" i="8"/>
  <c r="AB16" i="3"/>
  <c r="Z16" i="3"/>
  <c r="X16" i="3"/>
  <c r="AA16" i="3"/>
  <c r="Y16" i="3"/>
  <c r="AF16" i="3"/>
  <c r="C16" i="8"/>
  <c r="AB4" i="3"/>
  <c r="Z4" i="3"/>
  <c r="X4" i="3"/>
  <c r="AA4" i="3"/>
  <c r="Y4" i="3"/>
  <c r="AF4" i="3"/>
  <c r="C4" i="8"/>
  <c r="AG144" i="3"/>
  <c r="V18" i="3"/>
  <c r="AG10" i="3"/>
  <c r="AI10" i="3"/>
  <c r="AG4" i="3"/>
  <c r="AI4" i="3"/>
  <c r="AG12" i="3"/>
  <c r="AI12" i="3"/>
  <c r="AG14" i="3"/>
  <c r="AI14" i="3"/>
  <c r="AG15" i="3"/>
  <c r="AI15" i="3"/>
  <c r="AG8" i="3"/>
  <c r="AI8" i="3"/>
  <c r="AG6" i="3"/>
  <c r="AI6" i="3"/>
  <c r="AI18" i="3"/>
  <c r="AG5" i="3"/>
  <c r="AI5" i="3"/>
  <c r="AG7" i="3"/>
  <c r="AI7" i="3"/>
  <c r="AG9" i="3"/>
  <c r="AI9" i="3"/>
  <c r="AG11" i="3"/>
  <c r="AI11" i="3"/>
  <c r="AG13" i="3"/>
  <c r="AI13" i="3"/>
  <c r="AG16" i="3"/>
  <c r="AI16" i="3"/>
  <c r="AK22" i="3"/>
  <c r="AK20" i="3"/>
  <c r="AK18" i="3"/>
  <c r="AM18" i="3"/>
  <c r="AL18" i="3"/>
  <c r="AG136" i="3"/>
  <c r="AI136" i="3"/>
  <c r="AG137" i="3"/>
  <c r="AI137" i="3"/>
  <c r="AG138" i="3"/>
  <c r="AI138" i="3"/>
  <c r="AG139" i="3"/>
  <c r="AI139" i="3"/>
  <c r="AG140" i="3"/>
  <c r="AI140" i="3"/>
  <c r="AG141" i="3"/>
  <c r="AI141" i="3"/>
  <c r="AG142" i="3"/>
  <c r="AI142" i="3"/>
  <c r="AG143" i="3"/>
  <c r="AI143" i="3"/>
  <c r="AI144" i="3"/>
  <c r="AG145" i="3"/>
  <c r="AI145" i="3"/>
  <c r="AG146" i="3"/>
  <c r="AI146" i="3"/>
  <c r="AG147" i="3"/>
  <c r="AI147" i="3"/>
  <c r="AG148" i="3"/>
  <c r="AI148" i="3"/>
  <c r="AG149" i="3"/>
  <c r="AI149" i="3"/>
  <c r="AG150" i="3"/>
  <c r="AI150" i="3"/>
  <c r="AG151" i="3"/>
  <c r="AI151" i="3"/>
  <c r="AG152" i="3"/>
  <c r="AI152" i="3"/>
  <c r="AG153" i="3"/>
  <c r="AI153" i="3"/>
  <c r="AG154" i="3"/>
  <c r="AI154" i="3"/>
  <c r="AG155" i="3"/>
  <c r="AI155" i="3"/>
  <c r="AG156" i="3"/>
  <c r="AI156" i="3"/>
  <c r="AG157" i="3"/>
  <c r="AI157" i="3"/>
  <c r="AG158" i="3"/>
  <c r="AI158" i="3"/>
  <c r="AG159" i="3"/>
  <c r="AI159" i="3"/>
  <c r="AG160" i="3"/>
  <c r="AI160" i="3"/>
  <c r="AG161" i="3"/>
  <c r="AI161" i="3"/>
  <c r="AG162" i="3"/>
  <c r="AI162" i="3"/>
  <c r="AG163" i="3"/>
  <c r="AI163" i="3"/>
  <c r="AG164" i="3"/>
  <c r="AI164" i="3"/>
  <c r="AG165" i="3"/>
  <c r="AI165" i="3"/>
  <c r="AG166" i="3"/>
  <c r="AI166" i="3"/>
  <c r="AG167" i="3"/>
  <c r="AI167" i="3"/>
  <c r="AG168" i="3"/>
  <c r="AI168" i="3"/>
  <c r="AG169" i="3"/>
  <c r="AI169" i="3"/>
  <c r="AG170" i="3"/>
  <c r="AI170" i="3"/>
  <c r="AG171" i="3"/>
  <c r="AI171" i="3"/>
  <c r="AG172" i="3"/>
  <c r="AI172" i="3"/>
  <c r="AG173" i="3"/>
  <c r="AI173" i="3"/>
  <c r="AK179" i="3"/>
  <c r="AG103" i="3"/>
  <c r="AI103" i="3"/>
  <c r="AG104" i="3"/>
  <c r="AI104" i="3"/>
  <c r="AG105" i="3"/>
  <c r="AI105" i="3"/>
  <c r="AG106" i="3"/>
  <c r="AI106" i="3"/>
  <c r="AG107" i="3"/>
  <c r="AI107" i="3"/>
  <c r="AG108" i="3"/>
  <c r="AI108" i="3"/>
  <c r="AG109" i="3"/>
  <c r="AI109" i="3"/>
  <c r="AG110" i="3"/>
  <c r="AI110" i="3"/>
  <c r="AG111" i="3"/>
  <c r="AI111" i="3"/>
  <c r="AG112" i="3"/>
  <c r="AI112" i="3"/>
  <c r="AG113" i="3"/>
  <c r="AI113" i="3"/>
  <c r="AG114" i="3"/>
  <c r="AI114" i="3"/>
  <c r="AG115" i="3"/>
  <c r="AI115" i="3"/>
  <c r="AG116" i="3"/>
  <c r="AI116" i="3"/>
  <c r="AG117" i="3"/>
  <c r="AI117" i="3"/>
  <c r="AG118" i="3"/>
  <c r="AI118" i="3"/>
  <c r="AG119" i="3"/>
  <c r="AI119" i="3"/>
  <c r="AG120" i="3"/>
  <c r="AI120" i="3"/>
  <c r="AG121" i="3"/>
  <c r="AI121" i="3"/>
  <c r="AG122" i="3"/>
  <c r="AI122" i="3"/>
  <c r="AG123" i="3"/>
  <c r="AI123" i="3"/>
  <c r="AG124" i="3"/>
  <c r="AI124" i="3"/>
  <c r="AG125" i="3"/>
  <c r="AI125" i="3"/>
  <c r="AG126" i="3"/>
  <c r="AI126" i="3"/>
  <c r="AG127" i="3"/>
  <c r="AI127" i="3"/>
  <c r="AK133" i="3"/>
  <c r="AG77" i="3"/>
  <c r="AI77" i="3"/>
  <c r="AG78" i="3"/>
  <c r="AI78" i="3"/>
  <c r="AG79" i="3"/>
  <c r="AI79" i="3"/>
  <c r="AG80" i="3"/>
  <c r="AI80" i="3"/>
  <c r="AG81" i="3"/>
  <c r="AI81" i="3"/>
  <c r="AG82" i="3"/>
  <c r="AI82" i="3"/>
  <c r="AG83" i="3"/>
  <c r="AI83" i="3"/>
  <c r="AG84" i="3"/>
  <c r="AI84" i="3"/>
  <c r="AG85" i="3"/>
  <c r="AI85" i="3"/>
  <c r="AG86" i="3"/>
  <c r="AI86" i="3"/>
  <c r="AG87" i="3"/>
  <c r="AI87" i="3"/>
  <c r="AG88" i="3"/>
  <c r="AI88" i="3"/>
  <c r="AG89" i="3"/>
  <c r="AI89" i="3"/>
  <c r="AG90" i="3"/>
  <c r="AI90" i="3"/>
  <c r="AG91" i="3"/>
  <c r="AI91" i="3"/>
  <c r="AG92" i="3"/>
  <c r="AI92" i="3"/>
  <c r="AG93" i="3"/>
  <c r="AI93" i="3"/>
  <c r="AG94" i="3"/>
  <c r="AI94" i="3"/>
  <c r="AK100" i="3"/>
  <c r="AG47" i="3"/>
  <c r="AI47" i="3"/>
  <c r="AG48" i="3"/>
  <c r="AI48" i="3"/>
  <c r="AG49" i="3"/>
  <c r="AI49" i="3"/>
  <c r="AG50" i="3"/>
  <c r="AI50" i="3"/>
  <c r="AG51" i="3"/>
  <c r="AI51" i="3"/>
  <c r="AG52" i="3"/>
  <c r="AI52" i="3"/>
  <c r="AG53" i="3"/>
  <c r="AI53" i="3"/>
  <c r="AG54" i="3"/>
  <c r="AI54" i="3"/>
  <c r="AG55" i="3"/>
  <c r="AI55" i="3"/>
  <c r="AG56" i="3"/>
  <c r="AI56" i="3"/>
  <c r="AG57" i="3"/>
  <c r="AI57" i="3"/>
  <c r="AG58" i="3"/>
  <c r="AI58" i="3"/>
  <c r="AG59" i="3"/>
  <c r="AI59" i="3"/>
  <c r="AG60" i="3"/>
  <c r="AI60" i="3"/>
  <c r="AG61" i="3"/>
  <c r="AI61" i="3"/>
  <c r="AG62" i="3"/>
  <c r="AI62" i="3"/>
  <c r="AG63" i="3"/>
  <c r="AI63" i="3"/>
  <c r="AG64" i="3"/>
  <c r="AI64" i="3"/>
  <c r="AG65" i="3"/>
  <c r="AI65" i="3"/>
  <c r="AG66" i="3"/>
  <c r="AI66" i="3"/>
  <c r="AG67" i="3"/>
  <c r="AI67" i="3"/>
  <c r="AG68" i="3"/>
  <c r="AI68" i="3"/>
  <c r="AK74" i="3"/>
  <c r="AG25" i="3"/>
  <c r="AI25" i="3"/>
  <c r="AG26" i="3"/>
  <c r="AI26" i="3"/>
  <c r="AG27" i="3"/>
  <c r="AI27" i="3"/>
  <c r="AG28" i="3"/>
  <c r="AI28" i="3"/>
  <c r="AG29" i="3"/>
  <c r="AI29" i="3"/>
  <c r="AG30" i="3"/>
  <c r="AI30" i="3"/>
  <c r="AG31" i="3"/>
  <c r="AI31" i="3"/>
  <c r="AG32" i="3"/>
  <c r="AI32" i="3"/>
  <c r="AG33" i="3"/>
  <c r="AI33" i="3"/>
  <c r="AG34" i="3"/>
  <c r="AI34" i="3"/>
  <c r="AG35" i="3"/>
  <c r="AI35" i="3"/>
  <c r="AG36" i="3"/>
  <c r="AI36" i="3"/>
  <c r="AG37" i="3"/>
  <c r="AI37" i="3"/>
  <c r="AG38" i="3"/>
  <c r="AI38" i="3"/>
  <c r="AK44" i="3"/>
  <c r="AK185" i="3"/>
  <c r="AI179" i="3"/>
  <c r="AI133" i="3"/>
  <c r="AI100" i="3"/>
  <c r="AI74" i="3"/>
  <c r="AI44" i="3"/>
  <c r="AI22" i="3"/>
  <c r="AI185" i="3"/>
  <c r="AM185" i="3"/>
  <c r="AL185" i="3"/>
  <c r="AK177" i="3"/>
  <c r="AK131" i="3"/>
  <c r="AK98" i="3"/>
  <c r="AK72" i="3"/>
  <c r="AK42" i="3"/>
  <c r="AK183" i="3"/>
  <c r="AI177" i="3"/>
  <c r="AI131" i="3"/>
  <c r="AI98" i="3"/>
  <c r="AI72" i="3"/>
  <c r="AI42" i="3"/>
  <c r="AI20" i="3"/>
  <c r="AI183" i="3"/>
  <c r="AM183" i="3"/>
  <c r="AL183" i="3"/>
  <c r="AK181" i="3"/>
  <c r="AI175" i="3"/>
  <c r="AI129" i="3"/>
  <c r="AI96" i="3"/>
  <c r="AI70" i="3"/>
  <c r="AI40" i="3"/>
  <c r="AI181" i="3"/>
  <c r="AM181" i="3"/>
  <c r="AL181" i="3"/>
  <c r="AM179" i="3"/>
  <c r="AL179" i="3"/>
  <c r="AM177" i="3"/>
  <c r="AL177" i="3"/>
  <c r="AK175" i="3"/>
  <c r="AM175" i="3"/>
  <c r="AL175" i="3"/>
  <c r="AM133" i="3"/>
  <c r="AL133" i="3"/>
  <c r="AM131" i="3"/>
  <c r="AL131" i="3"/>
  <c r="AK129" i="3"/>
  <c r="AM129" i="3"/>
  <c r="AL129" i="3"/>
  <c r="AM100" i="3"/>
  <c r="AL100" i="3"/>
  <c r="AM98" i="3"/>
  <c r="AL98" i="3"/>
  <c r="AK96" i="3"/>
  <c r="AM96" i="3"/>
  <c r="AL96" i="3"/>
  <c r="AM74" i="3"/>
  <c r="AL74" i="3"/>
  <c r="AM72" i="3"/>
  <c r="AL72" i="3"/>
  <c r="AK70" i="3"/>
  <c r="AM70" i="3"/>
  <c r="AL70" i="3"/>
  <c r="AM44" i="3"/>
  <c r="AL44" i="3"/>
  <c r="AM42" i="3"/>
  <c r="AL42" i="3"/>
  <c r="AK40" i="3"/>
  <c r="AM40" i="3"/>
  <c r="AL40" i="3"/>
  <c r="AM22" i="3"/>
  <c r="AL22" i="3"/>
  <c r="AM20" i="3"/>
  <c r="AL20" i="3"/>
  <c r="AH31" i="4"/>
  <c r="AI31" i="4"/>
  <c r="AJ31" i="4"/>
  <c r="C3" i="4"/>
  <c r="AH32" i="4"/>
  <c r="AI32" i="4"/>
  <c r="AJ32" i="4"/>
  <c r="C4" i="4"/>
  <c r="V31" i="4"/>
  <c r="W31" i="4"/>
  <c r="X31" i="4"/>
  <c r="D3" i="4"/>
  <c r="V102" i="2"/>
  <c r="Q38" i="1"/>
  <c r="V38" i="1"/>
  <c r="AG38" i="1"/>
  <c r="AH38" i="1"/>
  <c r="AI38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44" i="1"/>
  <c r="AJ38" i="1"/>
  <c r="Q49" i="1"/>
  <c r="V49" i="1"/>
  <c r="AG49" i="1"/>
  <c r="AH49" i="1"/>
  <c r="AI49" i="1"/>
  <c r="AG47" i="1"/>
  <c r="AG48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4" i="1"/>
  <c r="AJ49" i="1"/>
  <c r="Q50" i="1"/>
  <c r="V50" i="1"/>
  <c r="AH50" i="1"/>
  <c r="AI50" i="1"/>
  <c r="AJ50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9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33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100" i="1"/>
  <c r="AI47" i="1"/>
  <c r="AI48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7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4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22" i="1"/>
  <c r="AI185" i="1"/>
  <c r="AK179" i="1"/>
  <c r="AK133" i="1"/>
  <c r="AK100" i="1"/>
  <c r="AK74" i="1"/>
  <c r="AK44" i="1"/>
  <c r="AK22" i="1"/>
  <c r="AK185" i="1"/>
  <c r="AM185" i="1"/>
  <c r="AL18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9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33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10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22" i="1"/>
  <c r="AG185" i="1"/>
  <c r="V185" i="1"/>
  <c r="AP183" i="1"/>
  <c r="AO183" i="1"/>
  <c r="AI177" i="1"/>
  <c r="AI131" i="1"/>
  <c r="AI98" i="1"/>
  <c r="AI72" i="1"/>
  <c r="AI42" i="1"/>
  <c r="AI20" i="1"/>
  <c r="AI183" i="1"/>
  <c r="AK177" i="1"/>
  <c r="AK131" i="1"/>
  <c r="AK98" i="1"/>
  <c r="AK72" i="1"/>
  <c r="AK42" i="1"/>
  <c r="AK20" i="1"/>
  <c r="AK183" i="1"/>
  <c r="AM183" i="1"/>
  <c r="AL183" i="1"/>
  <c r="AG177" i="1"/>
  <c r="AG131" i="1"/>
  <c r="AG98" i="1"/>
  <c r="AG72" i="1"/>
  <c r="AG42" i="1"/>
  <c r="AG20" i="1"/>
  <c r="AG183" i="1"/>
  <c r="V183" i="1"/>
  <c r="AP181" i="1"/>
  <c r="AO181" i="1"/>
  <c r="AI175" i="1"/>
  <c r="AI129" i="1"/>
  <c r="AI96" i="1"/>
  <c r="AI70" i="1"/>
  <c r="AI40" i="1"/>
  <c r="AI18" i="1"/>
  <c r="AI181" i="1"/>
  <c r="AK181" i="1"/>
  <c r="AM181" i="1"/>
  <c r="AL181" i="1"/>
  <c r="AG175" i="1"/>
  <c r="AG129" i="1"/>
  <c r="AG96" i="1"/>
  <c r="AG70" i="1"/>
  <c r="AG40" i="1"/>
  <c r="AG18" i="1"/>
  <c r="AG181" i="1"/>
  <c r="V181" i="1"/>
  <c r="AM179" i="1"/>
  <c r="AL179" i="1"/>
  <c r="V179" i="1"/>
  <c r="AP177" i="1"/>
  <c r="AO177" i="1"/>
  <c r="AM177" i="1"/>
  <c r="AL177" i="1"/>
  <c r="V177" i="1"/>
  <c r="AP175" i="1"/>
  <c r="AO175" i="1"/>
  <c r="AK175" i="1"/>
  <c r="AM175" i="1"/>
  <c r="AL175" i="1"/>
  <c r="V175" i="1"/>
  <c r="AJ173" i="1"/>
  <c r="AH173" i="1"/>
  <c r="V173" i="1"/>
  <c r="Q173" i="1"/>
  <c r="AJ172" i="1"/>
  <c r="AH172" i="1"/>
  <c r="V172" i="1"/>
  <c r="Q172" i="1"/>
  <c r="AJ171" i="1"/>
  <c r="AH171" i="1"/>
  <c r="V171" i="1"/>
  <c r="Q171" i="1"/>
  <c r="AJ170" i="1"/>
  <c r="AH170" i="1"/>
  <c r="V170" i="1"/>
  <c r="Q170" i="1"/>
  <c r="AJ169" i="1"/>
  <c r="AH169" i="1"/>
  <c r="V169" i="1"/>
  <c r="Q169" i="1"/>
  <c r="AJ168" i="1"/>
  <c r="AH168" i="1"/>
  <c r="V168" i="1"/>
  <c r="Q168" i="1"/>
  <c r="AJ167" i="1"/>
  <c r="AH167" i="1"/>
  <c r="V167" i="1"/>
  <c r="Q167" i="1"/>
  <c r="AJ166" i="1"/>
  <c r="AH166" i="1"/>
  <c r="V166" i="1"/>
  <c r="Q166" i="1"/>
  <c r="AJ165" i="1"/>
  <c r="AH165" i="1"/>
  <c r="V165" i="1"/>
  <c r="Q165" i="1"/>
  <c r="AJ164" i="1"/>
  <c r="AH164" i="1"/>
  <c r="V164" i="1"/>
  <c r="Q164" i="1"/>
  <c r="AJ163" i="1"/>
  <c r="AH163" i="1"/>
  <c r="V163" i="1"/>
  <c r="Q163" i="1"/>
  <c r="AJ162" i="1"/>
  <c r="AH162" i="1"/>
  <c r="V162" i="1"/>
  <c r="Q162" i="1"/>
  <c r="AJ161" i="1"/>
  <c r="AH161" i="1"/>
  <c r="V161" i="1"/>
  <c r="Q161" i="1"/>
  <c r="AJ160" i="1"/>
  <c r="AH160" i="1"/>
  <c r="V160" i="1"/>
  <c r="Q160" i="1"/>
  <c r="AJ159" i="1"/>
  <c r="AH159" i="1"/>
  <c r="V159" i="1"/>
  <c r="Q159" i="1"/>
  <c r="AJ158" i="1"/>
  <c r="AH158" i="1"/>
  <c r="V158" i="1"/>
  <c r="Q158" i="1"/>
  <c r="AJ157" i="1"/>
  <c r="AH157" i="1"/>
  <c r="V157" i="1"/>
  <c r="Q157" i="1"/>
  <c r="AJ156" i="1"/>
  <c r="AH156" i="1"/>
  <c r="V156" i="1"/>
  <c r="Q156" i="1"/>
  <c r="AJ155" i="1"/>
  <c r="AH155" i="1"/>
  <c r="V155" i="1"/>
  <c r="Q155" i="1"/>
  <c r="AJ154" i="1"/>
  <c r="AH154" i="1"/>
  <c r="V154" i="1"/>
  <c r="Q154" i="1"/>
  <c r="AJ153" i="1"/>
  <c r="AH153" i="1"/>
  <c r="V153" i="1"/>
  <c r="Q153" i="1"/>
  <c r="AJ152" i="1"/>
  <c r="AH152" i="1"/>
  <c r="V152" i="1"/>
  <c r="Q152" i="1"/>
  <c r="AJ151" i="1"/>
  <c r="AH151" i="1"/>
  <c r="V151" i="1"/>
  <c r="Q151" i="1"/>
  <c r="AJ150" i="1"/>
  <c r="AH150" i="1"/>
  <c r="V150" i="1"/>
  <c r="Q150" i="1"/>
  <c r="AJ149" i="1"/>
  <c r="AH149" i="1"/>
  <c r="V149" i="1"/>
  <c r="Q149" i="1"/>
  <c r="AJ148" i="1"/>
  <c r="AH148" i="1"/>
  <c r="V148" i="1"/>
  <c r="Q148" i="1"/>
  <c r="AJ147" i="1"/>
  <c r="AH147" i="1"/>
  <c r="V147" i="1"/>
  <c r="Q147" i="1"/>
  <c r="AJ146" i="1"/>
  <c r="AH146" i="1"/>
  <c r="V146" i="1"/>
  <c r="Q146" i="1"/>
  <c r="AJ145" i="1"/>
  <c r="AH145" i="1"/>
  <c r="V145" i="1"/>
  <c r="Q145" i="1"/>
  <c r="AJ144" i="1"/>
  <c r="AH144" i="1"/>
  <c r="V144" i="1"/>
  <c r="Q144" i="1"/>
  <c r="AJ143" i="1"/>
  <c r="AH143" i="1"/>
  <c r="V143" i="1"/>
  <c r="Q143" i="1"/>
  <c r="AJ142" i="1"/>
  <c r="AH142" i="1"/>
  <c r="V142" i="1"/>
  <c r="Q142" i="1"/>
  <c r="AJ141" i="1"/>
  <c r="AH141" i="1"/>
  <c r="V141" i="1"/>
  <c r="Q141" i="1"/>
  <c r="AJ140" i="1"/>
  <c r="AH140" i="1"/>
  <c r="V140" i="1"/>
  <c r="Q140" i="1"/>
  <c r="AJ139" i="1"/>
  <c r="AH139" i="1"/>
  <c r="V139" i="1"/>
  <c r="Q139" i="1"/>
  <c r="AJ138" i="1"/>
  <c r="AH138" i="1"/>
  <c r="V138" i="1"/>
  <c r="Q138" i="1"/>
  <c r="AJ137" i="1"/>
  <c r="AH137" i="1"/>
  <c r="V137" i="1"/>
  <c r="Q137" i="1"/>
  <c r="AJ136" i="1"/>
  <c r="AH136" i="1"/>
  <c r="V136" i="1"/>
  <c r="Q136" i="1"/>
  <c r="AM133" i="1"/>
  <c r="AL133" i="1"/>
  <c r="V133" i="1"/>
  <c r="AP131" i="1"/>
  <c r="AO131" i="1"/>
  <c r="AM131" i="1"/>
  <c r="AL131" i="1"/>
  <c r="V131" i="1"/>
  <c r="AP129" i="1"/>
  <c r="AO129" i="1"/>
  <c r="AK129" i="1"/>
  <c r="AM129" i="1"/>
  <c r="AL129" i="1"/>
  <c r="V129" i="1"/>
  <c r="AJ127" i="1"/>
  <c r="AH127" i="1"/>
  <c r="V127" i="1"/>
  <c r="Q127" i="1"/>
  <c r="AJ126" i="1"/>
  <c r="AH126" i="1"/>
  <c r="V126" i="1"/>
  <c r="Q126" i="1"/>
  <c r="AJ125" i="1"/>
  <c r="AH125" i="1"/>
  <c r="V125" i="1"/>
  <c r="Q125" i="1"/>
  <c r="AJ124" i="1"/>
  <c r="AH124" i="1"/>
  <c r="V124" i="1"/>
  <c r="Q124" i="1"/>
  <c r="AJ123" i="1"/>
  <c r="AH123" i="1"/>
  <c r="V123" i="1"/>
  <c r="Q123" i="1"/>
  <c r="AJ122" i="1"/>
  <c r="AH122" i="1"/>
  <c r="V122" i="1"/>
  <c r="Q122" i="1"/>
  <c r="AJ121" i="1"/>
  <c r="AH121" i="1"/>
  <c r="V121" i="1"/>
  <c r="Q121" i="1"/>
  <c r="AJ120" i="1"/>
  <c r="AH120" i="1"/>
  <c r="V120" i="1"/>
  <c r="Q120" i="1"/>
  <c r="AJ119" i="1"/>
  <c r="AH119" i="1"/>
  <c r="V119" i="1"/>
  <c r="Q119" i="1"/>
  <c r="AJ118" i="1"/>
  <c r="AH118" i="1"/>
  <c r="V118" i="1"/>
  <c r="Q118" i="1"/>
  <c r="AJ117" i="1"/>
  <c r="AH117" i="1"/>
  <c r="V117" i="1"/>
  <c r="Q117" i="1"/>
  <c r="AJ116" i="1"/>
  <c r="AH116" i="1"/>
  <c r="V116" i="1"/>
  <c r="Q116" i="1"/>
  <c r="AJ115" i="1"/>
  <c r="AH115" i="1"/>
  <c r="V115" i="1"/>
  <c r="Q115" i="1"/>
  <c r="AJ114" i="1"/>
  <c r="AH114" i="1"/>
  <c r="V114" i="1"/>
  <c r="Q114" i="1"/>
  <c r="AJ113" i="1"/>
  <c r="AH113" i="1"/>
  <c r="V113" i="1"/>
  <c r="Q113" i="1"/>
  <c r="AJ112" i="1"/>
  <c r="AH112" i="1"/>
  <c r="V112" i="1"/>
  <c r="Q112" i="1"/>
  <c r="AJ111" i="1"/>
  <c r="AH111" i="1"/>
  <c r="V111" i="1"/>
  <c r="Q111" i="1"/>
  <c r="AJ110" i="1"/>
  <c r="AH110" i="1"/>
  <c r="V110" i="1"/>
  <c r="Q110" i="1"/>
  <c r="AJ109" i="1"/>
  <c r="AH109" i="1"/>
  <c r="V109" i="1"/>
  <c r="Q109" i="1"/>
  <c r="AJ108" i="1"/>
  <c r="AH108" i="1"/>
  <c r="V108" i="1"/>
  <c r="Q108" i="1"/>
  <c r="AJ107" i="1"/>
  <c r="AH107" i="1"/>
  <c r="V107" i="1"/>
  <c r="Q107" i="1"/>
  <c r="AJ106" i="1"/>
  <c r="AH106" i="1"/>
  <c r="V106" i="1"/>
  <c r="Q106" i="1"/>
  <c r="AJ105" i="1"/>
  <c r="AH105" i="1"/>
  <c r="V105" i="1"/>
  <c r="Q105" i="1"/>
  <c r="AJ104" i="1"/>
  <c r="AH104" i="1"/>
  <c r="V104" i="1"/>
  <c r="Q104" i="1"/>
  <c r="AJ103" i="1"/>
  <c r="AH103" i="1"/>
  <c r="V103" i="1"/>
  <c r="Q103" i="1"/>
  <c r="AM100" i="1"/>
  <c r="AL100" i="1"/>
  <c r="V100" i="1"/>
  <c r="AP98" i="1"/>
  <c r="AO98" i="1"/>
  <c r="AM98" i="1"/>
  <c r="AL98" i="1"/>
  <c r="V98" i="1"/>
  <c r="AP96" i="1"/>
  <c r="AO96" i="1"/>
  <c r="AK96" i="1"/>
  <c r="AM96" i="1"/>
  <c r="AL96" i="1"/>
  <c r="V96" i="1"/>
  <c r="AJ94" i="1"/>
  <c r="AH94" i="1"/>
  <c r="V94" i="1"/>
  <c r="Q94" i="1"/>
  <c r="AJ93" i="1"/>
  <c r="AH93" i="1"/>
  <c r="V93" i="1"/>
  <c r="Q93" i="1"/>
  <c r="AJ92" i="1"/>
  <c r="AH92" i="1"/>
  <c r="V92" i="1"/>
  <c r="Q92" i="1"/>
  <c r="AJ91" i="1"/>
  <c r="AH91" i="1"/>
  <c r="V91" i="1"/>
  <c r="Q91" i="1"/>
  <c r="AJ90" i="1"/>
  <c r="AH90" i="1"/>
  <c r="V90" i="1"/>
  <c r="Q90" i="1"/>
  <c r="AJ89" i="1"/>
  <c r="AH89" i="1"/>
  <c r="V89" i="1"/>
  <c r="Q89" i="1"/>
  <c r="AJ88" i="1"/>
  <c r="AH88" i="1"/>
  <c r="V88" i="1"/>
  <c r="Q88" i="1"/>
  <c r="AJ87" i="1"/>
  <c r="AH87" i="1"/>
  <c r="V87" i="1"/>
  <c r="Q87" i="1"/>
  <c r="AJ86" i="1"/>
  <c r="AH86" i="1"/>
  <c r="V86" i="1"/>
  <c r="Q86" i="1"/>
  <c r="AJ85" i="1"/>
  <c r="AH85" i="1"/>
  <c r="V85" i="1"/>
  <c r="Q85" i="1"/>
  <c r="AJ84" i="1"/>
  <c r="AH84" i="1"/>
  <c r="V84" i="1"/>
  <c r="Q84" i="1"/>
  <c r="AJ83" i="1"/>
  <c r="AH83" i="1"/>
  <c r="V83" i="1"/>
  <c r="Q83" i="1"/>
  <c r="AJ82" i="1"/>
  <c r="AH82" i="1"/>
  <c r="V82" i="1"/>
  <c r="Q82" i="1"/>
  <c r="AJ81" i="1"/>
  <c r="AH81" i="1"/>
  <c r="V81" i="1"/>
  <c r="Q81" i="1"/>
  <c r="AJ80" i="1"/>
  <c r="AH80" i="1"/>
  <c r="V80" i="1"/>
  <c r="Q80" i="1"/>
  <c r="AJ79" i="1"/>
  <c r="AH79" i="1"/>
  <c r="V79" i="1"/>
  <c r="Q79" i="1"/>
  <c r="AJ78" i="1"/>
  <c r="AH78" i="1"/>
  <c r="V78" i="1"/>
  <c r="Q78" i="1"/>
  <c r="AJ77" i="1"/>
  <c r="AH77" i="1"/>
  <c r="V77" i="1"/>
  <c r="Q77" i="1"/>
  <c r="AM74" i="1"/>
  <c r="AL74" i="1"/>
  <c r="V74" i="1"/>
  <c r="AP72" i="1"/>
  <c r="AO72" i="1"/>
  <c r="AM72" i="1"/>
  <c r="AL72" i="1"/>
  <c r="V72" i="1"/>
  <c r="AP70" i="1"/>
  <c r="AO70" i="1"/>
  <c r="AK70" i="1"/>
  <c r="AM70" i="1"/>
  <c r="AL70" i="1"/>
  <c r="V70" i="1"/>
  <c r="AJ68" i="1"/>
  <c r="AH68" i="1"/>
  <c r="V68" i="1"/>
  <c r="Q68" i="1"/>
  <c r="AJ67" i="1"/>
  <c r="AH67" i="1"/>
  <c r="V67" i="1"/>
  <c r="Q67" i="1"/>
  <c r="AJ66" i="1"/>
  <c r="AH66" i="1"/>
  <c r="V66" i="1"/>
  <c r="Q66" i="1"/>
  <c r="AJ65" i="1"/>
  <c r="AH65" i="1"/>
  <c r="V65" i="1"/>
  <c r="Q65" i="1"/>
  <c r="AJ64" i="1"/>
  <c r="AH64" i="1"/>
  <c r="V64" i="1"/>
  <c r="Q64" i="1"/>
  <c r="AJ63" i="1"/>
  <c r="AH63" i="1"/>
  <c r="V63" i="1"/>
  <c r="Q63" i="1"/>
  <c r="AJ62" i="1"/>
  <c r="AH62" i="1"/>
  <c r="V62" i="1"/>
  <c r="Q62" i="1"/>
  <c r="AJ61" i="1"/>
  <c r="AH61" i="1"/>
  <c r="V61" i="1"/>
  <c r="Q61" i="1"/>
  <c r="AJ60" i="1"/>
  <c r="AH60" i="1"/>
  <c r="V60" i="1"/>
  <c r="Q60" i="1"/>
  <c r="AJ59" i="1"/>
  <c r="AH59" i="1"/>
  <c r="V59" i="1"/>
  <c r="Q59" i="1"/>
  <c r="AJ58" i="1"/>
  <c r="AH58" i="1"/>
  <c r="V58" i="1"/>
  <c r="Q58" i="1"/>
  <c r="AJ57" i="1"/>
  <c r="AH57" i="1"/>
  <c r="V57" i="1"/>
  <c r="Q57" i="1"/>
  <c r="AJ56" i="1"/>
  <c r="AH56" i="1"/>
  <c r="V56" i="1"/>
  <c r="Q56" i="1"/>
  <c r="AJ55" i="1"/>
  <c r="AH55" i="1"/>
  <c r="V55" i="1"/>
  <c r="Q55" i="1"/>
  <c r="AJ54" i="1"/>
  <c r="AH54" i="1"/>
  <c r="V54" i="1"/>
  <c r="Q54" i="1"/>
  <c r="AJ53" i="1"/>
  <c r="AH53" i="1"/>
  <c r="V53" i="1"/>
  <c r="Q53" i="1"/>
  <c r="AJ52" i="1"/>
  <c r="AH52" i="1"/>
  <c r="V52" i="1"/>
  <c r="Q52" i="1"/>
  <c r="AJ51" i="1"/>
  <c r="AH51" i="1"/>
  <c r="V51" i="1"/>
  <c r="Q51" i="1"/>
  <c r="AJ48" i="1"/>
  <c r="AH48" i="1"/>
  <c r="V48" i="1"/>
  <c r="Q48" i="1"/>
  <c r="AJ47" i="1"/>
  <c r="AH47" i="1"/>
  <c r="V47" i="1"/>
  <c r="Q47" i="1"/>
  <c r="AM44" i="1"/>
  <c r="AL44" i="1"/>
  <c r="V44" i="1"/>
  <c r="AP42" i="1"/>
  <c r="AO42" i="1"/>
  <c r="AM42" i="1"/>
  <c r="AL42" i="1"/>
  <c r="V42" i="1"/>
  <c r="AP40" i="1"/>
  <c r="AO40" i="1"/>
  <c r="AK40" i="1"/>
  <c r="AM40" i="1"/>
  <c r="AL40" i="1"/>
  <c r="V40" i="1"/>
  <c r="AJ37" i="1"/>
  <c r="AH37" i="1"/>
  <c r="V37" i="1"/>
  <c r="Q37" i="1"/>
  <c r="AJ36" i="1"/>
  <c r="AH36" i="1"/>
  <c r="V36" i="1"/>
  <c r="Q36" i="1"/>
  <c r="AJ35" i="1"/>
  <c r="AH35" i="1"/>
  <c r="V35" i="1"/>
  <c r="Q35" i="1"/>
  <c r="AJ34" i="1"/>
  <c r="AH34" i="1"/>
  <c r="V34" i="1"/>
  <c r="Q34" i="1"/>
  <c r="AJ33" i="1"/>
  <c r="AH33" i="1"/>
  <c r="V33" i="1"/>
  <c r="Q33" i="1"/>
  <c r="AJ32" i="1"/>
  <c r="AH32" i="1"/>
  <c r="V32" i="1"/>
  <c r="Q32" i="1"/>
  <c r="AJ31" i="1"/>
  <c r="AH31" i="1"/>
  <c r="V31" i="1"/>
  <c r="Q31" i="1"/>
  <c r="AJ30" i="1"/>
  <c r="AH30" i="1"/>
  <c r="V30" i="1"/>
  <c r="Q30" i="1"/>
  <c r="AJ29" i="1"/>
  <c r="AH29" i="1"/>
  <c r="V29" i="1"/>
  <c r="Q29" i="1"/>
  <c r="AJ28" i="1"/>
  <c r="AH28" i="1"/>
  <c r="V28" i="1"/>
  <c r="Q28" i="1"/>
  <c r="AJ27" i="1"/>
  <c r="AH27" i="1"/>
  <c r="V27" i="1"/>
  <c r="Q27" i="1"/>
  <c r="AJ26" i="1"/>
  <c r="AH26" i="1"/>
  <c r="V26" i="1"/>
  <c r="Q26" i="1"/>
  <c r="AJ25" i="1"/>
  <c r="AH25" i="1"/>
  <c r="V25" i="1"/>
  <c r="Q25" i="1"/>
  <c r="AP22" i="1"/>
  <c r="AO22" i="1"/>
  <c r="AM22" i="1"/>
  <c r="AL22" i="1"/>
  <c r="V22" i="1"/>
  <c r="AP20" i="1"/>
  <c r="AO20" i="1"/>
  <c r="AM20" i="1"/>
  <c r="AL20" i="1"/>
  <c r="V20" i="1"/>
  <c r="AP18" i="1"/>
  <c r="AO18" i="1"/>
  <c r="AK18" i="1"/>
  <c r="AM18" i="1"/>
  <c r="AL18" i="1"/>
  <c r="V18" i="1"/>
  <c r="AJ16" i="1"/>
  <c r="AH16" i="1"/>
  <c r="V16" i="1"/>
  <c r="Q16" i="1"/>
  <c r="AJ15" i="1"/>
  <c r="AH15" i="1"/>
  <c r="V15" i="1"/>
  <c r="Q15" i="1"/>
  <c r="AJ14" i="1"/>
  <c r="AH14" i="1"/>
  <c r="V14" i="1"/>
  <c r="Q14" i="1"/>
  <c r="AJ13" i="1"/>
  <c r="AH13" i="1"/>
  <c r="V13" i="1"/>
  <c r="Q13" i="1"/>
  <c r="AJ12" i="1"/>
  <c r="AH12" i="1"/>
  <c r="V12" i="1"/>
  <c r="Q12" i="1"/>
  <c r="AJ11" i="1"/>
  <c r="AH11" i="1"/>
  <c r="V11" i="1"/>
  <c r="Q11" i="1"/>
  <c r="AJ10" i="1"/>
  <c r="AH10" i="1"/>
  <c r="V10" i="1"/>
  <c r="Q10" i="1"/>
  <c r="AJ9" i="1"/>
  <c r="AH9" i="1"/>
  <c r="V9" i="1"/>
  <c r="Q9" i="1"/>
  <c r="AJ8" i="1"/>
  <c r="AH8" i="1"/>
  <c r="V8" i="1"/>
  <c r="Q8" i="1"/>
  <c r="AJ7" i="1"/>
  <c r="AH7" i="1"/>
  <c r="V7" i="1"/>
  <c r="Q7" i="1"/>
  <c r="V6" i="1"/>
  <c r="Q6" i="1"/>
  <c r="AJ5" i="1"/>
  <c r="AH5" i="1"/>
  <c r="V5" i="1"/>
  <c r="Q5" i="1"/>
  <c r="AH4" i="1"/>
  <c r="V4" i="1"/>
  <c r="Q4" i="1"/>
  <c r="AJ3" i="1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22" i="2"/>
  <c r="AJ4" i="2"/>
  <c r="AH4" i="2"/>
  <c r="AH25" i="2"/>
  <c r="AH26" i="2"/>
  <c r="AH27" i="2"/>
  <c r="AH28" i="2"/>
  <c r="AH29" i="2"/>
  <c r="AH30" i="2"/>
  <c r="AH31" i="2"/>
  <c r="AH32" i="2"/>
  <c r="AH33" i="2"/>
  <c r="AH34" i="2"/>
  <c r="AH38" i="2"/>
  <c r="AH37" i="2"/>
  <c r="AH36" i="2"/>
  <c r="AH35" i="2"/>
  <c r="AH7" i="2"/>
  <c r="AH16" i="2"/>
  <c r="AH15" i="2"/>
  <c r="AH14" i="2"/>
  <c r="AH13" i="2"/>
  <c r="AH12" i="2"/>
  <c r="AH11" i="2"/>
  <c r="AH10" i="2"/>
  <c r="AH9" i="2"/>
  <c r="AH8" i="2"/>
  <c r="AH6" i="2"/>
  <c r="AH5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18" i="2"/>
  <c r="AK22" i="2"/>
  <c r="AK20" i="2"/>
  <c r="AK18" i="2"/>
  <c r="AM18" i="2"/>
  <c r="AI20" i="2"/>
  <c r="AM20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AG136" i="2"/>
  <c r="AG139" i="2"/>
  <c r="AG140" i="2"/>
  <c r="AG142" i="2"/>
  <c r="AG144" i="2"/>
  <c r="AG145" i="2"/>
  <c r="AG146" i="2"/>
  <c r="AG148" i="2"/>
  <c r="AG150" i="2"/>
  <c r="AG152" i="2"/>
  <c r="AG154" i="2"/>
  <c r="AG156" i="2"/>
  <c r="AG158" i="2"/>
  <c r="AG160" i="2"/>
  <c r="AG162" i="2"/>
  <c r="AG164" i="2"/>
  <c r="AG167" i="2"/>
  <c r="AG168" i="2"/>
  <c r="AG170" i="2"/>
  <c r="AG172" i="2"/>
  <c r="AG175" i="2"/>
  <c r="V18" i="2"/>
  <c r="AG173" i="2"/>
  <c r="AG171" i="2"/>
  <c r="AG169" i="2"/>
  <c r="AG166" i="2"/>
  <c r="AG165" i="2"/>
  <c r="AG163" i="2"/>
  <c r="AG161" i="2"/>
  <c r="AG159" i="2"/>
  <c r="AG157" i="2"/>
  <c r="AG143" i="2"/>
  <c r="AG155" i="2"/>
  <c r="AG153" i="2"/>
  <c r="AG151" i="2"/>
  <c r="AG149" i="2"/>
  <c r="AG147" i="2"/>
  <c r="AG141" i="2"/>
  <c r="AG138" i="2"/>
  <c r="AG137" i="2"/>
  <c r="AG68" i="2"/>
  <c r="AG77" i="2"/>
  <c r="AI100" i="2"/>
  <c r="AI98" i="2"/>
  <c r="AI74" i="2"/>
  <c r="AI44" i="2"/>
  <c r="AI22" i="2"/>
  <c r="AI133" i="2"/>
  <c r="AI179" i="2"/>
  <c r="AI185" i="2"/>
  <c r="AK100" i="2"/>
  <c r="AK74" i="2"/>
  <c r="AK44" i="2"/>
  <c r="AK133" i="2"/>
  <c r="AK179" i="2"/>
  <c r="AK185" i="2"/>
  <c r="AM185" i="2"/>
  <c r="AI72" i="2"/>
  <c r="AI42" i="2"/>
  <c r="AI131" i="2"/>
  <c r="AI177" i="2"/>
  <c r="AI183" i="2"/>
  <c r="AK98" i="2"/>
  <c r="AK72" i="2"/>
  <c r="AK42" i="2"/>
  <c r="AK131" i="2"/>
  <c r="AK177" i="2"/>
  <c r="AK183" i="2"/>
  <c r="AM183" i="2"/>
  <c r="AI96" i="2"/>
  <c r="AI70" i="2"/>
  <c r="AI40" i="2"/>
  <c r="AI129" i="2"/>
  <c r="AI175" i="2"/>
  <c r="AI181" i="2"/>
  <c r="AK181" i="2"/>
  <c r="AM181" i="2"/>
  <c r="AM179" i="2"/>
  <c r="AM177" i="2"/>
  <c r="AK175" i="2"/>
  <c r="AM175" i="2"/>
  <c r="AM133" i="2"/>
  <c r="AM131" i="2"/>
  <c r="AK129" i="2"/>
  <c r="AM129" i="2"/>
  <c r="AM100" i="2"/>
  <c r="AM98" i="2"/>
  <c r="AK96" i="2"/>
  <c r="AM96" i="2"/>
  <c r="AM74" i="2"/>
  <c r="AM72" i="2"/>
  <c r="AK70" i="2"/>
  <c r="AM70" i="2"/>
  <c r="AM44" i="2"/>
  <c r="AM42" i="2"/>
  <c r="AK40" i="2"/>
  <c r="AM40" i="2"/>
  <c r="AM22" i="2"/>
  <c r="AL179" i="2"/>
  <c r="AL177" i="2"/>
  <c r="AL175" i="2"/>
  <c r="AL133" i="2"/>
  <c r="AL131" i="2"/>
  <c r="AL129" i="2"/>
  <c r="AL100" i="2"/>
  <c r="AL98" i="2"/>
  <c r="AL96" i="2"/>
  <c r="AL74" i="2"/>
  <c r="AL72" i="2"/>
  <c r="AL70" i="2"/>
  <c r="AL44" i="2"/>
  <c r="AL42" i="2"/>
  <c r="AL40" i="2"/>
  <c r="AL22" i="2"/>
  <c r="AL20" i="2"/>
  <c r="AL18" i="2"/>
  <c r="AL185" i="2"/>
  <c r="AL183" i="2"/>
  <c r="AL181" i="2"/>
  <c r="AO70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18" i="3"/>
  <c r="AH5" i="3"/>
  <c r="AH7" i="3"/>
  <c r="AH11" i="3"/>
  <c r="AH13" i="3"/>
  <c r="AH9" i="3"/>
  <c r="AH16" i="3"/>
  <c r="AH20" i="3"/>
  <c r="AG20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9" i="3"/>
  <c r="AH122" i="3"/>
  <c r="AH123" i="3"/>
  <c r="AH124" i="3"/>
  <c r="AH125" i="3"/>
  <c r="AH126" i="3"/>
  <c r="AH127" i="3"/>
  <c r="AH133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100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7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44" i="3"/>
  <c r="AH4" i="3"/>
  <c r="AH6" i="3"/>
  <c r="AH8" i="3"/>
  <c r="AH10" i="3"/>
  <c r="AH12" i="3"/>
  <c r="AH14" i="3"/>
  <c r="AH15" i="3"/>
  <c r="AH22" i="3"/>
  <c r="AH185" i="3"/>
  <c r="AG179" i="3"/>
  <c r="AG133" i="3"/>
  <c r="AG100" i="3"/>
  <c r="AG74" i="3"/>
  <c r="AG44" i="3"/>
  <c r="AG22" i="3"/>
  <c r="AG185" i="3"/>
  <c r="V185" i="3"/>
  <c r="AP183" i="3"/>
  <c r="AO183" i="3"/>
  <c r="AN183" i="3"/>
  <c r="AH177" i="3"/>
  <c r="AH119" i="3"/>
  <c r="AH114" i="3"/>
  <c r="AH110" i="3"/>
  <c r="AH108" i="3"/>
  <c r="AH106" i="3"/>
  <c r="AH118" i="3"/>
  <c r="AH116" i="3"/>
  <c r="AH104" i="3"/>
  <c r="AH131" i="3"/>
  <c r="AH98" i="3"/>
  <c r="AH72" i="3"/>
  <c r="AH42" i="3"/>
  <c r="AH183" i="3"/>
  <c r="AG177" i="3"/>
  <c r="AG131" i="3"/>
  <c r="AG98" i="3"/>
  <c r="AG72" i="3"/>
  <c r="AG42" i="3"/>
  <c r="AG183" i="3"/>
  <c r="V183" i="3"/>
  <c r="AP181" i="3"/>
  <c r="AO181" i="3"/>
  <c r="AN181" i="3"/>
  <c r="AH175" i="3"/>
  <c r="AH121" i="3"/>
  <c r="AH103" i="3"/>
  <c r="AH115" i="3"/>
  <c r="AH105" i="3"/>
  <c r="AH117" i="3"/>
  <c r="AH107" i="3"/>
  <c r="AH111" i="3"/>
  <c r="AH113" i="3"/>
  <c r="AH109" i="3"/>
  <c r="AH129" i="3"/>
  <c r="AH96" i="3"/>
  <c r="AH70" i="3"/>
  <c r="AH40" i="3"/>
  <c r="AH18" i="3"/>
  <c r="AH181" i="3"/>
  <c r="AG175" i="3"/>
  <c r="AG129" i="3"/>
  <c r="AG96" i="3"/>
  <c r="AG70" i="3"/>
  <c r="AG40" i="3"/>
  <c r="AG181" i="3"/>
  <c r="V181" i="3"/>
  <c r="V179" i="3"/>
  <c r="AP177" i="3"/>
  <c r="AO177" i="3"/>
  <c r="AN177" i="3"/>
  <c r="V177" i="3"/>
  <c r="AP175" i="3"/>
  <c r="AO175" i="3"/>
  <c r="AN175" i="3"/>
  <c r="V175" i="3"/>
  <c r="AJ173" i="3"/>
  <c r="Q173" i="3"/>
  <c r="AJ172" i="3"/>
  <c r="Q172" i="3"/>
  <c r="AJ171" i="3"/>
  <c r="Q171" i="3"/>
  <c r="AJ170" i="3"/>
  <c r="Q170" i="3"/>
  <c r="AJ169" i="3"/>
  <c r="Q169" i="3"/>
  <c r="AJ168" i="3"/>
  <c r="Q168" i="3"/>
  <c r="AJ167" i="3"/>
  <c r="Q167" i="3"/>
  <c r="AJ166" i="3"/>
  <c r="Q166" i="3"/>
  <c r="AJ165" i="3"/>
  <c r="Q165" i="3"/>
  <c r="AJ164" i="3"/>
  <c r="Q164" i="3"/>
  <c r="AJ163" i="3"/>
  <c r="Q163" i="3"/>
  <c r="AJ162" i="3"/>
  <c r="Q162" i="3"/>
  <c r="AJ161" i="3"/>
  <c r="Q161" i="3"/>
  <c r="AJ160" i="3"/>
  <c r="Q160" i="3"/>
  <c r="AJ159" i="3"/>
  <c r="Q159" i="3"/>
  <c r="AJ158" i="3"/>
  <c r="Q158" i="3"/>
  <c r="AJ157" i="3"/>
  <c r="Q157" i="3"/>
  <c r="AJ156" i="3"/>
  <c r="Q156" i="3"/>
  <c r="AJ155" i="3"/>
  <c r="Q155" i="3"/>
  <c r="AJ154" i="3"/>
  <c r="Q154" i="3"/>
  <c r="AJ153" i="3"/>
  <c r="Q153" i="3"/>
  <c r="AJ152" i="3"/>
  <c r="Q152" i="3"/>
  <c r="AJ151" i="3"/>
  <c r="Q151" i="3"/>
  <c r="AJ150" i="3"/>
  <c r="Q150" i="3"/>
  <c r="AJ149" i="3"/>
  <c r="Q149" i="3"/>
  <c r="AJ148" i="3"/>
  <c r="Q148" i="3"/>
  <c r="AJ147" i="3"/>
  <c r="Q147" i="3"/>
  <c r="AJ146" i="3"/>
  <c r="Q146" i="3"/>
  <c r="AJ145" i="3"/>
  <c r="Q145" i="3"/>
  <c r="AJ144" i="3"/>
  <c r="Q144" i="3"/>
  <c r="AJ143" i="3"/>
  <c r="Q143" i="3"/>
  <c r="AJ142" i="3"/>
  <c r="Q142" i="3"/>
  <c r="AJ141" i="3"/>
  <c r="Q141" i="3"/>
  <c r="AJ140" i="3"/>
  <c r="Q140" i="3"/>
  <c r="AJ139" i="3"/>
  <c r="Q139" i="3"/>
  <c r="AJ138" i="3"/>
  <c r="Q138" i="3"/>
  <c r="AJ137" i="3"/>
  <c r="Q137" i="3"/>
  <c r="AJ136" i="3"/>
  <c r="Q136" i="3"/>
  <c r="AN133" i="3"/>
  <c r="V133" i="3"/>
  <c r="AP131" i="3"/>
  <c r="AO131" i="3"/>
  <c r="AN131" i="3"/>
  <c r="V131" i="3"/>
  <c r="AP129" i="3"/>
  <c r="AO129" i="3"/>
  <c r="AN129" i="3"/>
  <c r="V129" i="3"/>
  <c r="AJ127" i="3"/>
  <c r="Q127" i="3"/>
  <c r="AJ126" i="3"/>
  <c r="Q126" i="3"/>
  <c r="AJ125" i="3"/>
  <c r="Q125" i="3"/>
  <c r="AJ124" i="3"/>
  <c r="Q124" i="3"/>
  <c r="AJ123" i="3"/>
  <c r="Q123" i="3"/>
  <c r="AJ122" i="3"/>
  <c r="Q122" i="3"/>
  <c r="AJ121" i="3"/>
  <c r="Q121" i="3"/>
  <c r="AJ120" i="3"/>
  <c r="AH120" i="3"/>
  <c r="Q120" i="3"/>
  <c r="AJ119" i="3"/>
  <c r="Q119" i="3"/>
  <c r="AJ118" i="3"/>
  <c r="Q118" i="3"/>
  <c r="AJ117" i="3"/>
  <c r="Q117" i="3"/>
  <c r="AJ116" i="3"/>
  <c r="Q116" i="3"/>
  <c r="AJ115" i="3"/>
  <c r="Q115" i="3"/>
  <c r="AJ114" i="3"/>
  <c r="Q114" i="3"/>
  <c r="AJ113" i="3"/>
  <c r="Q113" i="3"/>
  <c r="AJ112" i="3"/>
  <c r="AH112" i="3"/>
  <c r="Q112" i="3"/>
  <c r="AJ111" i="3"/>
  <c r="Q111" i="3"/>
  <c r="AJ110" i="3"/>
  <c r="Q110" i="3"/>
  <c r="AJ109" i="3"/>
  <c r="Q109" i="3"/>
  <c r="AJ108" i="3"/>
  <c r="Q108" i="3"/>
  <c r="AJ107" i="3"/>
  <c r="Q107" i="3"/>
  <c r="AJ106" i="3"/>
  <c r="Q106" i="3"/>
  <c r="AJ105" i="3"/>
  <c r="Q105" i="3"/>
  <c r="AJ104" i="3"/>
  <c r="Q104" i="3"/>
  <c r="AJ103" i="3"/>
  <c r="Q103" i="3"/>
  <c r="AN100" i="3"/>
  <c r="V100" i="3"/>
  <c r="AP98" i="3"/>
  <c r="AO98" i="3"/>
  <c r="AN98" i="3"/>
  <c r="V98" i="3"/>
  <c r="AP96" i="3"/>
  <c r="AO96" i="3"/>
  <c r="AN96" i="3"/>
  <c r="V96" i="3"/>
  <c r="AJ94" i="3"/>
  <c r="Q94" i="3"/>
  <c r="AJ93" i="3"/>
  <c r="Q93" i="3"/>
  <c r="AJ92" i="3"/>
  <c r="Q92" i="3"/>
  <c r="AJ91" i="3"/>
  <c r="Q91" i="3"/>
  <c r="AJ90" i="3"/>
  <c r="Q90" i="3"/>
  <c r="AJ89" i="3"/>
  <c r="Q89" i="3"/>
  <c r="AJ88" i="3"/>
  <c r="Q88" i="3"/>
  <c r="AJ87" i="3"/>
  <c r="Q87" i="3"/>
  <c r="AJ86" i="3"/>
  <c r="Q86" i="3"/>
  <c r="AJ85" i="3"/>
  <c r="Q85" i="3"/>
  <c r="AJ84" i="3"/>
  <c r="Q84" i="3"/>
  <c r="AJ83" i="3"/>
  <c r="Q83" i="3"/>
  <c r="AJ82" i="3"/>
  <c r="Q82" i="3"/>
  <c r="AJ81" i="3"/>
  <c r="Q81" i="3"/>
  <c r="AJ80" i="3"/>
  <c r="Q80" i="3"/>
  <c r="AJ79" i="3"/>
  <c r="Q79" i="3"/>
  <c r="AJ78" i="3"/>
  <c r="Q78" i="3"/>
  <c r="AJ77" i="3"/>
  <c r="Q77" i="3"/>
  <c r="AN74" i="3"/>
  <c r="V74" i="3"/>
  <c r="AP72" i="3"/>
  <c r="AO72" i="3"/>
  <c r="AN72" i="3"/>
  <c r="V72" i="3"/>
  <c r="AP70" i="3"/>
  <c r="AO70" i="3"/>
  <c r="AN70" i="3"/>
  <c r="V70" i="3"/>
  <c r="AJ68" i="3"/>
  <c r="Q68" i="3"/>
  <c r="AJ67" i="3"/>
  <c r="Q67" i="3"/>
  <c r="AJ66" i="3"/>
  <c r="Q66" i="3"/>
  <c r="AJ65" i="3"/>
  <c r="Q65" i="3"/>
  <c r="AJ64" i="3"/>
  <c r="Q64" i="3"/>
  <c r="AJ63" i="3"/>
  <c r="Q63" i="3"/>
  <c r="AJ62" i="3"/>
  <c r="Q62" i="3"/>
  <c r="AJ61" i="3"/>
  <c r="Q61" i="3"/>
  <c r="AJ60" i="3"/>
  <c r="Q60" i="3"/>
  <c r="AJ59" i="3"/>
  <c r="Q59" i="3"/>
  <c r="AJ58" i="3"/>
  <c r="Q58" i="3"/>
  <c r="AJ57" i="3"/>
  <c r="Q57" i="3"/>
  <c r="AJ56" i="3"/>
  <c r="Q56" i="3"/>
  <c r="AJ55" i="3"/>
  <c r="Q55" i="3"/>
  <c r="AJ54" i="3"/>
  <c r="Q54" i="3"/>
  <c r="AJ53" i="3"/>
  <c r="Q53" i="3"/>
  <c r="AJ52" i="3"/>
  <c r="Q52" i="3"/>
  <c r="AJ51" i="3"/>
  <c r="Q51" i="3"/>
  <c r="AJ50" i="3"/>
  <c r="Q50" i="3"/>
  <c r="AJ49" i="3"/>
  <c r="Q49" i="3"/>
  <c r="AJ48" i="3"/>
  <c r="Q48" i="3"/>
  <c r="AJ47" i="3"/>
  <c r="Q47" i="3"/>
  <c r="AN44" i="3"/>
  <c r="V44" i="3"/>
  <c r="AP42" i="3"/>
  <c r="AO42" i="3"/>
  <c r="AN42" i="3"/>
  <c r="V42" i="3"/>
  <c r="AP40" i="3"/>
  <c r="AO40" i="3"/>
  <c r="AN40" i="3"/>
  <c r="V40" i="3"/>
  <c r="AJ38" i="3"/>
  <c r="Q38" i="3"/>
  <c r="AJ37" i="3"/>
  <c r="Q37" i="3"/>
  <c r="AJ36" i="3"/>
  <c r="Q36" i="3"/>
  <c r="AJ35" i="3"/>
  <c r="Q35" i="3"/>
  <c r="AJ34" i="3"/>
  <c r="Q34" i="3"/>
  <c r="AJ33" i="3"/>
  <c r="Q33" i="3"/>
  <c r="AJ32" i="3"/>
  <c r="Q32" i="3"/>
  <c r="AJ31" i="3"/>
  <c r="Q31" i="3"/>
  <c r="AJ30" i="3"/>
  <c r="Q30" i="3"/>
  <c r="AJ29" i="3"/>
  <c r="Q29" i="3"/>
  <c r="AJ28" i="3"/>
  <c r="Q28" i="3"/>
  <c r="AJ27" i="3"/>
  <c r="Q27" i="3"/>
  <c r="AJ26" i="3"/>
  <c r="Q26" i="3"/>
  <c r="AJ25" i="3"/>
  <c r="Q25" i="3"/>
  <c r="AP22" i="3"/>
  <c r="AO22" i="3"/>
  <c r="AN22" i="3"/>
  <c r="V22" i="3"/>
  <c r="AP20" i="3"/>
  <c r="AO20" i="3"/>
  <c r="AN20" i="3"/>
  <c r="V20" i="3"/>
  <c r="AP18" i="3"/>
  <c r="AO18" i="3"/>
  <c r="AN18" i="3"/>
  <c r="AJ16" i="3"/>
  <c r="Q16" i="3"/>
  <c r="AJ15" i="3"/>
  <c r="Q15" i="3"/>
  <c r="AJ14" i="3"/>
  <c r="Q14" i="3"/>
  <c r="AJ13" i="3"/>
  <c r="Q13" i="3"/>
  <c r="AJ12" i="3"/>
  <c r="Q12" i="3"/>
  <c r="AJ11" i="3"/>
  <c r="Q11" i="3"/>
  <c r="AJ10" i="3"/>
  <c r="Q10" i="3"/>
  <c r="AJ9" i="3"/>
  <c r="Q9" i="3"/>
  <c r="AJ8" i="3"/>
  <c r="Q8" i="3"/>
  <c r="AJ7" i="3"/>
  <c r="Q7" i="3"/>
  <c r="AJ6" i="3"/>
  <c r="Q6" i="3"/>
  <c r="AJ5" i="3"/>
  <c r="Q5" i="3"/>
  <c r="AJ4" i="3"/>
  <c r="Q4" i="3"/>
  <c r="AJ3" i="3"/>
  <c r="AG179" i="2"/>
  <c r="AG44" i="2"/>
  <c r="AG74" i="2"/>
  <c r="AG100" i="2"/>
  <c r="AG133" i="2"/>
  <c r="AG185" i="2"/>
  <c r="AG18" i="2"/>
  <c r="AJ58" i="2"/>
  <c r="AJ63" i="2"/>
  <c r="AJ53" i="2"/>
  <c r="AJ54" i="2"/>
  <c r="AJ65" i="2"/>
  <c r="AJ66" i="2"/>
  <c r="AJ64" i="2"/>
  <c r="AJ59" i="2"/>
  <c r="AJ60" i="2"/>
  <c r="AJ55" i="2"/>
  <c r="AJ56" i="2"/>
  <c r="AJ67" i="2"/>
  <c r="AJ68" i="2"/>
  <c r="AJ61" i="2"/>
  <c r="AJ62" i="2"/>
  <c r="AJ47" i="2"/>
  <c r="AJ48" i="2"/>
  <c r="AJ51" i="2"/>
  <c r="AJ52" i="2"/>
  <c r="AJ57" i="2"/>
  <c r="AJ157" i="2"/>
  <c r="AJ158" i="2"/>
  <c r="AJ159" i="2"/>
  <c r="AJ172" i="2"/>
  <c r="AJ173" i="2"/>
  <c r="AJ160" i="2"/>
  <c r="AJ161" i="2"/>
  <c r="AJ162" i="2"/>
  <c r="AJ163" i="2"/>
  <c r="AJ136" i="2"/>
  <c r="AJ137" i="2"/>
  <c r="AJ146" i="2"/>
  <c r="AJ147" i="2"/>
  <c r="AJ148" i="2"/>
  <c r="AJ149" i="2"/>
  <c r="AJ150" i="2"/>
  <c r="AJ151" i="2"/>
  <c r="AJ152" i="2"/>
  <c r="AJ153" i="2"/>
  <c r="AJ140" i="2"/>
  <c r="AJ141" i="2"/>
  <c r="AJ164" i="2"/>
  <c r="AJ165" i="2"/>
  <c r="AJ170" i="2"/>
  <c r="AJ138" i="2"/>
  <c r="AJ139" i="2"/>
  <c r="AJ154" i="2"/>
  <c r="AJ155" i="2"/>
  <c r="AJ142" i="2"/>
  <c r="AJ143" i="2"/>
  <c r="AJ144" i="2"/>
  <c r="AJ145" i="2"/>
  <c r="AJ166" i="2"/>
  <c r="AJ167" i="2"/>
  <c r="AJ171" i="2"/>
  <c r="AJ168" i="2"/>
  <c r="AJ169" i="2"/>
  <c r="AJ156" i="2"/>
  <c r="AJ123" i="2"/>
  <c r="AJ121" i="2"/>
  <c r="AJ103" i="2"/>
  <c r="AJ104" i="2"/>
  <c r="AJ115" i="2"/>
  <c r="AJ116" i="2"/>
  <c r="AJ105" i="2"/>
  <c r="AJ106" i="2"/>
  <c r="AJ117" i="2"/>
  <c r="AJ118" i="2"/>
  <c r="AJ107" i="2"/>
  <c r="AJ108" i="2"/>
  <c r="AJ111" i="2"/>
  <c r="AJ112" i="2"/>
  <c r="AJ124" i="2"/>
  <c r="AJ125" i="2"/>
  <c r="AJ119" i="2"/>
  <c r="AJ120" i="2"/>
  <c r="AJ113" i="2"/>
  <c r="AJ114" i="2"/>
  <c r="AJ126" i="2"/>
  <c r="AJ127" i="2"/>
  <c r="AJ109" i="2"/>
  <c r="AJ110" i="2"/>
  <c r="AJ122" i="2"/>
  <c r="AJ77" i="2"/>
  <c r="AJ78" i="2"/>
  <c r="AJ81" i="2"/>
  <c r="AJ82" i="2"/>
  <c r="AJ85" i="2"/>
  <c r="AJ86" i="2"/>
  <c r="AJ87" i="2"/>
  <c r="AJ83" i="2"/>
  <c r="AJ84" i="2"/>
  <c r="AJ89" i="2"/>
  <c r="AJ90" i="2"/>
  <c r="AJ88" i="2"/>
  <c r="AJ79" i="2"/>
  <c r="AJ80" i="2"/>
  <c r="AJ91" i="2"/>
  <c r="AJ92" i="2"/>
  <c r="AJ93" i="2"/>
  <c r="AJ94" i="2"/>
  <c r="AG129" i="2"/>
  <c r="AG96" i="2"/>
  <c r="AG70" i="2"/>
  <c r="AG40" i="2"/>
  <c r="AG181" i="2"/>
  <c r="AG177" i="2"/>
  <c r="AG131" i="2"/>
  <c r="AG98" i="2"/>
  <c r="AG72" i="2"/>
  <c r="AG42" i="2"/>
  <c r="AG20" i="2"/>
  <c r="AG183" i="2"/>
  <c r="AJ6" i="2"/>
  <c r="AJ49" i="2"/>
  <c r="AJ50" i="2"/>
  <c r="AJ7" i="2"/>
  <c r="AJ10" i="2"/>
  <c r="AJ11" i="2"/>
  <c r="AJ5" i="2"/>
  <c r="AJ12" i="2"/>
  <c r="AJ13" i="2"/>
  <c r="AJ14" i="2"/>
  <c r="AJ8" i="2"/>
  <c r="AJ9" i="2"/>
  <c r="AJ15" i="2"/>
  <c r="AJ16" i="2"/>
  <c r="AJ27" i="2"/>
  <c r="AJ28" i="2"/>
  <c r="AJ33" i="2"/>
  <c r="AJ34" i="2"/>
  <c r="AJ29" i="2"/>
  <c r="AJ30" i="2"/>
  <c r="AJ25" i="2"/>
  <c r="AJ26" i="2"/>
  <c r="AJ35" i="2"/>
  <c r="AJ36" i="2"/>
  <c r="AJ31" i="2"/>
  <c r="AJ32" i="2"/>
  <c r="AJ37" i="2"/>
  <c r="AJ38" i="2"/>
  <c r="V185" i="2"/>
  <c r="AP181" i="2"/>
  <c r="AO181" i="2"/>
  <c r="V181" i="2"/>
  <c r="AP183" i="2"/>
  <c r="AO183" i="2"/>
  <c r="V183" i="2"/>
  <c r="V179" i="2"/>
  <c r="AP175" i="2"/>
  <c r="AO175" i="2"/>
  <c r="V175" i="2"/>
  <c r="AP177" i="2"/>
  <c r="AO177" i="2"/>
  <c r="V177" i="2"/>
  <c r="Q169" i="2"/>
  <c r="Q168" i="2"/>
  <c r="Q171" i="2"/>
  <c r="Q167" i="2"/>
  <c r="Q166" i="2"/>
  <c r="Q145" i="2"/>
  <c r="Q144" i="2"/>
  <c r="Q143" i="2"/>
  <c r="Q142" i="2"/>
  <c r="Q155" i="2"/>
  <c r="Q154" i="2"/>
  <c r="Q139" i="2"/>
  <c r="Q138" i="2"/>
  <c r="Q170" i="2"/>
  <c r="Q165" i="2"/>
  <c r="Q164" i="2"/>
  <c r="Q141" i="2"/>
  <c r="Q140" i="2"/>
  <c r="Q153" i="2"/>
  <c r="Q152" i="2"/>
  <c r="Q151" i="2"/>
  <c r="Q150" i="2"/>
  <c r="Q149" i="2"/>
  <c r="Q148" i="2"/>
  <c r="Q147" i="2"/>
  <c r="Q146" i="2"/>
  <c r="Q137" i="2"/>
  <c r="Q136" i="2"/>
  <c r="Q163" i="2"/>
  <c r="Q162" i="2"/>
  <c r="Q161" i="2"/>
  <c r="Q160" i="2"/>
  <c r="Q173" i="2"/>
  <c r="Q172" i="2"/>
  <c r="Q159" i="2"/>
  <c r="Q158" i="2"/>
  <c r="Q157" i="2"/>
  <c r="Q156" i="2"/>
  <c r="V133" i="2"/>
  <c r="AP129" i="2"/>
  <c r="AO129" i="2"/>
  <c r="V129" i="2"/>
  <c r="AP131" i="2"/>
  <c r="AO131" i="2"/>
  <c r="V131" i="2"/>
  <c r="Q110" i="2"/>
  <c r="Q109" i="2"/>
  <c r="Q127" i="2"/>
  <c r="Q126" i="2"/>
  <c r="Q114" i="2"/>
  <c r="Q113" i="2"/>
  <c r="Q120" i="2"/>
  <c r="Q119" i="2"/>
  <c r="Q125" i="2"/>
  <c r="Q124" i="2"/>
  <c r="Q112" i="2"/>
  <c r="Q111" i="2"/>
  <c r="Q108" i="2"/>
  <c r="Q107" i="2"/>
  <c r="Q118" i="2"/>
  <c r="Q117" i="2"/>
  <c r="Q106" i="2"/>
  <c r="Q105" i="2"/>
  <c r="Q116" i="2"/>
  <c r="Q115" i="2"/>
  <c r="Q104" i="2"/>
  <c r="Q103" i="2"/>
  <c r="Q121" i="2"/>
  <c r="Q123" i="2"/>
  <c r="Q122" i="2"/>
  <c r="V100" i="2"/>
  <c r="AP96" i="2"/>
  <c r="AO96" i="2"/>
  <c r="V96" i="2"/>
  <c r="AP98" i="2"/>
  <c r="AO98" i="2"/>
  <c r="V98" i="2"/>
  <c r="Q94" i="2"/>
  <c r="Q93" i="2"/>
  <c r="Q92" i="2"/>
  <c r="Q91" i="2"/>
  <c r="Q80" i="2"/>
  <c r="Q79" i="2"/>
  <c r="Q88" i="2"/>
  <c r="Q90" i="2"/>
  <c r="Q89" i="2"/>
  <c r="Q84" i="2"/>
  <c r="Q83" i="2"/>
  <c r="Q87" i="2"/>
  <c r="Q86" i="2"/>
  <c r="Q85" i="2"/>
  <c r="Q82" i="2"/>
  <c r="Q81" i="2"/>
  <c r="Q78" i="2"/>
  <c r="Q77" i="2"/>
  <c r="V74" i="2"/>
  <c r="AP70" i="2"/>
  <c r="V70" i="2"/>
  <c r="AP72" i="2"/>
  <c r="AO72" i="2"/>
  <c r="V72" i="2"/>
  <c r="Q50" i="2"/>
  <c r="Q49" i="2"/>
  <c r="Q52" i="2"/>
  <c r="Q51" i="2"/>
  <c r="Q48" i="2"/>
  <c r="Q47" i="2"/>
  <c r="Q62" i="2"/>
  <c r="Q61" i="2"/>
  <c r="Q68" i="2"/>
  <c r="Q67" i="2"/>
  <c r="Q56" i="2"/>
  <c r="Q55" i="2"/>
  <c r="Q60" i="2"/>
  <c r="Q59" i="2"/>
  <c r="Q64" i="2"/>
  <c r="Q66" i="2"/>
  <c r="Q65" i="2"/>
  <c r="Q54" i="2"/>
  <c r="Q53" i="2"/>
  <c r="Q63" i="2"/>
  <c r="Q58" i="2"/>
  <c r="Q57" i="2"/>
  <c r="V44" i="2"/>
  <c r="AP40" i="2"/>
  <c r="AO40" i="2"/>
  <c r="V40" i="2"/>
  <c r="AP42" i="2"/>
  <c r="AO42" i="2"/>
  <c r="V42" i="2"/>
  <c r="Q38" i="2"/>
  <c r="Q37" i="2"/>
  <c r="Q32" i="2"/>
  <c r="Q31" i="2"/>
  <c r="Q36" i="2"/>
  <c r="Q35" i="2"/>
  <c r="Q26" i="2"/>
  <c r="Q25" i="2"/>
  <c r="Q30" i="2"/>
  <c r="Q29" i="2"/>
  <c r="Q34" i="2"/>
  <c r="Q33" i="2"/>
  <c r="Q28" i="2"/>
  <c r="Q27" i="2"/>
  <c r="AP22" i="2"/>
  <c r="AO22" i="2"/>
  <c r="V22" i="2"/>
  <c r="AP18" i="2"/>
  <c r="AO18" i="2"/>
  <c r="AP20" i="2"/>
  <c r="AO20" i="2"/>
  <c r="V20" i="2"/>
  <c r="Q16" i="2"/>
  <c r="Q15" i="2"/>
  <c r="Q9" i="2"/>
  <c r="Q8" i="2"/>
  <c r="Q14" i="2"/>
  <c r="Q13" i="2"/>
  <c r="Q12" i="2"/>
  <c r="Q5" i="2"/>
  <c r="Q4" i="2"/>
  <c r="Q11" i="2"/>
  <c r="Q10" i="2"/>
  <c r="Q7" i="2"/>
  <c r="Q6" i="2"/>
  <c r="H19" i="5"/>
  <c r="M9" i="5"/>
  <c r="I19" i="5"/>
  <c r="N9" i="5"/>
  <c r="J19" i="5"/>
  <c r="O9" i="5"/>
  <c r="E9" i="5"/>
  <c r="H17" i="5"/>
  <c r="M7" i="5"/>
  <c r="I17" i="5"/>
  <c r="N7" i="5"/>
  <c r="J17" i="5"/>
  <c r="O7" i="5"/>
  <c r="E7" i="5"/>
  <c r="H16" i="5"/>
  <c r="M6" i="5"/>
  <c r="I16" i="5"/>
  <c r="N6" i="5"/>
  <c r="J16" i="5"/>
  <c r="O6" i="5"/>
  <c r="E6" i="5"/>
  <c r="H15" i="5"/>
  <c r="M5" i="5"/>
  <c r="I15" i="5"/>
  <c r="N5" i="5"/>
  <c r="J15" i="5"/>
  <c r="O5" i="5"/>
  <c r="E5" i="5"/>
  <c r="H14" i="5"/>
  <c r="M4" i="5"/>
  <c r="I14" i="5"/>
  <c r="N4" i="5"/>
  <c r="J14" i="5"/>
  <c r="O4" i="5"/>
  <c r="E4" i="5"/>
  <c r="H13" i="5"/>
  <c r="M3" i="5"/>
  <c r="I13" i="5"/>
  <c r="N3" i="5"/>
  <c r="J13" i="5"/>
  <c r="O3" i="5"/>
  <c r="E3" i="5"/>
  <c r="H12" i="5"/>
  <c r="M2" i="5"/>
  <c r="I12" i="5"/>
  <c r="N2" i="5"/>
  <c r="J12" i="5"/>
  <c r="O2" i="5"/>
  <c r="E2" i="5"/>
  <c r="E19" i="5"/>
  <c r="J9" i="5"/>
  <c r="F19" i="5"/>
  <c r="K9" i="5"/>
  <c r="G19" i="5"/>
  <c r="L9" i="5"/>
  <c r="D9" i="5"/>
  <c r="E17" i="5"/>
  <c r="J7" i="5"/>
  <c r="F17" i="5"/>
  <c r="K7" i="5"/>
  <c r="G17" i="5"/>
  <c r="L7" i="5"/>
  <c r="D7" i="5"/>
  <c r="E16" i="5"/>
  <c r="J6" i="5"/>
  <c r="F16" i="5"/>
  <c r="K6" i="5"/>
  <c r="G16" i="5"/>
  <c r="L6" i="5"/>
  <c r="D6" i="5"/>
  <c r="E15" i="5"/>
  <c r="J5" i="5"/>
  <c r="F15" i="5"/>
  <c r="K5" i="5"/>
  <c r="G15" i="5"/>
  <c r="L5" i="5"/>
  <c r="D5" i="5"/>
  <c r="E14" i="5"/>
  <c r="J4" i="5"/>
  <c r="F14" i="5"/>
  <c r="K4" i="5"/>
  <c r="G14" i="5"/>
  <c r="L4" i="5"/>
  <c r="D4" i="5"/>
  <c r="E13" i="5"/>
  <c r="J3" i="5"/>
  <c r="F13" i="5"/>
  <c r="K3" i="5"/>
  <c r="G13" i="5"/>
  <c r="L3" i="5"/>
  <c r="D3" i="5"/>
  <c r="E12" i="5"/>
  <c r="J2" i="5"/>
  <c r="F12" i="5"/>
  <c r="K2" i="5"/>
  <c r="G12" i="5"/>
  <c r="L2" i="5"/>
  <c r="D2" i="5"/>
  <c r="B19" i="5"/>
  <c r="G9" i="5"/>
  <c r="C19" i="5"/>
  <c r="H9" i="5"/>
  <c r="D19" i="5"/>
  <c r="I9" i="5"/>
  <c r="C9" i="5"/>
  <c r="B17" i="5"/>
  <c r="G7" i="5"/>
  <c r="C17" i="5"/>
  <c r="H7" i="5"/>
  <c r="D17" i="5"/>
  <c r="I7" i="5"/>
  <c r="C7" i="5"/>
  <c r="B16" i="5"/>
  <c r="G6" i="5"/>
  <c r="C16" i="5"/>
  <c r="H6" i="5"/>
  <c r="D16" i="5"/>
  <c r="I6" i="5"/>
  <c r="C6" i="5"/>
  <c r="B15" i="5"/>
  <c r="G5" i="5"/>
  <c r="C15" i="5"/>
  <c r="H5" i="5"/>
  <c r="D15" i="5"/>
  <c r="I5" i="5"/>
  <c r="C5" i="5"/>
  <c r="B14" i="5"/>
  <c r="G4" i="5"/>
  <c r="C14" i="5"/>
  <c r="H4" i="5"/>
  <c r="D14" i="5"/>
  <c r="I4" i="5"/>
  <c r="C4" i="5"/>
  <c r="B13" i="5"/>
  <c r="G3" i="5"/>
  <c r="C13" i="5"/>
  <c r="H3" i="5"/>
  <c r="D13" i="5"/>
  <c r="I3" i="5"/>
  <c r="C3" i="5"/>
  <c r="B12" i="5"/>
  <c r="G2" i="5"/>
  <c r="C12" i="5"/>
  <c r="H2" i="5"/>
  <c r="D12" i="5"/>
  <c r="I2" i="5"/>
  <c r="C2" i="5"/>
  <c r="AH39" i="4"/>
  <c r="AI39" i="4"/>
  <c r="AJ39" i="4"/>
  <c r="C10" i="4"/>
  <c r="AH36" i="4"/>
  <c r="AI36" i="4"/>
  <c r="AJ36" i="4"/>
  <c r="C8" i="4"/>
  <c r="AH35" i="4"/>
  <c r="AI35" i="4"/>
  <c r="AJ35" i="4"/>
  <c r="C7" i="4"/>
  <c r="AH34" i="4"/>
  <c r="AI34" i="4"/>
  <c r="AJ34" i="4"/>
  <c r="C6" i="4"/>
  <c r="AH33" i="4"/>
  <c r="AI33" i="4"/>
  <c r="AJ33" i="4"/>
  <c r="C5" i="4"/>
  <c r="V39" i="4"/>
  <c r="W39" i="4"/>
  <c r="X39" i="4"/>
  <c r="D10" i="4"/>
  <c r="V36" i="4"/>
  <c r="W36" i="4"/>
  <c r="X36" i="4"/>
  <c r="D8" i="4"/>
  <c r="V35" i="4"/>
  <c r="W35" i="4"/>
  <c r="X35" i="4"/>
  <c r="D7" i="4"/>
  <c r="V34" i="4"/>
  <c r="W34" i="4"/>
  <c r="X34" i="4"/>
  <c r="D6" i="4"/>
  <c r="V33" i="4"/>
  <c r="W33" i="4"/>
  <c r="X33" i="4"/>
  <c r="D5" i="4"/>
  <c r="V32" i="4"/>
  <c r="W32" i="4"/>
  <c r="X32" i="4"/>
  <c r="D4" i="4"/>
  <c r="J32" i="4"/>
  <c r="K32" i="4"/>
  <c r="L32" i="4"/>
  <c r="E4" i="4"/>
  <c r="J33" i="4"/>
  <c r="K33" i="4"/>
  <c r="L33" i="4"/>
  <c r="E5" i="4"/>
  <c r="J34" i="4"/>
  <c r="K34" i="4"/>
  <c r="L34" i="4"/>
  <c r="E6" i="4"/>
  <c r="J35" i="4"/>
  <c r="K35" i="4"/>
  <c r="L35" i="4"/>
  <c r="E7" i="4"/>
  <c r="J36" i="4"/>
  <c r="K36" i="4"/>
  <c r="L36" i="4"/>
  <c r="E8" i="4"/>
  <c r="J39" i="4"/>
  <c r="K39" i="4"/>
  <c r="L39" i="4"/>
  <c r="E10" i="4"/>
  <c r="J31" i="4"/>
  <c r="K31" i="4"/>
  <c r="L31" i="4"/>
  <c r="E3" i="4"/>
  <c r="AJ3" i="2"/>
</calcChain>
</file>

<file path=xl/comments1.xml><?xml version="1.0" encoding="utf-8"?>
<comments xmlns="http://schemas.openxmlformats.org/spreadsheetml/2006/main">
  <authors>
    <author>Andrey Koval</author>
  </authors>
  <commentList>
    <comment ref="AC18" authorId="0" shapeId="0">
      <text>
        <r>
          <rPr>
            <b/>
            <sz val="9"/>
            <color indexed="81"/>
            <rFont val="Tahoma"/>
            <charset val="1"/>
          </rPr>
          <t>Andrey Koval:</t>
        </r>
        <r>
          <rPr>
            <sz val="9"/>
            <color indexed="81"/>
            <rFont val="Tahoma"/>
            <charset val="1"/>
          </rPr>
          <t xml:space="preserve">
ac_sum_group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Andrey Koval:</t>
        </r>
        <r>
          <rPr>
            <sz val="9"/>
            <color indexed="81"/>
            <rFont val="Tahoma"/>
            <charset val="1"/>
          </rPr>
          <t xml:space="preserve">
ac_sum</t>
        </r>
      </text>
    </comment>
  </commentList>
</comments>
</file>

<file path=xl/sharedStrings.xml><?xml version="1.0" encoding="utf-8"?>
<sst xmlns="http://schemas.openxmlformats.org/spreadsheetml/2006/main" count="5034" uniqueCount="475">
  <si>
    <r>
      <t xml:space="preserve">Correlation (Std Err) </t>
    </r>
    <r>
      <rPr>
        <b/>
        <i/>
        <sz val="9"/>
        <color theme="1"/>
        <rFont val="Times New Roman"/>
      </rPr>
      <t>p</t>
    </r>
  </si>
  <si>
    <t>Cognitive Domain</t>
  </si>
  <si>
    <t>Study</t>
  </si>
  <si>
    <t>Pulmonary measure</t>
  </si>
  <si>
    <t>Cognitive measure</t>
  </si>
  <si>
    <t>Sex</t>
  </si>
  <si>
    <t>n</t>
  </si>
  <si>
    <t>Correlation (Intercepts) Estimates</t>
  </si>
  <si>
    <t>Correlation (Slopes) Estimates</t>
  </si>
  <si>
    <t>Correlation (Residuals) Estimates</t>
  </si>
  <si>
    <t>Mental Status</t>
  </si>
  <si>
    <t>OCTO</t>
  </si>
  <si>
    <t>PEF</t>
  </si>
  <si>
    <t>Clock</t>
  </si>
  <si>
    <t>Men</t>
  </si>
  <si>
    <t>p=0.06 ^</t>
  </si>
  <si>
    <t>p=0.74</t>
  </si>
  <si>
    <t>p=0.72</t>
  </si>
  <si>
    <t>Women</t>
  </si>
  <si>
    <t>p=0.03 *</t>
  </si>
  <si>
    <t>p=0.30</t>
  </si>
  <si>
    <t>MAP</t>
  </si>
  <si>
    <r>
      <t>FEV</t>
    </r>
    <r>
      <rPr>
        <vertAlign val="subscript"/>
        <sz val="10"/>
        <color theme="1"/>
        <rFont val="Times New Roman"/>
      </rPr>
      <t>1</t>
    </r>
  </si>
  <si>
    <t>Ideas</t>
  </si>
  <si>
    <t>p=0.82</t>
  </si>
  <si>
    <t>p=0.34</t>
  </si>
  <si>
    <t>p=0.42</t>
  </si>
  <si>
    <t>p&lt;0.01 ***</t>
  </si>
  <si>
    <t>p=0.66</t>
  </si>
  <si>
    <t>p=0.46</t>
  </si>
  <si>
    <t>EAS</t>
  </si>
  <si>
    <t>MMSE</t>
  </si>
  <si>
    <t>p=0.05 *</t>
  </si>
  <si>
    <t>p=0.49</t>
  </si>
  <si>
    <t>p=0.09^</t>
  </si>
  <si>
    <t>p=0.92</t>
  </si>
  <si>
    <t>p=0.71</t>
  </si>
  <si>
    <t>p=0.07^</t>
  </si>
  <si>
    <t>NAS</t>
  </si>
  <si>
    <t>p=0.01 **</t>
  </si>
  <si>
    <t>p=0.61</t>
  </si>
  <si>
    <t>p=0.44</t>
  </si>
  <si>
    <t>p=0.69</t>
  </si>
  <si>
    <t>p=0.38</t>
  </si>
  <si>
    <t>p=0.52</t>
  </si>
  <si>
    <t>p&lt;0.01 **</t>
  </si>
  <si>
    <t>SATSA</t>
  </si>
  <si>
    <t>p=0.18</t>
  </si>
  <si>
    <t>p=0.24</t>
  </si>
  <si>
    <t>p=0.28</t>
  </si>
  <si>
    <t>Processing Speed</t>
  </si>
  <si>
    <t>LASA</t>
  </si>
  <si>
    <t>Coding</t>
  </si>
  <si>
    <t>p=0.13</t>
  </si>
  <si>
    <t>Num_Comp</t>
  </si>
  <si>
    <t>p=0.77</t>
  </si>
  <si>
    <t>p=0.64</t>
  </si>
  <si>
    <t>p=0.86</t>
  </si>
  <si>
    <t>p=0.59</t>
  </si>
  <si>
    <t>Percp_Speed</t>
  </si>
  <si>
    <t>p=0.08 ^</t>
  </si>
  <si>
    <t>p=0.39</t>
  </si>
  <si>
    <t>p=0.25</t>
  </si>
  <si>
    <t>p=0.84</t>
  </si>
  <si>
    <t>Symbol</t>
  </si>
  <si>
    <t>p=0.04 *</t>
  </si>
  <si>
    <t>p=0.02 *</t>
  </si>
  <si>
    <t>p=0.65</t>
  </si>
  <si>
    <t>p=0.17</t>
  </si>
  <si>
    <t>p=0.76</t>
  </si>
  <si>
    <t>p=0.12</t>
  </si>
  <si>
    <t>p=0.57</t>
  </si>
  <si>
    <t>p&lt;.001 ***</t>
  </si>
  <si>
    <t>p&lt;.01 ***</t>
  </si>
  <si>
    <t>p=0.55</t>
  </si>
  <si>
    <t>p=0.01 *</t>
  </si>
  <si>
    <t>p=0.8</t>
  </si>
  <si>
    <t>p=0.22</t>
  </si>
  <si>
    <t>Attention &amp; Working Memory</t>
  </si>
  <si>
    <t>Digit_B</t>
  </si>
  <si>
    <t>p=0.20</t>
  </si>
  <si>
    <t>p=0.73</t>
  </si>
  <si>
    <t>p=0.19</t>
  </si>
  <si>
    <t>p=0.23</t>
  </si>
  <si>
    <t>p=0.16</t>
  </si>
  <si>
    <t>p=0.75</t>
  </si>
  <si>
    <t>p=0.47</t>
  </si>
  <si>
    <t>p=0.37</t>
  </si>
  <si>
    <t>Digit_B_Span</t>
  </si>
  <si>
    <t>p=0.45</t>
  </si>
  <si>
    <t>p=0.26</t>
  </si>
  <si>
    <t>Digit_F</t>
  </si>
  <si>
    <t>p=0.27</t>
  </si>
  <si>
    <t>p=0.56</t>
  </si>
  <si>
    <t>p=0.98</t>
  </si>
  <si>
    <t>p=0.99</t>
  </si>
  <si>
    <t>p=0.80</t>
  </si>
  <si>
    <t>p=0.11</t>
  </si>
  <si>
    <t>p=0.36</t>
  </si>
  <si>
    <t>p=0.51</t>
  </si>
  <si>
    <t>Digit_Ord</t>
  </si>
  <si>
    <t>p=0.96</t>
  </si>
  <si>
    <t>p=0.95</t>
  </si>
  <si>
    <t>Digit_Tot</t>
  </si>
  <si>
    <t>p=0.63</t>
  </si>
  <si>
    <t>p=0.15</t>
  </si>
  <si>
    <t>HRS</t>
  </si>
  <si>
    <t>Serial7</t>
  </si>
  <si>
    <t>p=0.10 ^</t>
  </si>
  <si>
    <t>TrailsB</t>
  </si>
  <si>
    <t>Perceptual Reasoning</t>
  </si>
  <si>
    <t>Block</t>
  </si>
  <si>
    <t>p=0.40</t>
  </si>
  <si>
    <t>p=0.81</t>
  </si>
  <si>
    <t>p=0.94</t>
  </si>
  <si>
    <t>p=0.89</t>
  </si>
  <si>
    <t>p=0.43</t>
  </si>
  <si>
    <t>Fig_Copy</t>
  </si>
  <si>
    <t>Fig_Reason</t>
  </si>
  <si>
    <t>p=0.87</t>
  </si>
  <si>
    <t>p=0.10^</t>
  </si>
  <si>
    <t>p=0.67</t>
  </si>
  <si>
    <t>Line</t>
  </si>
  <si>
    <t>p=0.6</t>
  </si>
  <si>
    <t>p=0.68</t>
  </si>
  <si>
    <t>Patt_Comp</t>
  </si>
  <si>
    <t>Raven</t>
  </si>
  <si>
    <t>p=0.85</t>
  </si>
  <si>
    <t>p=0.7</t>
  </si>
  <si>
    <t>p=0.08^</t>
  </si>
  <si>
    <t>Rotate</t>
  </si>
  <si>
    <t>Verbal Ability</t>
  </si>
  <si>
    <t>Analogies</t>
  </si>
  <si>
    <t>p=0.29</t>
  </si>
  <si>
    <t>Animals</t>
  </si>
  <si>
    <t>p=0.3</t>
  </si>
  <si>
    <t>BNT</t>
  </si>
  <si>
    <t>p=0.79</t>
  </si>
  <si>
    <t>p=0.91</t>
  </si>
  <si>
    <t>p=0.4</t>
  </si>
  <si>
    <t>p=0.06^</t>
  </si>
  <si>
    <t>p=0.35</t>
  </si>
  <si>
    <t>p=0.9</t>
  </si>
  <si>
    <t>p=0.53</t>
  </si>
  <si>
    <t>p=0.10</t>
  </si>
  <si>
    <t>Categories</t>
  </si>
  <si>
    <t>p=0.54</t>
  </si>
  <si>
    <t>FEV1</t>
  </si>
  <si>
    <t>p&lt;0.01***</t>
  </si>
  <si>
    <t>FAS</t>
  </si>
  <si>
    <t>Information</t>
  </si>
  <si>
    <t>p=0.33</t>
  </si>
  <si>
    <t>p=0.93</t>
  </si>
  <si>
    <t>NART</t>
  </si>
  <si>
    <t>p=0.07 ^</t>
  </si>
  <si>
    <t>Synonyms</t>
  </si>
  <si>
    <t>p=0.83</t>
  </si>
  <si>
    <t>p=.09^</t>
  </si>
  <si>
    <t>p=.01 *</t>
  </si>
  <si>
    <t>Vocabulary</t>
  </si>
  <si>
    <t>p=0.78</t>
  </si>
  <si>
    <t>p=0.41</t>
  </si>
  <si>
    <t>Learning &amp; Memory</t>
  </si>
  <si>
    <t>Bstory_De</t>
  </si>
  <si>
    <t>p=0.21</t>
  </si>
  <si>
    <t>p=0.97</t>
  </si>
  <si>
    <t>Bstory_Im</t>
  </si>
  <si>
    <t>p=0.14</t>
  </si>
  <si>
    <t>Fig_Mem</t>
  </si>
  <si>
    <t>Logic_De</t>
  </si>
  <si>
    <t>p=0.31</t>
  </si>
  <si>
    <t>Logic_Im</t>
  </si>
  <si>
    <t>Logic_Tot</t>
  </si>
  <si>
    <t>Objects_Recall</t>
  </si>
  <si>
    <t>Objects_Recog</t>
  </si>
  <si>
    <t>Prose_Im</t>
  </si>
  <si>
    <t>p=0.62</t>
  </si>
  <si>
    <t>ELSA</t>
  </si>
  <si>
    <t>Word_De</t>
  </si>
  <si>
    <t>p=0.58</t>
  </si>
  <si>
    <t>p=0.05^</t>
  </si>
  <si>
    <t>p=0.5</t>
  </si>
  <si>
    <t>Word_Im</t>
  </si>
  <si>
    <t>Word_Rec</t>
  </si>
  <si>
    <t>FEV - Cognition</t>
  </si>
  <si>
    <t>Average</t>
  </si>
  <si>
    <t>Overall</t>
  </si>
  <si>
    <t>Mixed-effects</t>
  </si>
  <si>
    <t>regression</t>
  </si>
  <si>
    <t>Number</t>
  </si>
  <si>
    <t>of</t>
  </si>
  <si>
    <t>obs</t>
  </si>
  <si>
    <t>=</t>
  </si>
  <si>
    <t>Group</t>
  </si>
  <si>
    <t>variable:</t>
  </si>
  <si>
    <t>study</t>
  </si>
  <si>
    <t>groups</t>
  </si>
  <si>
    <t>Obs</t>
  </si>
  <si>
    <t>per</t>
  </si>
  <si>
    <t>group:</t>
  </si>
  <si>
    <t>min</t>
  </si>
  <si>
    <t>avg</t>
  </si>
  <si>
    <t>max</t>
  </si>
  <si>
    <t>Wald</t>
  </si>
  <si>
    <t>chi2(5)</t>
  </si>
  <si>
    <t>Log</t>
  </si>
  <si>
    <t>pseudolikelihood</t>
  </si>
  <si>
    <t>Prob</t>
  </si>
  <si>
    <t>&gt;</t>
  </si>
  <si>
    <t>chi2</t>
  </si>
  <si>
    <t>(Std.</t>
  </si>
  <si>
    <t>Err.</t>
  </si>
  <si>
    <t>adjusted</t>
  </si>
  <si>
    <t>for</t>
  </si>
  <si>
    <t>clusters</t>
  </si>
  <si>
    <t>in</t>
  </si>
  <si>
    <t>study)</t>
  </si>
  <si>
    <t>------------------------------------------------------------------------------</t>
  </si>
  <si>
    <t>Robust</t>
  </si>
  <si>
    <t>zi</t>
  </si>
  <si>
    <t>Coef.</t>
  </si>
  <si>
    <t>Std.</t>
  </si>
  <si>
    <t>z</t>
  </si>
  <si>
    <t>P&gt;</t>
  </si>
  <si>
    <t>[95%</t>
  </si>
  <si>
    <t>Conf.</t>
  </si>
  <si>
    <t>Interval]</t>
  </si>
  <si>
    <t>-------------+----------------------------------------------------------------</t>
  </si>
  <si>
    <t>cogd</t>
  </si>
  <si>
    <t>_cons</t>
  </si>
  <si>
    <t>Random-effects</t>
  </si>
  <si>
    <t>Parameters</t>
  </si>
  <si>
    <t>Estimate</t>
  </si>
  <si>
    <t>-----------------------------+------------------------------------------------</t>
  </si>
  <si>
    <t>study:</t>
  </si>
  <si>
    <t>Identity</t>
  </si>
  <si>
    <t>var(_cons)</t>
  </si>
  <si>
    <t>var(Residual)</t>
  </si>
  <si>
    <t>chi2(6)</t>
  </si>
  <si>
    <t>zr</t>
  </si>
  <si>
    <t>gender</t>
  </si>
  <si>
    <t>zs</t>
  </si>
  <si>
    <t>Test(s)</t>
  </si>
  <si>
    <t>heterogeneity:</t>
  </si>
  <si>
    <t>Heterogeneity</t>
  </si>
  <si>
    <t>degrees</t>
  </si>
  <si>
    <t>statistic</t>
  </si>
  <si>
    <t>freedom</t>
  </si>
  <si>
    <t>P</t>
  </si>
  <si>
    <t>I-squared**</t>
  </si>
  <si>
    <t>Mental</t>
  </si>
  <si>
    <t>Status</t>
  </si>
  <si>
    <t>Processing</t>
  </si>
  <si>
    <t>Speed</t>
  </si>
  <si>
    <t>Attention</t>
  </si>
  <si>
    <t>&amp;</t>
  </si>
  <si>
    <t>Working</t>
  </si>
  <si>
    <t>Perceptual</t>
  </si>
  <si>
    <t>Reasoning</t>
  </si>
  <si>
    <t>Verbal</t>
  </si>
  <si>
    <t>Ability</t>
  </si>
  <si>
    <t>Learning</t>
  </si>
  <si>
    <t>Memory</t>
  </si>
  <si>
    <t>Test</t>
  </si>
  <si>
    <t>heterogeneity</t>
  </si>
  <si>
    <t>between</t>
  </si>
  <si>
    <t>sub-groups:</t>
  </si>
  <si>
    <t>**</t>
  </si>
  <si>
    <t>I-squared:</t>
  </si>
  <si>
    <t>the</t>
  </si>
  <si>
    <t>variation</t>
  </si>
  <si>
    <t>ES</t>
  </si>
  <si>
    <t>attributable</t>
  </si>
  <si>
    <t>to</t>
  </si>
  <si>
    <t>heterogeneity)</t>
  </si>
  <si>
    <t>Some</t>
  </si>
  <si>
    <t>observed</t>
  </si>
  <si>
    <t>(up</t>
  </si>
  <si>
    <t>49.1%)</t>
  </si>
  <si>
    <t>one</t>
  </si>
  <si>
    <t>or</t>
  </si>
  <si>
    <t>more</t>
  </si>
  <si>
    <t>sub-groups,</t>
  </si>
  <si>
    <t>sub-groups</t>
  </si>
  <si>
    <t>may</t>
  </si>
  <si>
    <t>be</t>
  </si>
  <si>
    <t>invalid</t>
  </si>
  <si>
    <t>Significance</t>
  </si>
  <si>
    <t>test(s)</t>
  </si>
  <si>
    <t>ES=0</t>
  </si>
  <si>
    <t>z=</t>
  </si>
  <si>
    <t>p</t>
  </si>
  <si>
    <t>I-V</t>
  </si>
  <si>
    <t>pooled</t>
  </si>
  <si>
    <t>---------------------+---------------------------------------------------</t>
  </si>
  <si>
    <t>Moderate</t>
  </si>
  <si>
    <t>72.5%)</t>
  </si>
  <si>
    <t>likely</t>
  </si>
  <si>
    <t>Considerable</t>
  </si>
  <si>
    <t>79.4%)</t>
  </si>
  <si>
    <t>D+L</t>
  </si>
  <si>
    <t>R</t>
  </si>
  <si>
    <t>Rll</t>
  </si>
  <si>
    <t>Rul</t>
  </si>
  <si>
    <t>Learning and Memory</t>
  </si>
  <si>
    <t>Residuals</t>
  </si>
  <si>
    <t>Intercepts</t>
  </si>
  <si>
    <t>Slopes</t>
  </si>
  <si>
    <t>-------------------------------------------------------------</t>
  </si>
  <si>
    <t>No.</t>
  </si>
  <si>
    <t>Observations</t>
  </si>
  <si>
    <t>Variable</t>
  </si>
  <si>
    <t>Groups</t>
  </si>
  <si>
    <t>Minimum</t>
  </si>
  <si>
    <t>Maximum</t>
  </si>
  <si>
    <t>----------------+--------------------------------------------</t>
  </si>
  <si>
    <t>chi2(0)</t>
  </si>
  <si>
    <t>.</t>
  </si>
  <si>
    <t>cogd)</t>
  </si>
  <si>
    <t>cogd:</t>
  </si>
  <si>
    <t>I</t>
  </si>
  <si>
    <t>S</t>
  </si>
  <si>
    <t>Female Average</t>
  </si>
  <si>
    <t>Male Average</t>
  </si>
  <si>
    <t>Overall Average</t>
  </si>
  <si>
    <t xml:space="preserve"> </t>
  </si>
  <si>
    <t>Verbal Abilities</t>
  </si>
  <si>
    <t>Male Overall</t>
  </si>
  <si>
    <t>Female Overall</t>
  </si>
  <si>
    <t>Total Overall</t>
  </si>
  <si>
    <t>R (95% CI)</t>
  </si>
  <si>
    <t>Node Size</t>
  </si>
  <si>
    <t>I2</t>
  </si>
  <si>
    <t>Count</t>
  </si>
  <si>
    <t>Q</t>
  </si>
  <si>
    <t>Estimate Characteristics</t>
  </si>
  <si>
    <t>.04</t>
  </si>
  <si>
    <t>EAS Men: BIMC &amp; PEF</t>
  </si>
  <si>
    <t>EAS Women: BIMC &amp; PEF</t>
  </si>
  <si>
    <t>OCTO Men: Clock &amp; PEF</t>
  </si>
  <si>
    <t>OCTO Women: Clock &amp; PEF</t>
  </si>
  <si>
    <t>OCTO Men: MMSE &amp; PEF</t>
  </si>
  <si>
    <t>OCTO Women: MMSE &amp; PEF</t>
  </si>
  <si>
    <t>MAP Men: Ideas &amp; FEV1</t>
  </si>
  <si>
    <t>MAP Women: Ideas &amp; FEV1</t>
  </si>
  <si>
    <t>MAP Men: MMSE &amp; FEV1</t>
  </si>
  <si>
    <t>MAP Women: MMSE &amp; FEV1</t>
  </si>
  <si>
    <t>NAS Men: MMSE &amp; FEV1</t>
  </si>
  <si>
    <t>SATSA Men: MMSE &amp; FEV1</t>
  </si>
  <si>
    <t>SATSA Women: MMSE &amp; FEV1</t>
  </si>
  <si>
    <t>EAS Men: Digit Symbol &amp; PEF</t>
  </si>
  <si>
    <t>EAS Women: Digit Symbol &amp; PEF</t>
  </si>
  <si>
    <t>LASA Men: Coding &amp; PEF</t>
  </si>
  <si>
    <t>LASA Women: Coding &amp; PEF</t>
  </si>
  <si>
    <t>OCTO Men: Percptual Speed &amp; PEF</t>
  </si>
  <si>
    <t>OCTO Women: Percptual Speed &amp; PEF</t>
  </si>
  <si>
    <t>OCTO Men: Symbol &amp; PEF</t>
  </si>
  <si>
    <t>OCTO Women: Symbol &amp; PEF</t>
  </si>
  <si>
    <t>MAP Men: Number Comparison &amp; FEV1</t>
  </si>
  <si>
    <t>MAP Women: Number Comparison &amp; FEV1</t>
  </si>
  <si>
    <t>MAP Men: Symbol &amp; FEV1</t>
  </si>
  <si>
    <t>MAP Women: Symbol &amp; FEV1</t>
  </si>
  <si>
    <t>SATSA Men: Symbol &amp; FEV1</t>
  </si>
  <si>
    <t>SATSA Women: Symbol &amp; FEV1</t>
  </si>
  <si>
    <t>EAS Men: Digit Span Total &amp; PEF</t>
  </si>
  <si>
    <t>EAS Women: Digit Span Total &amp; PEF</t>
  </si>
  <si>
    <t>EAS Men: Trails B &amp; PEF</t>
  </si>
  <si>
    <t>EAS Women: Trails B &amp; PEF</t>
  </si>
  <si>
    <t>HRS Men: Serial 7s &amp; PEF</t>
  </si>
  <si>
    <t>HRS Women: Serial 7s &amp; PEF</t>
  </si>
  <si>
    <t>OCTO Men: Digit Span Backward &amp; PEF</t>
  </si>
  <si>
    <t>OCTO Women: Digit Span Backward &amp; PEF</t>
  </si>
  <si>
    <t>OCTO Men: Digit Span Forward &amp; PEF</t>
  </si>
  <si>
    <t>OCTO Women: Digit Span Forward &amp; PEF</t>
  </si>
  <si>
    <t>MAP Men: Digit Span Backward &amp; FEV1</t>
  </si>
  <si>
    <t>MAP Women: Digit Span Backward &amp; FEV1</t>
  </si>
  <si>
    <t>MAP Men: Digit Span Forward &amp; FEV1</t>
  </si>
  <si>
    <t>MAP Women: Digit Span Forward &amp; FEV1</t>
  </si>
  <si>
    <t>MAP Men: Digit Ordering &amp; FEV1</t>
  </si>
  <si>
    <t>MAP Women: Digit Ordering &amp; FEV1</t>
  </si>
  <si>
    <t>NAS Men: Digit Span Backward &amp; FEV1</t>
  </si>
  <si>
    <t>NAS Men: Digit Span Backward Span &amp; FEV1</t>
  </si>
  <si>
    <t>SATSA Men: Digit Span Backward &amp; FEV1</t>
  </si>
  <si>
    <t>SATSA Women: Digit Span Backward &amp; FEV1</t>
  </si>
  <si>
    <t>SATSA Men: Digit Span Forward &amp; FEV1</t>
  </si>
  <si>
    <t>SATSA Women: Digit Span Forward &amp; FEV1</t>
  </si>
  <si>
    <t>EAS Men: Block Design &amp; PEF</t>
  </si>
  <si>
    <t>EAS Women: Block Design &amp; PEF</t>
  </si>
  <si>
    <t>LASA Men: Progressive Matrices &amp; PEF</t>
  </si>
  <si>
    <t>LASA Women: Progressive Matrices &amp; PEF</t>
  </si>
  <si>
    <t>OCTO Men: Block Design &amp; PEF</t>
  </si>
  <si>
    <t>OCTO Women: Block Design &amp; PEF</t>
  </si>
  <si>
    <t>OCTO Men: Figure Reasoning &amp; PEF</t>
  </si>
  <si>
    <t>OCTO Women: Figure Reasoning &amp; PEF</t>
  </si>
  <si>
    <t>SATSA Men: Block Design &amp; FEV1</t>
  </si>
  <si>
    <t>SATSA Women: Block Design &amp; FEV1</t>
  </si>
  <si>
    <t>NAS Men: Figure Copy &amp; FEV1</t>
  </si>
  <si>
    <t>NAS Men: Pattern Completion &amp; FEV1</t>
  </si>
  <si>
    <t>MAP Men: Line Orientation &amp; FEV1</t>
  </si>
  <si>
    <t>MAP Women: Line  Orientation &amp; FEV1</t>
  </si>
  <si>
    <t>MAP Men: Progressive Matrices &amp; FEV1</t>
  </si>
  <si>
    <t>MAP Women: Progressive Matrices &amp; FEV1</t>
  </si>
  <si>
    <t>SATSA Men: Card Rotations &amp; FEV1</t>
  </si>
  <si>
    <t>SATSA Women: Card Rotations &amp; FEV1</t>
  </si>
  <si>
    <t>EAS Men: Boston Naming Test &amp; PEF</t>
  </si>
  <si>
    <t>EAS Women: Boston Naming Test &amp; PEF</t>
  </si>
  <si>
    <t>EAS Men: Categories &amp; PEF</t>
  </si>
  <si>
    <t>EAS Women: Categories &amp; PEF</t>
  </si>
  <si>
    <t>EAS Men: FAS &amp; PEF</t>
  </si>
  <si>
    <t>EAS Women: FAS &amp; PEF</t>
  </si>
  <si>
    <t>EAS Men: Vocabulary &amp; PEF</t>
  </si>
  <si>
    <t>EAS Women: Vocabulary &amp; PEF</t>
  </si>
  <si>
    <t>OCTO Men: Information &amp; PEF</t>
  </si>
  <si>
    <t>OCTO Women: Information &amp; PEF</t>
  </si>
  <si>
    <t>OCTO Men: Synonyms &amp; PEF</t>
  </si>
  <si>
    <t>OCTO Women: Synonyms &amp; PEF</t>
  </si>
  <si>
    <t>MAP Men: Boston Naming Test &amp; FEV1</t>
  </si>
  <si>
    <t>MAP Women: Boston Naming Test &amp; FEV1</t>
  </si>
  <si>
    <t>MAP Men: Categories &amp; FEV1</t>
  </si>
  <si>
    <t>MAP Women: Categories &amp; FEV1</t>
  </si>
  <si>
    <t>MAP Men: NART &amp; FEV1</t>
  </si>
  <si>
    <t>MAP Women: NART &amp; FEV1</t>
  </si>
  <si>
    <t>NAS Men: Animals &amp; FEV1</t>
  </si>
  <si>
    <t>SATSA Men: Analogies &amp; FEV1</t>
  </si>
  <si>
    <t>SATSA Women: Analogies &amp; FEV1</t>
  </si>
  <si>
    <t>SATSA Men: Information &amp; FEV1</t>
  </si>
  <si>
    <t>SATSA Women: Information &amp; FEV1</t>
  </si>
  <si>
    <t>SATSA Men: Synonyms &amp; FEV1</t>
  </si>
  <si>
    <t>SATSA Women: Synonyms &amp; FEV1</t>
  </si>
  <si>
    <t>EAS Men: Logical Memory Total &amp; PEF</t>
  </si>
  <si>
    <t>EAS Women: Logical Memory Total &amp; PEF</t>
  </si>
  <si>
    <t>EAS Men: Word List Immediate &amp; PEF</t>
  </si>
  <si>
    <t>EAS Women: Word List Immediate &amp; PEF</t>
  </si>
  <si>
    <t>HRS Men: Word List Delay &amp; PEF</t>
  </si>
  <si>
    <t>HRS Women: Word List Delay &amp; PEF</t>
  </si>
  <si>
    <t>HRS Men: Word List Immediate &amp; PEF</t>
  </si>
  <si>
    <t>HRS Women: Word List Immediate &amp; PEF</t>
  </si>
  <si>
    <t>LASA Men: Word List Immediate &amp; PEF</t>
  </si>
  <si>
    <t>LASA Women: Word List Immediate &amp; PEF</t>
  </si>
  <si>
    <t>OCTO Men: Objects Recalled &amp; PEF</t>
  </si>
  <si>
    <t>OCTO Women: Objects Recalled &amp; PEF</t>
  </si>
  <si>
    <t>OCTO Men: Objects Recognized &amp; PEF</t>
  </si>
  <si>
    <t>OCTO Women: Objects Recognized &amp; PEF</t>
  </si>
  <si>
    <t>OCTO Men: Prose Immediate &amp; PEF</t>
  </si>
  <si>
    <t>OCTO Women: Prose Immediate &amp; PEF</t>
  </si>
  <si>
    <t>ELSA_Men: Word List Delay &amp; FEV1</t>
  </si>
  <si>
    <t>ELSA_Women: Word List Delay &amp; FEV1</t>
  </si>
  <si>
    <t>ELSA_Men: Word List Immediate &amp; FEV1</t>
  </si>
  <si>
    <t>ELSA_Women: Word List Immediate &amp; FEV1</t>
  </si>
  <si>
    <t>MAP Men: Boston Story Delay &amp; FEV1</t>
  </si>
  <si>
    <t>MAP Women: Boston Story Delay &amp; FEV1</t>
  </si>
  <si>
    <t>MAP Men: Boston Story Immediate &amp; FEV1</t>
  </si>
  <si>
    <t>MAP Women: Boston Story Immediate &amp; FEV1</t>
  </si>
  <si>
    <t>MAP Men: Logical Memory Delay &amp; FEV1</t>
  </si>
  <si>
    <t>MAP Women: Logical Memory Delay &amp; FEV1</t>
  </si>
  <si>
    <t>MAP Men: Logical Memory Immediate &amp; FEV1</t>
  </si>
  <si>
    <t>MAP Women: Logical Memory Immediate &amp; FEV1</t>
  </si>
  <si>
    <t>MAP Men: Word List Delay &amp; FEV1</t>
  </si>
  <si>
    <t>MAP Women: Word List Delay &amp; FEV1</t>
  </si>
  <si>
    <t>MAP Men: Word List Immediate &amp; FEV1</t>
  </si>
  <si>
    <t>MAP Women: Word List Immediate &amp; FEV1</t>
  </si>
  <si>
    <t>MAP Men: Word List Recognition &amp; FEV1</t>
  </si>
  <si>
    <t>MAP Women: Word List Recognition &amp; FEV1</t>
  </si>
  <si>
    <t>NAS Men: Word List Delay &amp; FEV1</t>
  </si>
  <si>
    <t>NAS Men: Word List Immediate &amp; FEV1</t>
  </si>
  <si>
    <t>SATSA Men: Figure Memory &amp; FEV1</t>
  </si>
  <si>
    <t>SATSA Women: Figure Memory &amp; FEV1</t>
  </si>
  <si>
    <t>TOTAL OVERALL</t>
  </si>
  <si>
    <t>wald</t>
  </si>
  <si>
    <t>est</t>
  </si>
  <si>
    <t>se</t>
  </si>
  <si>
    <r>
      <t>FEV</t>
    </r>
    <r>
      <rPr>
        <vertAlign val="subscript"/>
        <sz val="10"/>
        <color theme="0"/>
        <rFont val="Times New Roman"/>
      </rPr>
      <t>1</t>
    </r>
  </si>
  <si>
    <t>Order of Computation: Color Guide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</si>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</sst>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7" formatCode="0.000000"/>
    <numFmt numFmtId="168" formatCode="0.000000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9"/>
      <color theme="1"/>
      <name val="Times New Roman"/>
    </font>
    <font>
      <b/>
      <i/>
      <sz val="9"/>
      <color theme="1"/>
      <name val="Times New Roman"/>
    </font>
    <font>
      <b/>
      <sz val="10"/>
      <color theme="1"/>
      <name val="Times New Roman"/>
    </font>
    <font>
      <b/>
      <i/>
      <sz val="10"/>
      <color theme="1"/>
      <name val="Times New Roman"/>
    </font>
    <font>
      <sz val="10"/>
      <color theme="1"/>
      <name val="Times New Roman"/>
    </font>
    <font>
      <vertAlign val="subscript"/>
      <sz val="10"/>
      <color theme="1"/>
      <name val="Times New Roman"/>
    </font>
    <font>
      <sz val="9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b/>
      <u/>
      <sz val="12"/>
      <color theme="1"/>
      <name val="Times New Roman"/>
    </font>
    <font>
      <sz val="8"/>
      <name val="Calibri"/>
      <family val="2"/>
      <scheme val="minor"/>
    </font>
    <font>
      <b/>
      <u/>
      <sz val="10"/>
      <color theme="1"/>
      <name val="Times New Roman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Times New Roman"/>
    </font>
    <font>
      <sz val="12"/>
      <color theme="0"/>
      <name val="Times New Roman"/>
    </font>
    <font>
      <sz val="12"/>
      <color theme="0"/>
      <name val="Calibri"/>
      <family val="2"/>
      <scheme val="minor"/>
    </font>
    <font>
      <b/>
      <sz val="12"/>
      <color theme="0"/>
      <name val="Times New Roman"/>
    </font>
    <font>
      <b/>
      <sz val="11"/>
      <color theme="0"/>
      <name val="Calibri"/>
      <scheme val="minor"/>
    </font>
    <font>
      <vertAlign val="subscript"/>
      <sz val="10"/>
      <color theme="0"/>
      <name val="Times New Roman"/>
    </font>
    <font>
      <sz val="14"/>
      <color theme="1"/>
      <name val="Times New Roman"/>
      <family val="1"/>
    </font>
    <font>
      <sz val="10"/>
      <color theme="0"/>
      <name val="Times New Roman"/>
      <family val="1"/>
    </font>
    <font>
      <sz val="12"/>
      <color theme="0"/>
      <name val="Times New Roman"/>
      <family val="1"/>
    </font>
    <font>
      <sz val="14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66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NumberFormat="1" applyFont="1" applyAlignment="1">
      <alignment horizontal="righ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49" fontId="10" fillId="0" borderId="0" xfId="0" applyNumberFormat="1" applyFont="1"/>
    <xf numFmtId="0" fontId="10" fillId="0" borderId="0" xfId="0" applyFont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49" fontId="10" fillId="0" borderId="0" xfId="0" applyNumberFormat="1" applyFont="1" applyBorder="1"/>
    <xf numFmtId="0" fontId="10" fillId="0" borderId="0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/>
    <xf numFmtId="0" fontId="10" fillId="0" borderId="1" xfId="0" applyFont="1" applyBorder="1"/>
    <xf numFmtId="0" fontId="3" fillId="0" borderId="1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10" fillId="0" borderId="0" xfId="0" applyFont="1" applyBorder="1" applyAlignment="1">
      <alignment horizontal="left" vertical="center" indent="2"/>
    </xf>
    <xf numFmtId="0" fontId="10" fillId="0" borderId="1" xfId="0" applyFont="1" applyBorder="1" applyAlignment="1">
      <alignment horizontal="left" vertical="center" indent="2"/>
    </xf>
    <xf numFmtId="0" fontId="3" fillId="0" borderId="0" xfId="0" applyFont="1" applyAlignment="1">
      <alignment horizontal="center"/>
    </xf>
    <xf numFmtId="0" fontId="0" fillId="0" borderId="0" xfId="0" applyNumberFormat="1"/>
    <xf numFmtId="2" fontId="3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13" fillId="0" borderId="0" xfId="0" applyNumberFormat="1" applyFont="1"/>
    <xf numFmtId="0" fontId="3" fillId="0" borderId="0" xfId="1" applyNumberFormat="1" applyFont="1"/>
    <xf numFmtId="0" fontId="14" fillId="0" borderId="0" xfId="1" applyNumberFormat="1" applyFont="1"/>
    <xf numFmtId="0" fontId="13" fillId="0" borderId="0" xfId="0" applyFont="1"/>
    <xf numFmtId="10" fontId="0" fillId="0" borderId="0" xfId="1" applyNumberFormat="1" applyFont="1"/>
    <xf numFmtId="164" fontId="0" fillId="0" borderId="0" xfId="0" applyNumberFormat="1" applyFont="1" applyAlignment="1">
      <alignment horizontal="right"/>
    </xf>
    <xf numFmtId="2" fontId="0" fillId="0" borderId="0" xfId="1" applyNumberFormat="1" applyFont="1"/>
    <xf numFmtId="1" fontId="3" fillId="0" borderId="0" xfId="0" applyNumberFormat="1" applyFont="1"/>
    <xf numFmtId="11" fontId="3" fillId="0" borderId="0" xfId="0" applyNumberFormat="1" applyFont="1"/>
    <xf numFmtId="10" fontId="3" fillId="0" borderId="0" xfId="0" applyNumberFormat="1" applyFont="1"/>
    <xf numFmtId="0" fontId="15" fillId="0" borderId="0" xfId="0" applyFont="1"/>
    <xf numFmtId="0" fontId="15" fillId="0" borderId="0" xfId="0" applyFont="1" applyBorder="1" applyAlignment="1"/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" xfId="0" applyFont="1" applyBorder="1"/>
    <xf numFmtId="11" fontId="0" fillId="0" borderId="0" xfId="0" applyNumberFormat="1"/>
    <xf numFmtId="2" fontId="8" fillId="0" borderId="0" xfId="0" applyNumberFormat="1" applyFont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2" fontId="0" fillId="0" borderId="0" xfId="0" applyNumberFormat="1" applyFont="1"/>
    <xf numFmtId="2" fontId="14" fillId="0" borderId="0" xfId="1" applyNumberFormat="1" applyFont="1"/>
    <xf numFmtId="49" fontId="3" fillId="0" borderId="0" xfId="0" applyNumberFormat="1" applyFont="1"/>
    <xf numFmtId="2" fontId="13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0" xfId="0" applyFont="1" applyAlignment="1"/>
    <xf numFmtId="0" fontId="0" fillId="0" borderId="0" xfId="0" applyNumberFormat="1" applyFont="1"/>
    <xf numFmtId="1" fontId="0" fillId="0" borderId="0" xfId="0" applyNumberFormat="1"/>
    <xf numFmtId="0" fontId="4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0" xfId="0" applyNumberFormat="1" applyFont="1"/>
    <xf numFmtId="0" fontId="10" fillId="0" borderId="0" xfId="0" applyNumberFormat="1" applyFont="1" applyBorder="1"/>
    <xf numFmtId="0" fontId="10" fillId="0" borderId="1" xfId="0" applyNumberFormat="1" applyFont="1" applyBorder="1"/>
    <xf numFmtId="0" fontId="3" fillId="0" borderId="0" xfId="0" applyNumberFormat="1" applyFont="1"/>
    <xf numFmtId="0" fontId="16" fillId="0" borderId="0" xfId="0" applyFont="1" applyFill="1"/>
    <xf numFmtId="0" fontId="6" fillId="0" borderId="0" xfId="0" applyFont="1" applyFill="1"/>
    <xf numFmtId="0" fontId="8" fillId="0" borderId="0" xfId="0" applyFont="1" applyFill="1" applyAlignment="1">
      <alignment horizontal="left" indent="1"/>
    </xf>
    <xf numFmtId="0" fontId="8" fillId="0" borderId="0" xfId="0" applyFont="1" applyFill="1"/>
    <xf numFmtId="0" fontId="3" fillId="0" borderId="0" xfId="0" applyFont="1" applyFill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0" xfId="0" applyFont="1" applyFill="1"/>
    <xf numFmtId="49" fontId="3" fillId="2" borderId="0" xfId="0" applyNumberFormat="1" applyFont="1" applyFill="1"/>
    <xf numFmtId="0" fontId="8" fillId="3" borderId="0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right" vertical="center" wrapText="1"/>
    </xf>
    <xf numFmtId="49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vertical="center" wrapText="1"/>
    </xf>
    <xf numFmtId="49" fontId="22" fillId="3" borderId="0" xfId="0" applyNumberFormat="1" applyFont="1" applyFill="1" applyAlignment="1">
      <alignment horizontal="right" vertical="center" wrapText="1"/>
    </xf>
    <xf numFmtId="0" fontId="23" fillId="3" borderId="0" xfId="0" applyFont="1" applyFill="1"/>
    <xf numFmtId="2" fontId="23" fillId="3" borderId="0" xfId="0" applyNumberFormat="1" applyFont="1" applyFill="1"/>
    <xf numFmtId="0" fontId="24" fillId="3" borderId="0" xfId="0" applyNumberFormat="1" applyFont="1" applyFill="1"/>
    <xf numFmtId="0" fontId="25" fillId="3" borderId="0" xfId="0" applyFont="1" applyFill="1"/>
    <xf numFmtId="2" fontId="22" fillId="3" borderId="0" xfId="0" applyNumberFormat="1" applyFont="1" applyFill="1" applyAlignment="1">
      <alignment horizontal="right" vertical="center" wrapText="1"/>
    </xf>
    <xf numFmtId="0" fontId="22" fillId="3" borderId="0" xfId="0" applyFont="1" applyFill="1" applyAlignment="1">
      <alignment horizontal="center"/>
    </xf>
    <xf numFmtId="49" fontId="22" fillId="3" borderId="0" xfId="0" applyNumberFormat="1" applyFont="1" applyFill="1" applyAlignment="1">
      <alignment horizontal="center"/>
    </xf>
    <xf numFmtId="2" fontId="24" fillId="3" borderId="0" xfId="0" applyNumberFormat="1" applyFont="1" applyFill="1"/>
    <xf numFmtId="164" fontId="24" fillId="3" borderId="0" xfId="0" applyNumberFormat="1" applyFont="1" applyFill="1"/>
    <xf numFmtId="0" fontId="26" fillId="3" borderId="0" xfId="0" applyNumberFormat="1" applyFont="1" applyFill="1"/>
    <xf numFmtId="0" fontId="23" fillId="3" borderId="0" xfId="1" applyNumberFormat="1" applyFont="1" applyFill="1"/>
    <xf numFmtId="1" fontId="23" fillId="3" borderId="0" xfId="0" applyNumberFormat="1" applyFont="1" applyFill="1"/>
    <xf numFmtId="11" fontId="23" fillId="3" borderId="0" xfId="0" applyNumberFormat="1" applyFont="1" applyFill="1"/>
    <xf numFmtId="0" fontId="22" fillId="3" borderId="0" xfId="0" applyFont="1" applyFill="1" applyBorder="1" applyAlignment="1">
      <alignment horizontal="center" vertical="center" wrapText="1"/>
    </xf>
    <xf numFmtId="2" fontId="24" fillId="3" borderId="0" xfId="1" applyNumberFormat="1" applyFont="1" applyFill="1"/>
    <xf numFmtId="2" fontId="19" fillId="3" borderId="0" xfId="1" applyNumberFormat="1" applyFont="1" applyFill="1"/>
    <xf numFmtId="0" fontId="19" fillId="3" borderId="0" xfId="1" applyNumberFormat="1" applyFont="1" applyFill="1"/>
    <xf numFmtId="0" fontId="24" fillId="3" borderId="0" xfId="0" applyFont="1" applyFill="1"/>
    <xf numFmtId="0" fontId="26" fillId="3" borderId="0" xfId="0" applyFont="1" applyFill="1"/>
    <xf numFmtId="10" fontId="24" fillId="3" borderId="0" xfId="1" applyNumberFormat="1" applyFont="1" applyFill="1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3" fillId="4" borderId="0" xfId="0" applyNumberFormat="1" applyFont="1" applyFill="1"/>
    <xf numFmtId="0" fontId="13" fillId="5" borderId="0" xfId="0" applyNumberFormat="1" applyFont="1" applyFill="1"/>
    <xf numFmtId="0" fontId="13" fillId="0" borderId="0" xfId="0" applyNumberFormat="1" applyFont="1" applyFill="1"/>
    <xf numFmtId="0" fontId="13" fillId="6" borderId="0" xfId="0" applyNumberFormat="1" applyFont="1" applyFill="1"/>
    <xf numFmtId="0" fontId="0" fillId="7" borderId="0" xfId="0" applyNumberFormat="1" applyFill="1"/>
    <xf numFmtId="2" fontId="0" fillId="7" borderId="0" xfId="0" applyNumberFormat="1" applyFont="1" applyFill="1"/>
    <xf numFmtId="2" fontId="13" fillId="4" borderId="0" xfId="0" applyNumberFormat="1" applyFont="1" applyFill="1"/>
    <xf numFmtId="0" fontId="13" fillId="6" borderId="0" xfId="0" applyFont="1" applyFill="1" applyAlignment="1">
      <alignment horizontal="left"/>
    </xf>
    <xf numFmtId="0" fontId="0" fillId="6" borderId="0" xfId="0" applyFill="1"/>
    <xf numFmtId="0" fontId="13" fillId="7" borderId="0" xfId="0" applyNumberFormat="1" applyFont="1" applyFill="1"/>
    <xf numFmtId="164" fontId="0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 applyFill="1"/>
    <xf numFmtId="0" fontId="8" fillId="8" borderId="0" xfId="0" applyFont="1" applyFill="1" applyAlignment="1">
      <alignment horizontal="center" vertical="center" wrapText="1"/>
    </xf>
    <xf numFmtId="2" fontId="8" fillId="8" borderId="0" xfId="0" applyNumberFormat="1" applyFont="1" applyFill="1" applyAlignment="1">
      <alignment horizontal="right" vertical="center" wrapText="1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vertical="center" wrapText="1"/>
    </xf>
    <xf numFmtId="0" fontId="8" fillId="8" borderId="0" xfId="0" applyFont="1" applyFill="1" applyAlignment="1">
      <alignment horizontal="right" vertical="center" wrapText="1"/>
    </xf>
    <xf numFmtId="49" fontId="8" fillId="8" borderId="0" xfId="0" applyNumberFormat="1" applyFont="1" applyFill="1" applyAlignment="1">
      <alignment horizontal="center" vertical="center" wrapText="1"/>
    </xf>
    <xf numFmtId="0" fontId="3" fillId="8" borderId="0" xfId="0" applyFont="1" applyFill="1"/>
    <xf numFmtId="2" fontId="3" fillId="8" borderId="0" xfId="0" applyNumberFormat="1" applyFont="1" applyFill="1"/>
    <xf numFmtId="0" fontId="0" fillId="8" borderId="0" xfId="0" applyNumberFormat="1" applyFill="1"/>
    <xf numFmtId="0" fontId="28" fillId="0" borderId="0" xfId="0" applyFont="1" applyFill="1" applyAlignment="1">
      <alignment horizontal="center" vertical="center"/>
    </xf>
    <xf numFmtId="0" fontId="29" fillId="9" borderId="2" xfId="0" applyFont="1" applyFill="1" applyBorder="1" applyAlignment="1">
      <alignment horizontal="center" vertical="center" wrapText="1"/>
    </xf>
    <xf numFmtId="0" fontId="30" fillId="9" borderId="2" xfId="0" applyFont="1" applyFill="1" applyBorder="1"/>
    <xf numFmtId="0" fontId="30" fillId="9" borderId="3" xfId="0" applyFont="1" applyFill="1" applyBorder="1"/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28" fillId="7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right" vertical="center" wrapText="1"/>
    </xf>
    <xf numFmtId="167" fontId="3" fillId="0" borderId="0" xfId="0" applyNumberFormat="1" applyFont="1"/>
    <xf numFmtId="167" fontId="0" fillId="0" borderId="0" xfId="0" applyNumberFormat="1" applyFont="1"/>
    <xf numFmtId="0" fontId="30" fillId="9" borderId="2" xfId="0" applyFont="1" applyFill="1" applyBorder="1" applyAlignment="1">
      <alignment vertical="center"/>
    </xf>
    <xf numFmtId="168" fontId="0" fillId="4" borderId="0" xfId="1" applyNumberFormat="1" applyFont="1" applyFill="1"/>
    <xf numFmtId="167" fontId="14" fillId="4" borderId="0" xfId="1" applyNumberFormat="1" applyFont="1" applyFill="1"/>
    <xf numFmtId="0" fontId="0" fillId="2" borderId="0" xfId="0" applyNumberFormat="1" applyFill="1"/>
    <xf numFmtId="2" fontId="13" fillId="7" borderId="0" xfId="0" applyNumberFormat="1" applyFont="1" applyFill="1"/>
    <xf numFmtId="1" fontId="3" fillId="7" borderId="0" xfId="0" applyNumberFormat="1" applyFont="1" applyFill="1" applyAlignment="1">
      <alignment horizontal="left"/>
    </xf>
    <xf numFmtId="164" fontId="3" fillId="7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0" fillId="4" borderId="0" xfId="0" applyFill="1"/>
    <xf numFmtId="0" fontId="30" fillId="10" borderId="0" xfId="1" applyNumberFormat="1" applyFont="1" applyFill="1"/>
    <xf numFmtId="0" fontId="28" fillId="4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center" vertical="center"/>
    </xf>
    <xf numFmtId="168" fontId="0" fillId="6" borderId="0" xfId="1" applyNumberFormat="1" applyFont="1" applyFill="1"/>
    <xf numFmtId="167" fontId="14" fillId="6" borderId="0" xfId="1" applyNumberFormat="1" applyFont="1" applyFill="1"/>
    <xf numFmtId="0" fontId="28" fillId="0" borderId="5" xfId="0" applyFont="1" applyFill="1" applyBorder="1" applyAlignment="1">
      <alignment horizontal="right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31" fillId="10" borderId="0" xfId="0" applyFont="1" applyFill="1" applyAlignment="1">
      <alignment horizontal="center"/>
    </xf>
  </cellXfs>
  <cellStyles count="966">
    <cellStyle name="Followed Hyperlink" xfId="201" builtinId="9" hidden="1"/>
    <cellStyle name="Followed Hyperlink" xfId="209" builtinId="9" hidden="1"/>
    <cellStyle name="Followed Hyperlink" xfId="217" builtinId="9" hidden="1"/>
    <cellStyle name="Followed Hyperlink" xfId="225" builtinId="9" hidden="1"/>
    <cellStyle name="Followed Hyperlink" xfId="233" builtinId="9" hidden="1"/>
    <cellStyle name="Followed Hyperlink" xfId="241" builtinId="9" hidden="1"/>
    <cellStyle name="Followed Hyperlink" xfId="249" builtinId="9" hidden="1"/>
    <cellStyle name="Followed Hyperlink" xfId="257" builtinId="9" hidden="1"/>
    <cellStyle name="Followed Hyperlink" xfId="265" builtinId="9" hidden="1"/>
    <cellStyle name="Followed Hyperlink" xfId="273" builtinId="9" hidden="1"/>
    <cellStyle name="Followed Hyperlink" xfId="281" builtinId="9" hidden="1"/>
    <cellStyle name="Followed Hyperlink" xfId="289" builtinId="9" hidden="1"/>
    <cellStyle name="Followed Hyperlink" xfId="297" builtinId="9" hidden="1"/>
    <cellStyle name="Followed Hyperlink" xfId="305" builtinId="9" hidden="1"/>
    <cellStyle name="Followed Hyperlink" xfId="313" builtinId="9" hidden="1"/>
    <cellStyle name="Followed Hyperlink" xfId="321" builtinId="9" hidden="1"/>
    <cellStyle name="Followed Hyperlink" xfId="329" builtinId="9" hidden="1"/>
    <cellStyle name="Followed Hyperlink" xfId="337" builtinId="9" hidden="1"/>
    <cellStyle name="Followed Hyperlink" xfId="345" builtinId="9" hidden="1"/>
    <cellStyle name="Followed Hyperlink" xfId="353" builtinId="9" hidden="1"/>
    <cellStyle name="Followed Hyperlink" xfId="361" builtinId="9" hidden="1"/>
    <cellStyle name="Followed Hyperlink" xfId="369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25" builtinId="9" hidden="1"/>
    <cellStyle name="Followed Hyperlink" xfId="29" builtinId="9" hidden="1"/>
    <cellStyle name="Followed Hyperlink" xfId="35" builtinId="9" hidden="1"/>
    <cellStyle name="Followed Hyperlink" xfId="41" builtinId="9" hidden="1"/>
    <cellStyle name="Followed Hyperlink" xfId="45" builtinId="9" hidden="1"/>
    <cellStyle name="Followed Hyperlink" xfId="51" builtinId="9" hidden="1"/>
    <cellStyle name="Followed Hyperlink" xfId="57" builtinId="9" hidden="1"/>
    <cellStyle name="Followed Hyperlink" xfId="61" builtinId="9" hidden="1"/>
    <cellStyle name="Followed Hyperlink" xfId="63" builtinId="9" hidden="1"/>
    <cellStyle name="Followed Hyperlink" xfId="47" builtinId="9" hidden="1"/>
    <cellStyle name="Followed Hyperlink" xfId="31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5" builtinId="9" hidden="1"/>
    <cellStyle name="Followed Hyperlink" xfId="19" builtinId="9" hidden="1"/>
    <cellStyle name="Followed Hyperlink" xfId="13" builtinId="9" hidden="1"/>
    <cellStyle name="Followed Hyperlink" xfId="23" builtinId="9" hidden="1"/>
    <cellStyle name="Followed Hyperlink" xfId="39" builtinId="9" hidden="1"/>
    <cellStyle name="Followed Hyperlink" xfId="55" builtinId="9" hidden="1"/>
    <cellStyle name="Followed Hyperlink" xfId="65" builtinId="9" hidden="1"/>
    <cellStyle name="Followed Hyperlink" xfId="59" builtinId="9" hidden="1"/>
    <cellStyle name="Followed Hyperlink" xfId="53" builtinId="9" hidden="1"/>
    <cellStyle name="Followed Hyperlink" xfId="49" builtinId="9" hidden="1"/>
    <cellStyle name="Followed Hyperlink" xfId="43" builtinId="9" hidden="1"/>
    <cellStyle name="Followed Hyperlink" xfId="37" builtinId="9" hidden="1"/>
    <cellStyle name="Followed Hyperlink" xfId="33" builtinId="9" hidden="1"/>
    <cellStyle name="Followed Hyperlink" xfId="27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65" builtinId="9" hidden="1"/>
    <cellStyle name="Followed Hyperlink" xfId="357" builtinId="9" hidden="1"/>
    <cellStyle name="Followed Hyperlink" xfId="349" builtinId="9" hidden="1"/>
    <cellStyle name="Followed Hyperlink" xfId="341" builtinId="9" hidden="1"/>
    <cellStyle name="Followed Hyperlink" xfId="333" builtinId="9" hidden="1"/>
    <cellStyle name="Followed Hyperlink" xfId="325" builtinId="9" hidden="1"/>
    <cellStyle name="Followed Hyperlink" xfId="317" builtinId="9" hidden="1"/>
    <cellStyle name="Followed Hyperlink" xfId="309" builtinId="9" hidden="1"/>
    <cellStyle name="Followed Hyperlink" xfId="301" builtinId="9" hidden="1"/>
    <cellStyle name="Followed Hyperlink" xfId="293" builtinId="9" hidden="1"/>
    <cellStyle name="Followed Hyperlink" xfId="285" builtinId="9" hidden="1"/>
    <cellStyle name="Followed Hyperlink" xfId="277" builtinId="9" hidden="1"/>
    <cellStyle name="Followed Hyperlink" xfId="269" builtinId="9" hidden="1"/>
    <cellStyle name="Followed Hyperlink" xfId="261" builtinId="9" hidden="1"/>
    <cellStyle name="Followed Hyperlink" xfId="253" builtinId="9" hidden="1"/>
    <cellStyle name="Followed Hyperlink" xfId="245" builtinId="9" hidden="1"/>
    <cellStyle name="Followed Hyperlink" xfId="237" builtinId="9" hidden="1"/>
    <cellStyle name="Followed Hyperlink" xfId="229" builtinId="9" hidden="1"/>
    <cellStyle name="Followed Hyperlink" xfId="221" builtinId="9" hidden="1"/>
    <cellStyle name="Followed Hyperlink" xfId="213" builtinId="9" hidden="1"/>
    <cellStyle name="Followed Hyperlink" xfId="205" builtinId="9" hidden="1"/>
    <cellStyle name="Followed Hyperlink" xfId="197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93" builtinId="9" hidden="1"/>
    <cellStyle name="Followed Hyperlink" xfId="189" builtinId="9" hidden="1"/>
    <cellStyle name="Followed Hyperlink" xfId="173" builtinId="9" hidden="1"/>
    <cellStyle name="Followed Hyperlink" xfId="157" builtinId="9" hidden="1"/>
    <cellStyle name="Followed Hyperlink" xfId="141" builtinId="9" hidden="1"/>
    <cellStyle name="Followed Hyperlink" xfId="125" builtinId="9" hidden="1"/>
    <cellStyle name="Followed Hyperlink" xfId="109" builtinId="9" hidden="1"/>
    <cellStyle name="Followed Hyperlink" xfId="85" builtinId="9" hidden="1"/>
    <cellStyle name="Followed Hyperlink" xfId="89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93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Hyperlink" xfId="348" builtinId="8" hidden="1"/>
    <cellStyle name="Hyperlink" xfId="350" builtinId="8" hidden="1"/>
    <cellStyle name="Hyperlink" xfId="356" builtinId="8" hidden="1"/>
    <cellStyle name="Hyperlink" xfId="358" builtinId="8" hidden="1"/>
    <cellStyle name="Hyperlink" xfId="362" builtinId="8" hidden="1"/>
    <cellStyle name="Hyperlink" xfId="366" builtinId="8" hidden="1"/>
    <cellStyle name="Hyperlink" xfId="370" builtinId="8" hidden="1"/>
    <cellStyle name="Hyperlink" xfId="368" builtinId="8" hidden="1"/>
    <cellStyle name="Hyperlink" xfId="352" builtinId="8" hidden="1"/>
    <cellStyle name="Hyperlink" xfId="344" builtinId="8" hidden="1"/>
    <cellStyle name="Hyperlink" xfId="336" builtinId="8" hidden="1"/>
    <cellStyle name="Hyperlink" xfId="320" builtinId="8" hidden="1"/>
    <cellStyle name="Hyperlink" xfId="312" builtinId="8" hidden="1"/>
    <cellStyle name="Hyperlink" xfId="304" builtinId="8" hidden="1"/>
    <cellStyle name="Hyperlink" xfId="288" builtinId="8" hidden="1"/>
    <cellStyle name="Hyperlink" xfId="280" builtinId="8" hidden="1"/>
    <cellStyle name="Hyperlink" xfId="272" builtinId="8" hidden="1"/>
    <cellStyle name="Hyperlink" xfId="256" builtinId="8" hidden="1"/>
    <cellStyle name="Hyperlink" xfId="248" builtinId="8" hidden="1"/>
    <cellStyle name="Hyperlink" xfId="240" builtinId="8" hidden="1"/>
    <cellStyle name="Hyperlink" xfId="224" builtinId="8" hidden="1"/>
    <cellStyle name="Hyperlink" xfId="216" builtinId="8" hidden="1"/>
    <cellStyle name="Hyperlink" xfId="208" builtinId="8" hidden="1"/>
    <cellStyle name="Hyperlink" xfId="192" builtinId="8" hidden="1"/>
    <cellStyle name="Hyperlink" xfId="184" builtinId="8" hidden="1"/>
    <cellStyle name="Hyperlink" xfId="176" builtinId="8" hidden="1"/>
    <cellStyle name="Hyperlink" xfId="160" builtinId="8" hidden="1"/>
    <cellStyle name="Hyperlink" xfId="152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2" builtinId="8" hidden="1"/>
    <cellStyle name="Hyperlink" xfId="84" builtinId="8" hidden="1"/>
    <cellStyle name="Hyperlink" xfId="88" builtinId="8" hidden="1"/>
    <cellStyle name="Hyperlink" xfId="90" builtinId="8" hidden="1"/>
    <cellStyle name="Hyperlink" xfId="92" builtinId="8" hidden="1"/>
    <cellStyle name="Hyperlink" xfId="98" builtinId="8" hidden="1"/>
    <cellStyle name="Hyperlink" xfId="100" builtinId="8" hidden="1"/>
    <cellStyle name="Hyperlink" xfId="102" builtinId="8" hidden="1"/>
    <cellStyle name="Hyperlink" xfId="106" builtinId="8" hidden="1"/>
    <cellStyle name="Hyperlink" xfId="108" builtinId="8" hidden="1"/>
    <cellStyle name="Hyperlink" xfId="110" builtinId="8" hidden="1"/>
    <cellStyle name="Hyperlink" xfId="116" builtinId="8" hidden="1"/>
    <cellStyle name="Hyperlink" xfId="118" builtinId="8" hidden="1"/>
    <cellStyle name="Hyperlink" xfId="120" builtinId="8" hidden="1"/>
    <cellStyle name="Hyperlink" xfId="124" builtinId="8" hidden="1"/>
    <cellStyle name="Hyperlink" xfId="126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6" builtinId="8" hidden="1"/>
    <cellStyle name="Hyperlink" xfId="148" builtinId="8" hidden="1"/>
    <cellStyle name="Hyperlink" xfId="128" builtinId="8" hidden="1"/>
    <cellStyle name="Hyperlink" xfId="112" builtinId="8" hidden="1"/>
    <cellStyle name="Hyperlink" xfId="96" builtinId="8" hidden="1"/>
    <cellStyle name="Hyperlink" xfId="64" builtinId="8" hidden="1"/>
    <cellStyle name="Hyperlink" xfId="30" builtinId="8" hidden="1"/>
    <cellStyle name="Hyperlink" xfId="34" builtinId="8" hidden="1"/>
    <cellStyle name="Hyperlink" xfId="38" builtinId="8" hidden="1"/>
    <cellStyle name="Hyperlink" xfId="40" builtinId="8" hidden="1"/>
    <cellStyle name="Hyperlink" xfId="42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2" builtinId="8" hidden="1"/>
    <cellStyle name="Hyperlink" xfId="32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8" builtinId="8" hidden="1"/>
    <cellStyle name="Hyperlink" xfId="8" builtinId="8" hidden="1"/>
    <cellStyle name="Hyperlink" xfId="10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2" builtinId="8" hidden="1"/>
    <cellStyle name="Hyperlink" xfId="26" builtinId="8" hidden="1"/>
    <cellStyle name="Hyperlink" xfId="18" builtinId="8" hidden="1"/>
    <cellStyle name="Hyperlink" xfId="60" builtinId="8" hidden="1"/>
    <cellStyle name="Hyperlink" xfId="52" builtinId="8" hidden="1"/>
    <cellStyle name="Hyperlink" xfId="44" builtinId="8" hidden="1"/>
    <cellStyle name="Hyperlink" xfId="36" builtinId="8" hidden="1"/>
    <cellStyle name="Hyperlink" xfId="80" builtinId="8" hidden="1"/>
    <cellStyle name="Hyperlink" xfId="144" builtinId="8" hidden="1"/>
    <cellStyle name="Hyperlink" xfId="140" builtinId="8" hidden="1"/>
    <cellStyle name="Hyperlink" xfId="132" builtinId="8" hidden="1"/>
    <cellStyle name="Hyperlink" xfId="122" builtinId="8" hidden="1"/>
    <cellStyle name="Hyperlink" xfId="114" builtinId="8" hidden="1"/>
    <cellStyle name="Hyperlink" xfId="104" builtinId="8" hidden="1"/>
    <cellStyle name="Hyperlink" xfId="94" builtinId="8" hidden="1"/>
    <cellStyle name="Hyperlink" xfId="86" builtinId="8" hidden="1"/>
    <cellStyle name="Hyperlink" xfId="76" builtinId="8" hidden="1"/>
    <cellStyle name="Hyperlink" xfId="68" builtinId="8" hidden="1"/>
    <cellStyle name="Hyperlink" xfId="168" builtinId="8" hidden="1"/>
    <cellStyle name="Hyperlink" xfId="200" builtinId="8" hidden="1"/>
    <cellStyle name="Hyperlink" xfId="232" builtinId="8" hidden="1"/>
    <cellStyle name="Hyperlink" xfId="264" builtinId="8" hidden="1"/>
    <cellStyle name="Hyperlink" xfId="296" builtinId="8" hidden="1"/>
    <cellStyle name="Hyperlink" xfId="328" builtinId="8" hidden="1"/>
    <cellStyle name="Hyperlink" xfId="360" builtinId="8" hidden="1"/>
    <cellStyle name="Hyperlink" xfId="364" builtinId="8" hidden="1"/>
    <cellStyle name="Hyperlink" xfId="354" builtinId="8" hidden="1"/>
    <cellStyle name="Hyperlink" xfId="234" builtinId="8" hidden="1"/>
    <cellStyle name="Hyperlink" xfId="238" builtinId="8" hidden="1"/>
    <cellStyle name="Hyperlink" xfId="242" builtinId="8" hidden="1"/>
    <cellStyle name="Hyperlink" xfId="244" builtinId="8" hidden="1"/>
    <cellStyle name="Hyperlink" xfId="246" builtinId="8" hidden="1"/>
    <cellStyle name="Hyperlink" xfId="250" builtinId="8" hidden="1"/>
    <cellStyle name="Hyperlink" xfId="252" builtinId="8" hidden="1"/>
    <cellStyle name="Hyperlink" xfId="254" builtinId="8" hidden="1"/>
    <cellStyle name="Hyperlink" xfId="260" builtinId="8" hidden="1"/>
    <cellStyle name="Hyperlink" xfId="262" builtinId="8" hidden="1"/>
    <cellStyle name="Hyperlink" xfId="266" builtinId="8" hidden="1"/>
    <cellStyle name="Hyperlink" xfId="268" builtinId="8" hidden="1"/>
    <cellStyle name="Hyperlink" xfId="270" builtinId="8" hidden="1"/>
    <cellStyle name="Hyperlink" xfId="274" builtinId="8" hidden="1"/>
    <cellStyle name="Hyperlink" xfId="276" builtinId="8" hidden="1"/>
    <cellStyle name="Hyperlink" xfId="282" builtinId="8" hidden="1"/>
    <cellStyle name="Hyperlink" xfId="284" builtinId="8" hidden="1"/>
    <cellStyle name="Hyperlink" xfId="286" builtinId="8" hidden="1"/>
    <cellStyle name="Hyperlink" xfId="290" builtinId="8" hidden="1"/>
    <cellStyle name="Hyperlink" xfId="292" builtinId="8" hidden="1"/>
    <cellStyle name="Hyperlink" xfId="294" builtinId="8" hidden="1"/>
    <cellStyle name="Hyperlink" xfId="298" builtinId="8" hidden="1"/>
    <cellStyle name="Hyperlink" xfId="302" builtinId="8" hidden="1"/>
    <cellStyle name="Hyperlink" xfId="306" builtinId="8" hidden="1"/>
    <cellStyle name="Hyperlink" xfId="308" builtinId="8" hidden="1"/>
    <cellStyle name="Hyperlink" xfId="310" builtinId="8" hidden="1"/>
    <cellStyle name="Hyperlink" xfId="314" builtinId="8" hidden="1"/>
    <cellStyle name="Hyperlink" xfId="316" builtinId="8" hidden="1"/>
    <cellStyle name="Hyperlink" xfId="318" builtinId="8" hidden="1"/>
    <cellStyle name="Hyperlink" xfId="324" builtinId="8" hidden="1"/>
    <cellStyle name="Hyperlink" xfId="326" builtinId="8" hidden="1"/>
    <cellStyle name="Hyperlink" xfId="330" builtinId="8" hidden="1"/>
    <cellStyle name="Hyperlink" xfId="332" builtinId="8" hidden="1"/>
    <cellStyle name="Hyperlink" xfId="334" builtinId="8" hidden="1"/>
    <cellStyle name="Hyperlink" xfId="338" builtinId="8" hidden="1"/>
    <cellStyle name="Hyperlink" xfId="340" builtinId="8" hidden="1"/>
    <cellStyle name="Hyperlink" xfId="346" builtinId="8" hidden="1"/>
    <cellStyle name="Hyperlink" xfId="342" builtinId="8" hidden="1"/>
    <cellStyle name="Hyperlink" xfId="322" builtinId="8" hidden="1"/>
    <cellStyle name="Hyperlink" xfId="300" builtinId="8" hidden="1"/>
    <cellStyle name="Hyperlink" xfId="278" builtinId="8" hidden="1"/>
    <cellStyle name="Hyperlink" xfId="258" builtinId="8" hidden="1"/>
    <cellStyle name="Hyperlink" xfId="236" builtinId="8" hidden="1"/>
    <cellStyle name="Hyperlink" xfId="188" builtinId="8" hidden="1"/>
    <cellStyle name="Hyperlink" xfId="190" builtinId="8" hidden="1"/>
    <cellStyle name="Hyperlink" xfId="196" builtinId="8" hidden="1"/>
    <cellStyle name="Hyperlink" xfId="198" builtinId="8" hidden="1"/>
    <cellStyle name="Hyperlink" xfId="202" builtinId="8" hidden="1"/>
    <cellStyle name="Hyperlink" xfId="204" builtinId="8" hidden="1"/>
    <cellStyle name="Hyperlink" xfId="206" builtinId="8" hidden="1"/>
    <cellStyle name="Hyperlink" xfId="210" builtinId="8" hidden="1"/>
    <cellStyle name="Hyperlink" xfId="212" builtinId="8" hidden="1"/>
    <cellStyle name="Hyperlink" xfId="214" builtinId="8" hidden="1"/>
    <cellStyle name="Hyperlink" xfId="218" builtinId="8" hidden="1"/>
    <cellStyle name="Hyperlink" xfId="220" builtinId="8" hidden="1"/>
    <cellStyle name="Hyperlink" xfId="222" builtinId="8" hidden="1"/>
    <cellStyle name="Hyperlink" xfId="226" builtinId="8" hidden="1"/>
    <cellStyle name="Hyperlink" xfId="228" builtinId="8" hidden="1"/>
    <cellStyle name="Hyperlink" xfId="230" builtinId="8" hidden="1"/>
    <cellStyle name="Hyperlink" xfId="194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2" builtinId="8" hidden="1"/>
    <cellStyle name="Hyperlink" xfId="18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54" builtinId="8" hidden="1"/>
    <cellStyle name="Hyperlink" xfId="156" builtinId="8" hidden="1"/>
    <cellStyle name="Hyperlink" xfId="15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8467223805602E-2"/>
          <c:y val="3.3081067072498302E-3"/>
          <c:w val="0.86403386309840102"/>
          <c:h val="0.96776157397864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'Calc-I'!$T$3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2"/>
            </c:marker>
            <c:bubble3D val="0"/>
          </c:dPt>
          <c:dPt>
            <c:idx val="1"/>
            <c:marker>
              <c:symbol val="square"/>
              <c:size val="6"/>
            </c:marker>
            <c:bubble3D val="0"/>
          </c:dPt>
          <c:dPt>
            <c:idx val="2"/>
            <c:marker>
              <c:symbol val="square"/>
              <c:size val="3"/>
            </c:marker>
            <c:bubble3D val="0"/>
          </c:dPt>
          <c:dPt>
            <c:idx val="3"/>
            <c:marker>
              <c:symbol val="square"/>
              <c:size val="5"/>
            </c:marker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marker>
              <c:symbol val="square"/>
              <c:size val="10"/>
            </c:marker>
            <c:bubble3D val="0"/>
          </c:dPt>
          <c:dPt>
            <c:idx val="7"/>
            <c:marker>
              <c:symbol val="square"/>
              <c:size val="18"/>
            </c:marker>
            <c:bubble3D val="0"/>
          </c:dPt>
          <c:dPt>
            <c:idx val="8"/>
            <c:marker>
              <c:symbol val="square"/>
              <c:size val="10"/>
            </c:marker>
            <c:bubble3D val="0"/>
          </c:dPt>
          <c:dPt>
            <c:idx val="9"/>
            <c:marker>
              <c:symbol val="square"/>
              <c:size val="18"/>
            </c:marker>
            <c:bubble3D val="0"/>
          </c:dPt>
          <c:dPt>
            <c:idx val="10"/>
            <c:marker>
              <c:symbol val="square"/>
              <c:size val="13"/>
            </c:marker>
            <c:bubble3D val="0"/>
          </c:dPt>
          <c:dPt>
            <c:idx val="11"/>
            <c:marker>
              <c:symbol val="square"/>
              <c:size val="5"/>
            </c:marker>
            <c:bubble3D val="0"/>
          </c:dPt>
          <c:dPt>
            <c:idx val="12"/>
            <c:marker>
              <c:symbol val="square"/>
              <c:size val="2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bubble3D val="0"/>
          </c:dPt>
          <c:dPt>
            <c:idx val="22"/>
            <c:marker>
              <c:symbol val="square"/>
              <c:size val="6"/>
            </c:marker>
            <c:bubble3D val="0"/>
          </c:dPt>
          <c:dPt>
            <c:idx val="23"/>
            <c:marker>
              <c:symbol val="square"/>
              <c:size val="12"/>
            </c:marker>
            <c:bubble3D val="0"/>
          </c:dPt>
          <c:dPt>
            <c:idx val="24"/>
            <c:marker>
              <c:symbol val="square"/>
              <c:size val="12"/>
            </c:marker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marker>
              <c:symbol val="square"/>
              <c:size val="6"/>
            </c:marker>
            <c:bubble3D val="0"/>
          </c:dPt>
          <c:dPt>
            <c:idx val="29"/>
            <c:marker>
              <c:symbol val="square"/>
              <c:size val="7"/>
            </c:marker>
            <c:bubble3D val="0"/>
          </c:dPt>
          <c:dPt>
            <c:idx val="30"/>
            <c:marker>
              <c:symbol val="square"/>
              <c:size val="12"/>
            </c:marker>
            <c:bubble3D val="0"/>
          </c:dPt>
          <c:dPt>
            <c:idx val="31"/>
            <c:marker>
              <c:symbol val="square"/>
              <c:size val="7"/>
            </c:marker>
            <c:bubble3D val="0"/>
          </c:dPt>
          <c:dPt>
            <c:idx val="32"/>
            <c:marker>
              <c:symbol val="square"/>
              <c:size val="12"/>
            </c:marker>
            <c:bubble3D val="0"/>
          </c:dPt>
          <c:dPt>
            <c:idx val="33"/>
            <c:marker>
              <c:symbol val="square"/>
              <c:size val="6"/>
            </c:marker>
            <c:bubble3D val="0"/>
          </c:dPt>
          <c:dPt>
            <c:idx val="34"/>
            <c:marker>
              <c:symbol val="square"/>
              <c:size val="6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bubble3D val="0"/>
          </c:dPt>
          <c:dPt>
            <c:idx val="45"/>
            <c:marker>
              <c:symbol val="square"/>
              <c:size val="3"/>
            </c:marker>
            <c:bubble3D val="0"/>
          </c:dPt>
          <c:dPt>
            <c:idx val="46"/>
            <c:marker>
              <c:symbol val="square"/>
              <c:size val="3"/>
            </c:marker>
            <c:bubble3D val="0"/>
          </c:dPt>
          <c:dPt>
            <c:idx val="47"/>
            <c:marker>
              <c:symbol val="square"/>
              <c:size val="9"/>
            </c:marker>
            <c:bubble3D val="0"/>
          </c:dPt>
          <c:dPt>
            <c:idx val="48"/>
            <c:marker>
              <c:symbol val="square"/>
              <c:size val="11"/>
            </c:marker>
            <c:bubble3D val="0"/>
          </c:dPt>
          <c:dPt>
            <c:idx val="49"/>
            <c:marker>
              <c:symbol val="square"/>
              <c:size val="3"/>
            </c:marker>
            <c:bubble3D val="0"/>
          </c:dPt>
          <c:dPt>
            <c:idx val="50"/>
            <c:marker>
              <c:symbol val="square"/>
              <c:size val="3"/>
            </c:marker>
            <c:bubble3D val="0"/>
          </c:dPt>
          <c:dPt>
            <c:idx val="51"/>
            <c:marker>
              <c:symbol val="square"/>
              <c:size val="3"/>
            </c:marker>
            <c:bubble3D val="0"/>
          </c:dPt>
          <c:dPt>
            <c:idx val="52"/>
            <c:bubble3D val="0"/>
          </c:dPt>
          <c:dPt>
            <c:idx val="53"/>
            <c:marker>
              <c:symbol val="square"/>
              <c:size val="3"/>
            </c:marker>
            <c:bubble3D val="0"/>
          </c:dPt>
          <c:dPt>
            <c:idx val="54"/>
            <c:marker>
              <c:symbol val="square"/>
              <c:size val="9"/>
            </c:marker>
            <c:bubble3D val="0"/>
          </c:dPt>
          <c:dPt>
            <c:idx val="55"/>
            <c:marker>
              <c:symbol val="square"/>
              <c:size val="6"/>
            </c:marker>
            <c:bubble3D val="0"/>
          </c:dPt>
          <c:dPt>
            <c:idx val="56"/>
            <c:marker>
              <c:symbol val="square"/>
              <c:size val="9"/>
            </c:marker>
            <c:bubble3D val="0"/>
          </c:dPt>
          <c:dPt>
            <c:idx val="57"/>
            <c:marker>
              <c:symbol val="square"/>
              <c:size val="5"/>
            </c:marker>
            <c:bubble3D val="0"/>
          </c:dPt>
          <c:dPt>
            <c:idx val="58"/>
            <c:marker>
              <c:symbol val="square"/>
              <c:size val="7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marker>
              <c:symbol val="square"/>
              <c:size val="7"/>
            </c:marker>
            <c:bubble3D val="0"/>
          </c:dPt>
          <c:dPt>
            <c:idx val="61"/>
            <c:bubble3D val="0"/>
          </c:dPt>
          <c:dPt>
            <c:idx val="64"/>
            <c:marker>
              <c:symbol val="square"/>
              <c:size val="3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3"/>
            <c:marker>
              <c:symbol val="square"/>
              <c:size val="5"/>
            </c:marker>
            <c:bubble3D val="0"/>
          </c:dPt>
          <c:dPt>
            <c:idx val="74"/>
            <c:marker>
              <c:symbol val="square"/>
              <c:size val="5"/>
            </c:marker>
            <c:bubble3D val="0"/>
          </c:dPt>
          <c:dPt>
            <c:idx val="75"/>
            <c:marker>
              <c:symbol val="square"/>
              <c:size val="9"/>
            </c:marker>
            <c:bubble3D val="0"/>
          </c:dPt>
          <c:dPt>
            <c:idx val="76"/>
            <c:marker>
              <c:symbol val="square"/>
              <c:size val="9"/>
            </c:marker>
            <c:bubble3D val="0"/>
          </c:dPt>
          <c:dPt>
            <c:idx val="77"/>
            <c:bubble3D val="0"/>
          </c:dPt>
          <c:dPt>
            <c:idx val="78"/>
            <c:marker>
              <c:symbol val="square"/>
              <c:size val="6"/>
            </c:marker>
            <c:bubble3D val="0"/>
          </c:dPt>
          <c:dPt>
            <c:idx val="79"/>
            <c:bubble3D val="0"/>
          </c:dPt>
          <c:dPt>
            <c:idx val="80"/>
            <c:bubble3D val="0"/>
          </c:dPt>
          <c:dPt>
            <c:idx val="81"/>
            <c:marker>
              <c:symbol val="square"/>
              <c:size val="6"/>
            </c:marker>
            <c:bubble3D val="0"/>
          </c:dPt>
          <c:dPt>
            <c:idx val="82"/>
            <c:marker>
              <c:symbol val="square"/>
              <c:size val="6"/>
            </c:marker>
            <c:bubble3D val="0"/>
          </c:dPt>
          <c:dPt>
            <c:idx val="83"/>
            <c:marker>
              <c:symbol val="square"/>
              <c:size val="8"/>
            </c:marker>
            <c:bubble3D val="0"/>
          </c:dPt>
          <c:dPt>
            <c:idx val="84"/>
            <c:marker>
              <c:symbol val="square"/>
              <c:size val="8"/>
            </c:marker>
            <c:bubble3D val="0"/>
          </c:dPt>
          <c:dPt>
            <c:idx val="85"/>
            <c:marker>
              <c:symbol val="square"/>
              <c:size val="6"/>
            </c:marker>
            <c:bubble3D val="0"/>
          </c:dPt>
          <c:dPt>
            <c:idx val="86"/>
            <c:marker>
              <c:symbol val="square"/>
              <c:size val="9"/>
            </c:marker>
            <c:bubble3D val="0"/>
          </c:dPt>
          <c:dPt>
            <c:idx val="87"/>
            <c:marker>
              <c:symbol val="square"/>
              <c:size val="6"/>
            </c:marker>
            <c:bubble3D val="0"/>
          </c:dPt>
          <c:dPt>
            <c:idx val="88"/>
            <c:marker>
              <c:symbol val="square"/>
              <c:size val="9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6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marker>
              <c:symbol val="square"/>
              <c:size val="3"/>
            </c:marker>
            <c:bubble3D val="0"/>
          </c:dPt>
          <c:dPt>
            <c:idx val="100"/>
            <c:bubble3D val="0"/>
          </c:dPt>
          <c:dPt>
            <c:idx val="101"/>
            <c:bubble3D val="0"/>
          </c:dPt>
          <c:dPt>
            <c:idx val="102"/>
            <c:bubble3D val="0"/>
          </c:dPt>
          <c:dPt>
            <c:idx val="103"/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marker>
              <c:symbol val="square"/>
              <c:size val="3"/>
            </c:marker>
            <c:bubble3D val="0"/>
          </c:dPt>
          <c:dPt>
            <c:idx val="106"/>
            <c:bubble3D val="0"/>
          </c:dPt>
          <c:dPt>
            <c:idx val="107"/>
            <c:bubble3D val="0"/>
          </c:dPt>
          <c:dPt>
            <c:idx val="108"/>
            <c:bubble3D val="0"/>
          </c:dPt>
          <c:dPt>
            <c:idx val="109"/>
            <c:marker>
              <c:symbol val="square"/>
              <c:size val="3"/>
            </c:marker>
            <c:bubble3D val="0"/>
          </c:dPt>
          <c:dPt>
            <c:idx val="110"/>
            <c:bubble3D val="0"/>
          </c:dPt>
          <c:dPt>
            <c:idx val="111"/>
            <c:marker>
              <c:symbol val="square"/>
              <c:size val="5"/>
            </c:marker>
            <c:bubble3D val="0"/>
          </c:dPt>
          <c:dPt>
            <c:idx val="112"/>
            <c:marker>
              <c:symbol val="square"/>
              <c:size val="7"/>
            </c:marker>
            <c:bubble3D val="0"/>
          </c:dPt>
          <c:dPt>
            <c:idx val="113"/>
            <c:marker>
              <c:symbol val="square"/>
              <c:size val="5"/>
            </c:marker>
            <c:bubble3D val="0"/>
          </c:dPt>
          <c:dPt>
            <c:idx val="114"/>
            <c:marker>
              <c:symbol val="square"/>
              <c:size val="9"/>
            </c:marker>
            <c:bubble3D val="0"/>
          </c:dPt>
          <c:dPt>
            <c:idx val="115"/>
            <c:marker>
              <c:symbol val="square"/>
              <c:size val="6"/>
            </c:marker>
            <c:bubble3D val="0"/>
          </c:dPt>
          <c:dPt>
            <c:idx val="116"/>
            <c:marker>
              <c:symbol val="square"/>
              <c:size val="9"/>
            </c:marker>
            <c:bubble3D val="0"/>
          </c:dPt>
          <c:dPt>
            <c:idx val="117"/>
            <c:marker>
              <c:symbol val="square"/>
              <c:size val="7"/>
            </c:marker>
            <c:bubble3D val="0"/>
          </c:dPt>
          <c:dPt>
            <c:idx val="119"/>
            <c:bubble3D val="0"/>
          </c:dPt>
          <c:dPt>
            <c:idx val="120"/>
            <c:marker>
              <c:symbol val="square"/>
              <c:size val="5"/>
            </c:marker>
            <c:bubble3D val="0"/>
          </c:dPt>
          <c:dPt>
            <c:idx val="121"/>
            <c:marker>
              <c:symbol val="square"/>
              <c:size val="5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7"/>
            </c:marker>
            <c:bubble3D val="0"/>
          </c:dPt>
          <c:dPt>
            <c:idx val="125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2"/>
            </c:marker>
            <c:bubble3D val="0"/>
          </c:dPt>
          <c:dPt>
            <c:idx val="133"/>
            <c:marker>
              <c:symbol val="square"/>
              <c:size val="3"/>
            </c:marker>
            <c:bubble3D val="0"/>
          </c:dPt>
          <c:dPt>
            <c:idx val="134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2"/>
            </c:marker>
            <c:bubble3D val="0"/>
          </c:dPt>
          <c:dPt>
            <c:idx val="136"/>
            <c:marker>
              <c:symbol val="square"/>
              <c:size val="6"/>
            </c:marker>
            <c:bubble3D val="0"/>
          </c:dPt>
          <c:dPt>
            <c:idx val="137"/>
            <c:marker>
              <c:symbol val="square"/>
              <c:size val="6"/>
            </c:marker>
            <c:bubble3D val="0"/>
          </c:dPt>
          <c:dPt>
            <c:idx val="138"/>
            <c:marker>
              <c:symbol val="square"/>
              <c:size val="6"/>
            </c:marker>
            <c:bubble3D val="0"/>
          </c:dPt>
          <c:dPt>
            <c:idx val="139"/>
            <c:marker>
              <c:symbol val="square"/>
              <c:size val="6"/>
            </c:marker>
            <c:bubble3D val="0"/>
          </c:dPt>
          <c:dPt>
            <c:idx val="140"/>
            <c:bubble3D val="0"/>
          </c:dPt>
          <c:dPt>
            <c:idx val="141"/>
            <c:bubble3D val="0"/>
          </c:dPt>
          <c:dPt>
            <c:idx val="142"/>
            <c:marker>
              <c:symbol val="square"/>
              <c:size val="2"/>
            </c:marker>
            <c:bubble3D val="0"/>
          </c:dPt>
          <c:dPt>
            <c:idx val="143"/>
            <c:marker>
              <c:symbol val="square"/>
              <c:size val="3"/>
            </c:marker>
            <c:bubble3D val="0"/>
          </c:dPt>
          <c:dPt>
            <c:idx val="144"/>
            <c:marker>
              <c:symbol val="square"/>
              <c:size val="2"/>
            </c:marker>
            <c:bubble3D val="0"/>
          </c:dPt>
          <c:dPt>
            <c:idx val="145"/>
            <c:marker>
              <c:symbol val="square"/>
              <c:size val="3"/>
            </c:marker>
            <c:bubble3D val="0"/>
          </c:dPt>
          <c:dPt>
            <c:idx val="146"/>
            <c:marker>
              <c:symbol val="square"/>
              <c:size val="2"/>
            </c:marker>
            <c:bubble3D val="0"/>
          </c:dPt>
          <c:dPt>
            <c:idx val="147"/>
            <c:marker>
              <c:symbol val="square"/>
              <c:size val="3"/>
            </c:marker>
            <c:bubble3D val="0"/>
          </c:dPt>
          <c:dPt>
            <c:idx val="148"/>
            <c:marker>
              <c:symbol val="square"/>
              <c:size val="5"/>
            </c:marker>
            <c:bubble3D val="0"/>
          </c:dPt>
          <c:dPt>
            <c:idx val="149"/>
            <c:marker>
              <c:symbol val="square"/>
              <c:size val="5"/>
            </c:marker>
            <c:bubble3D val="0"/>
          </c:dPt>
          <c:dPt>
            <c:idx val="150"/>
            <c:marker>
              <c:symbol val="square"/>
              <c:size val="5"/>
            </c:marker>
            <c:bubble3D val="0"/>
          </c:dPt>
          <c:dPt>
            <c:idx val="151"/>
            <c:marker>
              <c:symbol val="square"/>
              <c:size val="5"/>
            </c:marker>
            <c:bubble3D val="0"/>
          </c:dPt>
          <c:dPt>
            <c:idx val="152"/>
            <c:marker>
              <c:symbol val="square"/>
              <c:size val="3"/>
            </c:marker>
            <c:bubble3D val="0"/>
          </c:dPt>
          <c:dPt>
            <c:idx val="153"/>
            <c:bubble3D val="0"/>
          </c:dPt>
          <c:dPt>
            <c:idx val="154"/>
            <c:marker>
              <c:symbol val="square"/>
              <c:size val="2"/>
            </c:marker>
            <c:bubble3D val="0"/>
          </c:dPt>
          <c:dPt>
            <c:idx val="155"/>
            <c:bubble3D val="0"/>
          </c:dPt>
          <c:dPt>
            <c:idx val="156"/>
            <c:marker>
              <c:symbol val="square"/>
              <c:size val="3"/>
            </c:marker>
            <c:bubble3D val="0"/>
          </c:dPt>
          <c:dPt>
            <c:idx val="157"/>
            <c:marker>
              <c:symbol val="square"/>
              <c:size val="5"/>
            </c:marker>
            <c:bubble3D val="0"/>
          </c:dPt>
          <c:dPt>
            <c:idx val="158"/>
            <c:marker>
              <c:symbol val="square"/>
              <c:size val="3"/>
            </c:marker>
            <c:bubble3D val="0"/>
          </c:dPt>
          <c:dPt>
            <c:idx val="159"/>
            <c:bubble3D val="0"/>
          </c:dPt>
          <c:dPt>
            <c:idx val="160"/>
            <c:marker>
              <c:symbol val="square"/>
              <c:size val="3"/>
            </c:marker>
            <c:bubble3D val="0"/>
          </c:dPt>
          <c:dPt>
            <c:idx val="161"/>
            <c:bubble3D val="0"/>
          </c:dPt>
          <c:dPt>
            <c:idx val="162"/>
            <c:marker>
              <c:symbol val="square"/>
              <c:size val="5"/>
            </c:marker>
            <c:bubble3D val="0"/>
          </c:dPt>
          <c:dPt>
            <c:idx val="163"/>
            <c:marker>
              <c:symbol val="square"/>
              <c:size val="5"/>
            </c:marker>
            <c:bubble3D val="0"/>
          </c:dPt>
          <c:dPt>
            <c:idx val="164"/>
            <c:marker>
              <c:symbol val="square"/>
              <c:size val="3"/>
            </c:marker>
            <c:bubble3D val="0"/>
          </c:dPt>
          <c:dPt>
            <c:idx val="165"/>
            <c:marker>
              <c:symbol val="square"/>
              <c:size val="5"/>
            </c:marker>
            <c:bubble3D val="0"/>
          </c:dPt>
          <c:dPt>
            <c:idx val="166"/>
            <c:bubble3D val="0"/>
          </c:dPt>
          <c:dPt>
            <c:idx val="167"/>
            <c:bubble3D val="0"/>
          </c:dPt>
          <c:dPt>
            <c:idx val="168"/>
            <c:marker>
              <c:symbol val="square"/>
              <c:size val="3"/>
            </c:marker>
            <c:bubble3D val="0"/>
          </c:dPt>
          <c:dPt>
            <c:idx val="169"/>
            <c:marker>
              <c:symbol val="square"/>
              <c:size val="3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'Calc-I'!$Y$4:$Y$18516</c:f>
                <c:numCache>
                  <c:formatCode>General</c:formatCode>
                  <c:ptCount val="18513"/>
                  <c:pt idx="0">
                    <c:v>0.25816794871453425</c:v>
                  </c:pt>
                  <c:pt idx="1">
                    <c:v>0.18283044688913203</c:v>
                  </c:pt>
                  <c:pt idx="2">
                    <c:v>0.23667004651524914</c:v>
                  </c:pt>
                  <c:pt idx="3">
                    <c:v>0.19387693508264081</c:v>
                  </c:pt>
                  <c:pt idx="4">
                    <c:v>0.14841315252340648</c:v>
                  </c:pt>
                  <c:pt idx="5">
                    <c:v>0.24167687494092185</c:v>
                  </c:pt>
                  <c:pt idx="6">
                    <c:v>0.15597087781504498</c:v>
                  </c:pt>
                  <c:pt idx="7">
                    <c:v>0.11169542615415395</c:v>
                  </c:pt>
                  <c:pt idx="8">
                    <c:v>0.15439914215869743</c:v>
                  </c:pt>
                  <c:pt idx="9">
                    <c:v>0.11675610647755662</c:v>
                  </c:pt>
                  <c:pt idx="10">
                    <c:v>0.12908973051426126</c:v>
                  </c:pt>
                  <c:pt idx="11">
                    <c:v>0.21877196414384878</c:v>
                  </c:pt>
                  <c:pt idx="12">
                    <c:v>0.34592261287788389</c:v>
                  </c:pt>
                  <c:pt idx="14">
                    <c:v>0.17190515766449257</c:v>
                  </c:pt>
                  <c:pt idx="16">
                    <c:v>0.18335727017072884</c:v>
                  </c:pt>
                  <c:pt idx="18">
                    <c:v>0.12725892226185734</c:v>
                  </c:pt>
                  <c:pt idx="21">
                    <c:v>0.15890333354568242</c:v>
                  </c:pt>
                  <c:pt idx="22">
                    <c:v>0.1424694708537193</c:v>
                  </c:pt>
                  <c:pt idx="23">
                    <c:v>7.5936025035130916E-2</c:v>
                  </c:pt>
                  <c:pt idx="24">
                    <c:v>7.4383553167393063E-2</c:v>
                  </c:pt>
                  <c:pt idx="25">
                    <c:v>0.19329524564541611</c:v>
                  </c:pt>
                  <c:pt idx="26">
                    <c:v>0.20421594976442631</c:v>
                  </c:pt>
                  <c:pt idx="27">
                    <c:v>0.18561735197371576</c:v>
                  </c:pt>
                  <c:pt idx="28">
                    <c:v>0.13177884515762628</c:v>
                  </c:pt>
                  <c:pt idx="29">
                    <c:v>0.13593822787143228</c:v>
                  </c:pt>
                  <c:pt idx="30">
                    <c:v>7.570368614756115E-2</c:v>
                  </c:pt>
                  <c:pt idx="31">
                    <c:v>0.13110741442272941</c:v>
                  </c:pt>
                  <c:pt idx="32">
                    <c:v>7.5207428038889745E-2</c:v>
                  </c:pt>
                  <c:pt idx="33">
                    <c:v>0.14668845709564332</c:v>
                  </c:pt>
                  <c:pt idx="34">
                    <c:v>0.15210665084451389</c:v>
                  </c:pt>
                  <c:pt idx="36">
                    <c:v>0.11618588768444507</c:v>
                  </c:pt>
                  <c:pt idx="38">
                    <c:v>8.4094247374576964E-2</c:v>
                  </c:pt>
                  <c:pt idx="40">
                    <c:v>6.8628922424224081E-2</c:v>
                  </c:pt>
                  <c:pt idx="43">
                    <c:v>0.23040901660648272</c:v>
                  </c:pt>
                  <c:pt idx="44">
                    <c:v>0.16874747432697096</c:v>
                  </c:pt>
                  <c:pt idx="45">
                    <c:v>0.20550654494210452</c:v>
                  </c:pt>
                  <c:pt idx="46">
                    <c:v>0.17663022813723281</c:v>
                  </c:pt>
                  <c:pt idx="47">
                    <c:v>7.5936025035130916E-2</c:v>
                  </c:pt>
                  <c:pt idx="48">
                    <c:v>5.762511696414771E-2</c:v>
                  </c:pt>
                  <c:pt idx="49">
                    <c:v>0.21557608134247025</c:v>
                  </c:pt>
                  <c:pt idx="50">
                    <c:v>0.23330395125141612</c:v>
                  </c:pt>
                  <c:pt idx="51">
                    <c:v>0.27282160429316882</c:v>
                  </c:pt>
                  <c:pt idx="52">
                    <c:v>0.19352814705836263</c:v>
                  </c:pt>
                  <c:pt idx="53">
                    <c:v>0.13110741442272941</c:v>
                  </c:pt>
                  <c:pt idx="54">
                    <c:v>7.6760784198837195E-2</c:v>
                  </c:pt>
                  <c:pt idx="55">
                    <c:v>0.13429154548012284</c:v>
                  </c:pt>
                  <c:pt idx="56">
                    <c:v>7.6570234490106637E-2</c:v>
                  </c:pt>
                  <c:pt idx="57">
                    <c:v>0.15597087781504498</c:v>
                  </c:pt>
                  <c:pt idx="58">
                    <c:v>9.3887841599950728E-2</c:v>
                  </c:pt>
                  <c:pt idx="59">
                    <c:v>9.7343298341990042E-2</c:v>
                  </c:pt>
                  <c:pt idx="60">
                    <c:v>9.7202882798330864E-2</c:v>
                  </c:pt>
                  <c:pt idx="61">
                    <c:v>0.16404643588867274</c:v>
                  </c:pt>
                  <c:pt idx="62">
                    <c:v>0.18916472866557019</c:v>
                  </c:pt>
                  <c:pt idx="63">
                    <c:v>0.16751547676590647</c:v>
                  </c:pt>
                  <c:pt idx="64">
                    <c:v>0.17017587415671781</c:v>
                  </c:pt>
                  <c:pt idx="66">
                    <c:v>0.11420415461275905</c:v>
                  </c:pt>
                  <c:pt idx="68">
                    <c:v>8.9175034172711304E-2</c:v>
                  </c:pt>
                  <c:pt idx="70">
                    <c:v>7.068945181509545E-2</c:v>
                  </c:pt>
                  <c:pt idx="73">
                    <c:v>0.18561735197371576</c:v>
                  </c:pt>
                  <c:pt idx="74">
                    <c:v>0.17653750034180987</c:v>
                  </c:pt>
                  <c:pt idx="75">
                    <c:v>9.3887841599950728E-2</c:v>
                  </c:pt>
                  <c:pt idx="76">
                    <c:v>8.9487738446430376E-2</c:v>
                  </c:pt>
                  <c:pt idx="77">
                    <c:v>0.20215451714022176</c:v>
                  </c:pt>
                  <c:pt idx="78">
                    <c:v>0.16086833092196229</c:v>
                  </c:pt>
                  <c:pt idx="79">
                    <c:v>0.21863952382231983</c:v>
                  </c:pt>
                  <c:pt idx="80">
                    <c:v>0.21459394026810275</c:v>
                  </c:pt>
                  <c:pt idx="81">
                    <c:v>0.14668845709564332</c:v>
                  </c:pt>
                  <c:pt idx="82">
                    <c:v>0.16086833092196229</c:v>
                  </c:pt>
                  <c:pt idx="83">
                    <c:v>0.11169542615415395</c:v>
                  </c:pt>
                  <c:pt idx="84">
                    <c:v>0.11719020413440071</c:v>
                  </c:pt>
                  <c:pt idx="85">
                    <c:v>0.14964775948239242</c:v>
                  </c:pt>
                  <c:pt idx="86">
                    <c:v>9.509284250293229E-2</c:v>
                  </c:pt>
                  <c:pt idx="87">
                    <c:v>0.15295060606030902</c:v>
                  </c:pt>
                  <c:pt idx="88">
                    <c:v>9.3887841599950728E-2</c:v>
                  </c:pt>
                  <c:pt idx="89">
                    <c:v>0.14732054348752366</c:v>
                  </c:pt>
                  <c:pt idx="90">
                    <c:v>0.14008254369493978</c:v>
                  </c:pt>
                  <c:pt idx="92">
                    <c:v>0.110809947444833</c:v>
                  </c:pt>
                  <c:pt idx="94">
                    <c:v>9.3411829410795316E-2</c:v>
                  </c:pt>
                  <c:pt idx="96">
                    <c:v>7.2190580196257709E-2</c:v>
                  </c:pt>
                  <c:pt idx="99">
                    <c:v>0.2645869099203188</c:v>
                  </c:pt>
                  <c:pt idx="100">
                    <c:v>0.16619467806303076</c:v>
                  </c:pt>
                  <c:pt idx="101">
                    <c:v>0.2085116669617012</c:v>
                  </c:pt>
                  <c:pt idx="102">
                    <c:v>0.15914366106747629</c:v>
                  </c:pt>
                  <c:pt idx="103">
                    <c:v>0.20340791161596866</c:v>
                  </c:pt>
                  <c:pt idx="104">
                    <c:v>0.14732054348752366</c:v>
                  </c:pt>
                  <c:pt idx="105">
                    <c:v>0.25003208641305219</c:v>
                  </c:pt>
                  <c:pt idx="106">
                    <c:v>0.17357753842816878</c:v>
                  </c:pt>
                  <c:pt idx="107">
                    <c:v>0.22723958791927362</c:v>
                  </c:pt>
                  <c:pt idx="108">
                    <c:v>0.16989081788361671</c:v>
                  </c:pt>
                  <c:pt idx="109">
                    <c:v>0.24073546334869267</c:v>
                  </c:pt>
                  <c:pt idx="110">
                    <c:v>0.1844081743264612</c:v>
                  </c:pt>
                  <c:pt idx="111">
                    <c:v>0.15334267840674309</c:v>
                  </c:pt>
                  <c:pt idx="112">
                    <c:v>9.6512952430845331E-2</c:v>
                  </c:pt>
                  <c:pt idx="113">
                    <c:v>0.13110741442272941</c:v>
                  </c:pt>
                  <c:pt idx="114">
                    <c:v>7.4087567848016983E-2</c:v>
                  </c:pt>
                  <c:pt idx="115">
                    <c:v>0.11462796657408088</c:v>
                  </c:pt>
                  <c:pt idx="116">
                    <c:v>7.6157878250627198E-2</c:v>
                  </c:pt>
                  <c:pt idx="117">
                    <c:v>9.8003137815842772E-2</c:v>
                  </c:pt>
                  <c:pt idx="118">
                    <c:v>0.18792709515706651</c:v>
                  </c:pt>
                  <c:pt idx="119">
                    <c:v>0.17451724709193767</c:v>
                  </c:pt>
                  <c:pt idx="120">
                    <c:v>0.15165477306684777</c:v>
                  </c:pt>
                  <c:pt idx="121">
                    <c:v>0.1357079652128762</c:v>
                  </c:pt>
                  <c:pt idx="122">
                    <c:v>0.15069119342365822</c:v>
                  </c:pt>
                  <c:pt idx="123">
                    <c:v>0.130134248828224</c:v>
                  </c:pt>
                  <c:pt idx="125">
                    <c:v>0.14482823735587896</c:v>
                  </c:pt>
                  <c:pt idx="127">
                    <c:v>9.5451301955770423E-2</c:v>
                  </c:pt>
                  <c:pt idx="129">
                    <c:v>7.6275734471254908E-2</c:v>
                  </c:pt>
                  <c:pt idx="132">
                    <c:v>0.22652015686191446</c:v>
                  </c:pt>
                  <c:pt idx="133">
                    <c:v>0.13322997605403408</c:v>
                  </c:pt>
                  <c:pt idx="134">
                    <c:v>0.22652015686191446</c:v>
                  </c:pt>
                  <c:pt idx="135">
                    <c:v>0.17239698936944775</c:v>
                  </c:pt>
                  <c:pt idx="136">
                    <c:v>5.4938364489186153E-2</c:v>
                  </c:pt>
                  <c:pt idx="137">
                    <c:v>5.4685284204465723E-2</c:v>
                  </c:pt>
                  <c:pt idx="138">
                    <c:v>5.5183109890447835E-2</c:v>
                  </c:pt>
                  <c:pt idx="139">
                    <c:v>5.3875504759060777E-2</c:v>
                  </c:pt>
                  <c:pt idx="140">
                    <c:v>9.6091017854024047E-2</c:v>
                  </c:pt>
                  <c:pt idx="141">
                    <c:v>9.4516302582621864E-2</c:v>
                  </c:pt>
                  <c:pt idx="142">
                    <c:v>0.15110762320405891</c:v>
                  </c:pt>
                  <c:pt idx="143">
                    <c:v>0.18659236867237328</c:v>
                  </c:pt>
                  <c:pt idx="144">
                    <c:v>0.22077096185326739</c:v>
                  </c:pt>
                  <c:pt idx="145">
                    <c:v>0.13461012867339878</c:v>
                  </c:pt>
                  <c:pt idx="146">
                    <c:v>0.22839579121162398</c:v>
                  </c:pt>
                  <c:pt idx="147">
                    <c:v>0.16751547676590647</c:v>
                  </c:pt>
                  <c:pt idx="148">
                    <c:v>7.7686342800665276E-2</c:v>
                  </c:pt>
                  <c:pt idx="149">
                    <c:v>7.7804409585495407E-2</c:v>
                  </c:pt>
                  <c:pt idx="150">
                    <c:v>7.7686342800665276E-2</c:v>
                  </c:pt>
                  <c:pt idx="151">
                    <c:v>7.7557946152156998E-2</c:v>
                  </c:pt>
                  <c:pt idx="152">
                    <c:v>0.18659236867237328</c:v>
                  </c:pt>
                  <c:pt idx="153">
                    <c:v>0.11675610647755662</c:v>
                  </c:pt>
                  <c:pt idx="154">
                    <c:v>0.20171292126179177</c:v>
                  </c:pt>
                  <c:pt idx="155">
                    <c:v>0.11520777012637115</c:v>
                  </c:pt>
                  <c:pt idx="156">
                    <c:v>0.13200953124106352</c:v>
                  </c:pt>
                  <c:pt idx="157">
                    <c:v>7.7804409585495407E-2</c:v>
                  </c:pt>
                  <c:pt idx="158">
                    <c:v>0.13322997605403408</c:v>
                  </c:pt>
                  <c:pt idx="159">
                    <c:v>9.7202882798330864E-2</c:v>
                  </c:pt>
                  <c:pt idx="160">
                    <c:v>0.15210665084451389</c:v>
                  </c:pt>
                  <c:pt idx="161">
                    <c:v>9.7202882798330864E-2</c:v>
                  </c:pt>
                  <c:pt idx="162">
                    <c:v>0.15406696352408866</c:v>
                  </c:pt>
                  <c:pt idx="163">
                    <c:v>7.6940941676869504E-2</c:v>
                  </c:pt>
                  <c:pt idx="164">
                    <c:v>0.15527551567323594</c:v>
                  </c:pt>
                  <c:pt idx="165">
                    <c:v>7.8096634139051976E-2</c:v>
                  </c:pt>
                  <c:pt idx="166">
                    <c:v>9.6512952430845331E-2</c:v>
                  </c:pt>
                  <c:pt idx="167">
                    <c:v>9.5860784325485879E-2</c:v>
                  </c:pt>
                  <c:pt idx="168">
                    <c:v>0.16169665270640285</c:v>
                  </c:pt>
                  <c:pt idx="169">
                    <c:v>0.15210665084451389</c:v>
                  </c:pt>
                  <c:pt idx="171">
                    <c:v>5.7615548474141604E-2</c:v>
                  </c:pt>
                  <c:pt idx="173">
                    <c:v>6.1705236269182007E-2</c:v>
                  </c:pt>
                  <c:pt idx="175">
                    <c:v>4.2291492837421479E-2</c:v>
                  </c:pt>
                  <c:pt idx="177">
                    <c:v>4.0863173749693088E-2</c:v>
                  </c:pt>
                  <c:pt idx="179">
                    <c:v>3.6239175637536036E-2</c:v>
                  </c:pt>
                  <c:pt idx="181">
                    <c:v>2.6993595648687446E-2</c:v>
                  </c:pt>
                </c:numCache>
              </c:numRef>
            </c:plus>
            <c:minus>
              <c:numRef>
                <c:f>'Calc-I'!$X$4:$X$185</c:f>
                <c:numCache>
                  <c:formatCode>General</c:formatCode>
                  <c:ptCount val="182"/>
                  <c:pt idx="0">
                    <c:v>0.31372244562407531</c:v>
                  </c:pt>
                  <c:pt idx="1">
                    <c:v>0.19617482818509391</c:v>
                  </c:pt>
                  <c:pt idx="2">
                    <c:v>0.27451182427226761</c:v>
                  </c:pt>
                  <c:pt idx="3">
                    <c:v>0.21511976762386575</c:v>
                  </c:pt>
                  <c:pt idx="4">
                    <c:v>0.22731506647354066</c:v>
                  </c:pt>
                  <c:pt idx="5">
                    <c:v>0.25408207958168805</c:v>
                  </c:pt>
                  <c:pt idx="6">
                    <c:v>0.15500344987819586</c:v>
                  </c:pt>
                  <c:pt idx="7">
                    <c:v>0.11684036120551293</c:v>
                  </c:pt>
                  <c:pt idx="8">
                    <c:v>0.15633325436744824</c:v>
                  </c:pt>
                  <c:pt idx="9">
                    <c:v>0.1173041648031274</c:v>
                  </c:pt>
                  <c:pt idx="10">
                    <c:v>0.13642782693672306</c:v>
                  </c:pt>
                  <c:pt idx="11">
                    <c:v>0.2357066104951504</c:v>
                  </c:pt>
                  <c:pt idx="12">
                    <c:v>0.32986868345929704</c:v>
                  </c:pt>
                  <c:pt idx="14">
                    <c:v>0.18228345222306475</c:v>
                  </c:pt>
                  <c:pt idx="16">
                    <c:v>0.19236058237259213</c:v>
                  </c:pt>
                  <c:pt idx="18">
                    <c:v>0.13213768604501458</c:v>
                  </c:pt>
                  <c:pt idx="21">
                    <c:v>0.18723950667087377</c:v>
                  </c:pt>
                  <c:pt idx="22">
                    <c:v>0.15476648920172198</c:v>
                  </c:pt>
                  <c:pt idx="23">
                    <c:v>7.7878145496918696E-2</c:v>
                  </c:pt>
                  <c:pt idx="24">
                    <c:v>7.7032979566880821E-2</c:v>
                  </c:pt>
                  <c:pt idx="25">
                    <c:v>0.23008461729783855</c:v>
                  </c:pt>
                  <c:pt idx="26">
                    <c:v>0.21587512734765563</c:v>
                  </c:pt>
                  <c:pt idx="27">
                    <c:v>0.21269758768359021</c:v>
                  </c:pt>
                  <c:pt idx="28">
                    <c:v>0.14924914530604513</c:v>
                  </c:pt>
                  <c:pt idx="29">
                    <c:v>0.13668173619478999</c:v>
                  </c:pt>
                  <c:pt idx="30">
                    <c:v>7.7764863702831186E-2</c:v>
                  </c:pt>
                  <c:pt idx="31">
                    <c:v>0.13700644934312883</c:v>
                  </c:pt>
                  <c:pt idx="32">
                    <c:v>7.7505397763413753E-2</c:v>
                  </c:pt>
                  <c:pt idx="33">
                    <c:v>0.15623773735955496</c:v>
                  </c:pt>
                  <c:pt idx="34">
                    <c:v>0.15692885749802502</c:v>
                  </c:pt>
                  <c:pt idx="36">
                    <c:v>0.1213887004279478</c:v>
                  </c:pt>
                  <c:pt idx="38">
                    <c:v>8.7167198211657915E-2</c:v>
                  </c:pt>
                  <c:pt idx="40">
                    <c:v>7.056778795476093E-2</c:v>
                  </c:pt>
                  <c:pt idx="43">
                    <c:v>0.23147580553982872</c:v>
                  </c:pt>
                  <c:pt idx="44">
                    <c:v>0.17663022813723273</c:v>
                  </c:pt>
                  <c:pt idx="45">
                    <c:v>0.16989646500350758</c:v>
                  </c:pt>
                  <c:pt idx="46">
                    <c:v>0.16874747432697096</c:v>
                  </c:pt>
                  <c:pt idx="47">
                    <c:v>7.7878145496918696E-2</c:v>
                  </c:pt>
                  <c:pt idx="48">
                    <c:v>5.8516919967868522E-2</c:v>
                  </c:pt>
                  <c:pt idx="49">
                    <c:v>0.25298414012478609</c:v>
                  </c:pt>
                  <c:pt idx="50">
                    <c:v>0.25548008247810572</c:v>
                  </c:pt>
                  <c:pt idx="51">
                    <c:v>0.2599516797297422</c:v>
                  </c:pt>
                  <c:pt idx="52">
                    <c:v>0.1935281470591117</c:v>
                  </c:pt>
                  <c:pt idx="53">
                    <c:v>0.13700644934312883</c:v>
                  </c:pt>
                  <c:pt idx="54">
                    <c:v>7.8222907177057099E-2</c:v>
                  </c:pt>
                  <c:pt idx="55">
                    <c:v>0.13725979507972685</c:v>
                  </c:pt>
                  <c:pt idx="56">
                    <c:v>7.8152868714209678E-2</c:v>
                  </c:pt>
                  <c:pt idx="57">
                    <c:v>0.15500344987819586</c:v>
                  </c:pt>
                  <c:pt idx="58">
                    <c:v>9.728618425025097E-2</c:v>
                  </c:pt>
                  <c:pt idx="59">
                    <c:v>9.7915699733533978E-2</c:v>
                  </c:pt>
                  <c:pt idx="60">
                    <c:v>9.7965909143257326E-2</c:v>
                  </c:pt>
                  <c:pt idx="61">
                    <c:v>0.17608212104766782</c:v>
                  </c:pt>
                  <c:pt idx="62">
                    <c:v>0.19588915386476796</c:v>
                  </c:pt>
                  <c:pt idx="63">
                    <c:v>0.17659444429435003</c:v>
                  </c:pt>
                  <c:pt idx="64">
                    <c:v>0.19266497334988306</c:v>
                  </c:pt>
                  <c:pt idx="66">
                    <c:v>0.1172430882843038</c:v>
                  </c:pt>
                  <c:pt idx="68">
                    <c:v>9.1419445468658864E-2</c:v>
                  </c:pt>
                  <c:pt idx="70">
                    <c:v>7.1985280334926988E-2</c:v>
                  </c:pt>
                  <c:pt idx="73">
                    <c:v>0.21269758768359021</c:v>
                  </c:pt>
                  <c:pt idx="74">
                    <c:v>0.1948867362143748</c:v>
                  </c:pt>
                  <c:pt idx="75">
                    <c:v>9.728618425025097E-2</c:v>
                  </c:pt>
                  <c:pt idx="76">
                    <c:v>9.4863534302465302E-2</c:v>
                  </c:pt>
                  <c:pt idx="77">
                    <c:v>0.2332431980739948</c:v>
                  </c:pt>
                  <c:pt idx="78">
                    <c:v>0.17522568036231034</c:v>
                  </c:pt>
                  <c:pt idx="79">
                    <c:v>0.25377608930732132</c:v>
                  </c:pt>
                  <c:pt idx="80">
                    <c:v>0.23566579508186672</c:v>
                  </c:pt>
                  <c:pt idx="81">
                    <c:v>0.15623773735955496</c:v>
                  </c:pt>
                  <c:pt idx="82">
                    <c:v>0.17522568036231034</c:v>
                  </c:pt>
                  <c:pt idx="83">
                    <c:v>0.11684036120551303</c:v>
                  </c:pt>
                  <c:pt idx="84">
                    <c:v>0.11691614818336137</c:v>
                  </c:pt>
                  <c:pt idx="85">
                    <c:v>0.15685159254498132</c:v>
                  </c:pt>
                  <c:pt idx="86">
                    <c:v>9.7747498242969799E-2</c:v>
                  </c:pt>
                  <c:pt idx="87">
                    <c:v>0.15681286412900194</c:v>
                  </c:pt>
                  <c:pt idx="88">
                    <c:v>9.728618425025097E-2</c:v>
                  </c:pt>
                  <c:pt idx="89">
                    <c:v>0.15640425854245721</c:v>
                  </c:pt>
                  <c:pt idx="90">
                    <c:v>0.15371865473047314</c:v>
                  </c:pt>
                  <c:pt idx="92">
                    <c:v>0.11500770465490689</c:v>
                  </c:pt>
                  <c:pt idx="94">
                    <c:v>9.7591634028773022E-2</c:v>
                  </c:pt>
                  <c:pt idx="96">
                    <c:v>7.4295603208299588E-2</c:v>
                  </c:pt>
                  <c:pt idx="99">
                    <c:v>0.27031788540063506</c:v>
                  </c:pt>
                  <c:pt idx="100">
                    <c:v>0.17646265500370215</c:v>
                  </c:pt>
                  <c:pt idx="101">
                    <c:v>0.21481329592216492</c:v>
                  </c:pt>
                  <c:pt idx="102">
                    <c:v>0.17464411353198656</c:v>
                  </c:pt>
                  <c:pt idx="103">
                    <c:v>0.21595324797851306</c:v>
                  </c:pt>
                  <c:pt idx="104">
                    <c:v>0.15640425854245721</c:v>
                  </c:pt>
                  <c:pt idx="105">
                    <c:v>0.24878786302140338</c:v>
                  </c:pt>
                  <c:pt idx="106">
                    <c:v>0.17540597627750354</c:v>
                  </c:pt>
                  <c:pt idx="107">
                    <c:v>0.2336334996228174</c:v>
                  </c:pt>
                  <c:pt idx="108">
                    <c:v>0.17657117068503012</c:v>
                  </c:pt>
                  <c:pt idx="109">
                    <c:v>0.25437249727823691</c:v>
                  </c:pt>
                  <c:pt idx="110">
                    <c:v>0.19629605516748672</c:v>
                  </c:pt>
                  <c:pt idx="111">
                    <c:v>0.15672378820831884</c:v>
                  </c:pt>
                  <c:pt idx="112">
                    <c:v>9.8036591871714318E-2</c:v>
                  </c:pt>
                  <c:pt idx="113">
                    <c:v>0.13700644934312883</c:v>
                  </c:pt>
                  <c:pt idx="114">
                    <c:v>7.6853034019742555E-2</c:v>
                  </c:pt>
                  <c:pt idx="115">
                    <c:v>0.11763072970558267</c:v>
                  </c:pt>
                  <c:pt idx="116">
                    <c:v>7.7980537780721212E-2</c:v>
                  </c:pt>
                  <c:pt idx="117">
                    <c:v>9.7049637167590977E-2</c:v>
                  </c:pt>
                  <c:pt idx="118">
                    <c:v>0.19613543165280009</c:v>
                  </c:pt>
                  <c:pt idx="119">
                    <c:v>0.19426410969785673</c:v>
                  </c:pt>
                  <c:pt idx="120">
                    <c:v>0.15695558697864057</c:v>
                  </c:pt>
                  <c:pt idx="121">
                    <c:v>0.1368230474285152</c:v>
                  </c:pt>
                  <c:pt idx="122">
                    <c:v>0.15694599837485912</c:v>
                  </c:pt>
                  <c:pt idx="123">
                    <c:v>0.13675554789762243</c:v>
                  </c:pt>
                  <c:pt idx="125">
                    <c:v>0.14889147378135548</c:v>
                  </c:pt>
                  <c:pt idx="127">
                    <c:v>9.8599740712975906E-2</c:v>
                  </c:pt>
                  <c:pt idx="129">
                    <c:v>7.7868756121645621E-2</c:v>
                  </c:pt>
                  <c:pt idx="132">
                    <c:v>0.2339767574569985</c:v>
                  </c:pt>
                  <c:pt idx="133">
                    <c:v>0.13730372213634812</c:v>
                  </c:pt>
                  <c:pt idx="134">
                    <c:v>0.2339767574569985</c:v>
                  </c:pt>
                  <c:pt idx="135">
                    <c:v>0.19352434911520972</c:v>
                  </c:pt>
                  <c:pt idx="136">
                    <c:v>5.6754478213334597E-2</c:v>
                  </c:pt>
                  <c:pt idx="137">
                    <c:v>5.6564873015031242E-2</c:v>
                  </c:pt>
                  <c:pt idx="138">
                    <c:v>5.6935331800714029E-2</c:v>
                  </c:pt>
                  <c:pt idx="139">
                    <c:v>5.5942821500412687E-2</c:v>
                  </c:pt>
                  <c:pt idx="140">
                    <c:v>9.799329573895868E-2</c:v>
                  </c:pt>
                  <c:pt idx="141">
                    <c:v>9.7544054087132556E-2</c:v>
                  </c:pt>
                  <c:pt idx="142">
                    <c:v>0.20534897863330009</c:v>
                  </c:pt>
                  <c:pt idx="143">
                    <c:v>0.19627831013279354</c:v>
                  </c:pt>
                  <c:pt idx="144">
                    <c:v>0.31735790286889665</c:v>
                  </c:pt>
                  <c:pt idx="145">
                    <c:v>0.13720861496029096</c:v>
                  </c:pt>
                  <c:pt idx="146">
                    <c:v>0.25536357720986974</c:v>
                  </c:pt>
                  <c:pt idx="147">
                    <c:v>0.17659444429435003</c:v>
                  </c:pt>
                  <c:pt idx="148">
                    <c:v>7.8420044096707664E-2</c:v>
                  </c:pt>
                  <c:pt idx="149">
                    <c:v>7.8416050135148685E-2</c:v>
                  </c:pt>
                  <c:pt idx="150">
                    <c:v>7.8420044096707664E-2</c:v>
                  </c:pt>
                  <c:pt idx="151">
                    <c:v>7.841356194361003E-2</c:v>
                  </c:pt>
                  <c:pt idx="152">
                    <c:v>0.19627831013279354</c:v>
                  </c:pt>
                  <c:pt idx="153">
                    <c:v>0.1173041648031274</c:v>
                  </c:pt>
                  <c:pt idx="154">
                    <c:v>0.21602315497270583</c:v>
                  </c:pt>
                  <c:pt idx="155">
                    <c:v>0.11766782104900786</c:v>
                  </c:pt>
                  <c:pt idx="156">
                    <c:v>0.13718149594199172</c:v>
                  </c:pt>
                  <c:pt idx="157">
                    <c:v>7.8416050135148685E-2</c:v>
                  </c:pt>
                  <c:pt idx="158">
                    <c:v>0.13730372213634812</c:v>
                  </c:pt>
                  <c:pt idx="159">
                    <c:v>9.7965909143257326E-2</c:v>
                  </c:pt>
                  <c:pt idx="160">
                    <c:v>0.15692885749802502</c:v>
                  </c:pt>
                  <c:pt idx="161">
                    <c:v>9.7965909143257326E-2</c:v>
                  </c:pt>
                  <c:pt idx="162">
                    <c:v>0.1564839059023099</c:v>
                  </c:pt>
                  <c:pt idx="163">
                    <c:v>7.8282255885362237E-2</c:v>
                  </c:pt>
                  <c:pt idx="164">
                    <c:v>0.15575927608758525</c:v>
                  </c:pt>
                  <c:pt idx="165">
                    <c:v>7.8341460243837174E-2</c:v>
                  </c:pt>
                  <c:pt idx="166">
                    <c:v>9.8036591871714318E-2</c:v>
                  </c:pt>
                  <c:pt idx="167">
                    <c:v>9.7951828565519511E-2</c:v>
                  </c:pt>
                  <c:pt idx="168">
                    <c:v>0.17547779418484966</c:v>
                  </c:pt>
                  <c:pt idx="169">
                    <c:v>0.15692885749802502</c:v>
                  </c:pt>
                  <c:pt idx="171">
                    <c:v>5.8754667532590246E-2</c:v>
                  </c:pt>
                  <c:pt idx="173">
                    <c:v>6.2725398558218098E-2</c:v>
                  </c:pt>
                  <c:pt idx="175">
                    <c:v>4.2830565897653994E-2</c:v>
                  </c:pt>
                  <c:pt idx="177">
                    <c:v>4.1371998127338827E-2</c:v>
                  </c:pt>
                  <c:pt idx="179">
                    <c:v>3.6655011006296812E-2</c:v>
                  </c:pt>
                  <c:pt idx="181">
                    <c:v>2.7219032257505604E-2</c:v>
                  </c:pt>
                </c:numCache>
              </c:numRef>
            </c:minus>
          </c:errBars>
          <c:xVal>
            <c:numRef>
              <c:f>'Calc-I'!$S$4:$S$186</c:f>
              <c:numCache>
                <c:formatCode>0.00</c:formatCode>
                <c:ptCount val="183"/>
                <c:pt idx="0">
                  <c:v>0.31</c:v>
                </c:pt>
                <c:pt idx="1">
                  <c:v>0.18</c:v>
                </c:pt>
                <c:pt idx="2">
                  <c:v>0.27</c:v>
                </c:pt>
                <c:pt idx="3">
                  <c:v>0.24</c:v>
                </c:pt>
                <c:pt idx="4">
                  <c:v>0.66</c:v>
                </c:pt>
                <c:pt idx="5">
                  <c:v>0.1</c:v>
                </c:pt>
                <c:pt idx="6">
                  <c:v>-0.02</c:v>
                </c:pt>
                <c:pt idx="7">
                  <c:v>0.19</c:v>
                </c:pt>
                <c:pt idx="8">
                  <c:v>0.04</c:v>
                </c:pt>
                <c:pt idx="9">
                  <c:v>0.02</c:v>
                </c:pt>
                <c:pt idx="10">
                  <c:v>0.2</c:v>
                </c:pt>
                <c:pt idx="11">
                  <c:v>0.16</c:v>
                </c:pt>
                <c:pt idx="12">
                  <c:v>-7.0000000000000007E-2</c:v>
                </c:pt>
                <c:pt idx="14" formatCode="0.0000000">
                  <c:v>0.16129173126550619</c:v>
                </c:pt>
                <c:pt idx="16" formatCode="0.0000000">
                  <c:v>0.12561756844291744</c:v>
                </c:pt>
                <c:pt idx="18" formatCode="0.0000000">
                  <c:v>0.14213506705143356</c:v>
                </c:pt>
                <c:pt idx="21">
                  <c:v>0.4</c:v>
                </c:pt>
                <c:pt idx="22">
                  <c:v>0.26</c:v>
                </c:pt>
                <c:pt idx="23">
                  <c:v>0.16</c:v>
                </c:pt>
                <c:pt idx="24">
                  <c:v>0.22</c:v>
                </c:pt>
                <c:pt idx="25">
                  <c:v>0.36</c:v>
                </c:pt>
                <c:pt idx="26">
                  <c:v>0.13</c:v>
                </c:pt>
                <c:pt idx="27">
                  <c:v>0.31</c:v>
                </c:pt>
                <c:pt idx="28">
                  <c:v>0.38</c:v>
                </c:pt>
                <c:pt idx="29">
                  <c:v>0.02</c:v>
                </c:pt>
                <c:pt idx="30">
                  <c:v>0.17</c:v>
                </c:pt>
                <c:pt idx="31">
                  <c:v>0.16</c:v>
                </c:pt>
                <c:pt idx="32">
                  <c:v>0.19</c:v>
                </c:pt>
                <c:pt idx="33">
                  <c:v>0.2</c:v>
                </c:pt>
                <c:pt idx="34">
                  <c:v>0.1</c:v>
                </c:pt>
                <c:pt idx="36">
                  <c:v>0.17856768573084411</c:v>
                </c:pt>
                <c:pt idx="38">
                  <c:v>0.20112808429847409</c:v>
                </c:pt>
                <c:pt idx="40">
                  <c:v>0.19273644569943427</c:v>
                </c:pt>
                <c:pt idx="43">
                  <c:v>0.01</c:v>
                </c:pt>
                <c:pt idx="44">
                  <c:v>0.13</c:v>
                </c:pt>
                <c:pt idx="45">
                  <c:v>-0.42</c:v>
                </c:pt>
                <c:pt idx="46">
                  <c:v>-0.13</c:v>
                </c:pt>
                <c:pt idx="47">
                  <c:v>0.16</c:v>
                </c:pt>
                <c:pt idx="48">
                  <c:v>0.13</c:v>
                </c:pt>
                <c:pt idx="49">
                  <c:v>0.31</c:v>
                </c:pt>
                <c:pt idx="50">
                  <c:v>0.18</c:v>
                </c:pt>
                <c:pt idx="51">
                  <c:v>-0.09</c:v>
                </c:pt>
                <c:pt idx="52">
                  <c:v>9.9999999999999994E-12</c:v>
                </c:pt>
                <c:pt idx="53">
                  <c:v>0.16</c:v>
                </c:pt>
                <c:pt idx="54">
                  <c:v>0.12</c:v>
                </c:pt>
                <c:pt idx="55">
                  <c:v>0.08</c:v>
                </c:pt>
                <c:pt idx="56">
                  <c:v>0.13</c:v>
                </c:pt>
                <c:pt idx="57">
                  <c:v>-0.02</c:v>
                </c:pt>
                <c:pt idx="58">
                  <c:v>0.18</c:v>
                </c:pt>
                <c:pt idx="59">
                  <c:v>0.03</c:v>
                </c:pt>
                <c:pt idx="60">
                  <c:v>0.04</c:v>
                </c:pt>
                <c:pt idx="61">
                  <c:v>0.2</c:v>
                </c:pt>
                <c:pt idx="62">
                  <c:v>0.09</c:v>
                </c:pt>
                <c:pt idx="63">
                  <c:v>0.15</c:v>
                </c:pt>
                <c:pt idx="64">
                  <c:v>0.31</c:v>
                </c:pt>
                <c:pt idx="66">
                  <c:v>0.11205579657958432</c:v>
                </c:pt>
                <c:pt idx="68">
                  <c:v>0.13514057224681461</c:v>
                </c:pt>
                <c:pt idx="70">
                  <c:v>0.1253267315611756</c:v>
                </c:pt>
                <c:pt idx="73">
                  <c:v>0.31</c:v>
                </c:pt>
                <c:pt idx="74">
                  <c:v>0.25</c:v>
                </c:pt>
                <c:pt idx="75">
                  <c:v>0.18</c:v>
                </c:pt>
                <c:pt idx="76">
                  <c:v>0.28999999999999998</c:v>
                </c:pt>
                <c:pt idx="77">
                  <c:v>0.3</c:v>
                </c:pt>
                <c:pt idx="78">
                  <c:v>0.24</c:v>
                </c:pt>
                <c:pt idx="79">
                  <c:v>0.28999999999999998</c:v>
                </c:pt>
                <c:pt idx="80">
                  <c:v>0.2</c:v>
                </c:pt>
                <c:pt idx="81">
                  <c:v>0.2</c:v>
                </c:pt>
                <c:pt idx="82">
                  <c:v>0.24</c:v>
                </c:pt>
                <c:pt idx="83">
                  <c:v>0.19</c:v>
                </c:pt>
                <c:pt idx="84">
                  <c:v>-0.01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0.08</c:v>
                </c:pt>
                <c:pt idx="88">
                  <c:v>0.18</c:v>
                </c:pt>
                <c:pt idx="89">
                  <c:v>0.19</c:v>
                </c:pt>
                <c:pt idx="90">
                  <c:v>0.28999999999999998</c:v>
                </c:pt>
                <c:pt idx="92">
                  <c:v>0.16045523321513713</c:v>
                </c:pt>
                <c:pt idx="94">
                  <c:v>0.2183238247094598</c:v>
                </c:pt>
                <c:pt idx="96">
                  <c:v>0.18921245657847355</c:v>
                </c:pt>
                <c:pt idx="99">
                  <c:v>0.04</c:v>
                </c:pt>
                <c:pt idx="100">
                  <c:v>0.17</c:v>
                </c:pt>
                <c:pt idx="101">
                  <c:v>7.0000000000000007E-2</c:v>
                </c:pt>
                <c:pt idx="102">
                  <c:v>0.26</c:v>
                </c:pt>
                <c:pt idx="103">
                  <c:v>0.14000000000000001</c:v>
                </c:pt>
                <c:pt idx="104">
                  <c:v>0.19</c:v>
                </c:pt>
                <c:pt idx="105">
                  <c:v>-0.01</c:v>
                </c:pt>
                <c:pt idx="106">
                  <c:v>0.03</c:v>
                </c:pt>
                <c:pt idx="107">
                  <c:v>0.06</c:v>
                </c:pt>
                <c:pt idx="108">
                  <c:v>0.11</c:v>
                </c:pt>
                <c:pt idx="109">
                  <c:v>0.11</c:v>
                </c:pt>
                <c:pt idx="110">
                  <c:v>0.16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0.16</c:v>
                </c:pt>
                <c:pt idx="114">
                  <c:v>0.23</c:v>
                </c:pt>
                <c:pt idx="115">
                  <c:v>0.11</c:v>
                </c:pt>
                <c:pt idx="116">
                  <c:v>0.15</c:v>
                </c:pt>
                <c:pt idx="117">
                  <c:v>-0.05</c:v>
                </c:pt>
                <c:pt idx="118">
                  <c:v>0.11</c:v>
                </c:pt>
                <c:pt idx="119">
                  <c:v>0.27</c:v>
                </c:pt>
                <c:pt idx="120">
                  <c:v>0.11</c:v>
                </c:pt>
                <c:pt idx="121">
                  <c:v>0.03</c:v>
                </c:pt>
                <c:pt idx="122">
                  <c:v>0.13</c:v>
                </c:pt>
                <c:pt idx="123">
                  <c:v>0.18</c:v>
                </c:pt>
                <c:pt idx="125">
                  <c:v>9.3393011538028148E-2</c:v>
                </c:pt>
                <c:pt idx="127">
                  <c:v>0.16283109748119665</c:v>
                </c:pt>
                <c:pt idx="129">
                  <c:v>0.13177541192074663</c:v>
                </c:pt>
                <c:pt idx="132">
                  <c:v>7.0000000000000007E-2</c:v>
                </c:pt>
                <c:pt idx="133">
                  <c:v>0.11</c:v>
                </c:pt>
                <c:pt idx="134">
                  <c:v>7.0000000000000007E-2</c:v>
                </c:pt>
                <c:pt idx="135">
                  <c:v>0.28999999999999998</c:v>
                </c:pt>
                <c:pt idx="136">
                  <c:v>0.27</c:v>
                </c:pt>
                <c:pt idx="137">
                  <c:v>0.28000000000000003</c:v>
                </c:pt>
                <c:pt idx="138">
                  <c:v>0.26</c:v>
                </c:pt>
                <c:pt idx="139">
                  <c:v>0.31</c:v>
                </c:pt>
                <c:pt idx="140">
                  <c:v>0.1</c:v>
                </c:pt>
                <c:pt idx="141">
                  <c:v>0.16</c:v>
                </c:pt>
                <c:pt idx="142">
                  <c:v>0.57999999999999996</c:v>
                </c:pt>
                <c:pt idx="143">
                  <c:v>0.13</c:v>
                </c:pt>
                <c:pt idx="144">
                  <c:v>0.51</c:v>
                </c:pt>
                <c:pt idx="145">
                  <c:v>7.0000000000000007E-2</c:v>
                </c:pt>
                <c:pt idx="146">
                  <c:v>0.22</c:v>
                </c:pt>
                <c:pt idx="147">
                  <c:v>0.15</c:v>
                </c:pt>
                <c:pt idx="148">
                  <c:v>0.06</c:v>
                </c:pt>
                <c:pt idx="149">
                  <c:v>0.05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0.13</c:v>
                </c:pt>
                <c:pt idx="153">
                  <c:v>0.02</c:v>
                </c:pt>
                <c:pt idx="154">
                  <c:v>0.16</c:v>
                </c:pt>
                <c:pt idx="155">
                  <c:v>0.09</c:v>
                </c:pt>
                <c:pt idx="156">
                  <c:v>0.14000000000000001</c:v>
                </c:pt>
                <c:pt idx="157">
                  <c:v>0.05</c:v>
                </c:pt>
                <c:pt idx="158">
                  <c:v>0.11</c:v>
                </c:pt>
                <c:pt idx="159">
                  <c:v>0.04</c:v>
                </c:pt>
                <c:pt idx="160">
                  <c:v>0.1</c:v>
                </c:pt>
                <c:pt idx="161">
                  <c:v>0.04</c:v>
                </c:pt>
                <c:pt idx="162">
                  <c:v>0.05</c:v>
                </c:pt>
                <c:pt idx="163">
                  <c:v>0.11</c:v>
                </c:pt>
                <c:pt idx="164">
                  <c:v>0.01</c:v>
                </c:pt>
                <c:pt idx="165">
                  <c:v>0.02</c:v>
                </c:pt>
                <c:pt idx="166">
                  <c:v>0.08</c:v>
                </c:pt>
                <c:pt idx="167">
                  <c:v>0.11</c:v>
                </c:pt>
                <c:pt idx="168">
                  <c:v>0.23</c:v>
                </c:pt>
                <c:pt idx="169">
                  <c:v>0.1</c:v>
                </c:pt>
                <c:pt idx="171">
                  <c:v>0.16373983880325746</c:v>
                </c:pt>
                <c:pt idx="173">
                  <c:v>0.12957472053866301</c:v>
                </c:pt>
                <c:pt idx="175">
                  <c:v>0.14564617474114769</c:v>
                </c:pt>
                <c:pt idx="177">
                  <c:v>0.14722526725905138</c:v>
                </c:pt>
                <c:pt idx="179">
                  <c:v>0.15286593545280364</c:v>
                </c:pt>
                <c:pt idx="181">
                  <c:v>0.14996253982739366</c:v>
                </c:pt>
              </c:numCache>
            </c:numRef>
          </c:xVal>
          <c:yVal>
            <c:numRef>
              <c:f>'Calc-I'!$T$4:$T$186</c:f>
              <c:numCache>
                <c:formatCode>General</c:formatCode>
                <c:ptCount val="183"/>
                <c:pt idx="0">
                  <c:v>182</c:v>
                </c:pt>
                <c:pt idx="1">
                  <c:v>181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  <c:pt idx="8">
                  <c:v>174</c:v>
                </c:pt>
                <c:pt idx="9">
                  <c:v>173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107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91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67</c:v>
                </c:pt>
                <c:pt idx="116">
                  <c:v>66</c:v>
                </c:pt>
                <c:pt idx="117">
                  <c:v>65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46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32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30277312"/>
        <c:axId val="230278880"/>
      </c:scatterChart>
      <c:valAx>
        <c:axId val="23027731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0278880"/>
        <c:crosses val="autoZero"/>
        <c:crossBetween val="midCat"/>
        <c:majorUnit val="0.25"/>
      </c:valAx>
      <c:valAx>
        <c:axId val="230278880"/>
        <c:scaling>
          <c:orientation val="minMax"/>
          <c:max val="18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30277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8467223805602E-2"/>
          <c:y val="3.3081067072498302E-3"/>
          <c:w val="0.86403386309840102"/>
          <c:h val="0.970815660910033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'Calc-S'!$T$3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2"/>
            </c:marker>
            <c:bubble3D val="0"/>
          </c:dPt>
          <c:dPt>
            <c:idx val="2"/>
            <c:marker>
              <c:symbol val="square"/>
              <c:size val="6"/>
            </c:marker>
            <c:bubble3D val="0"/>
          </c:dPt>
          <c:dPt>
            <c:idx val="3"/>
            <c:marker>
              <c:symbol val="square"/>
              <c:size val="13"/>
            </c:marker>
            <c:bubble3D val="0"/>
          </c:dPt>
          <c:dPt>
            <c:idx val="4"/>
            <c:marker>
              <c:symbol val="square"/>
              <c:size val="9"/>
            </c:marker>
            <c:bubble3D val="0"/>
          </c:dPt>
          <c:dPt>
            <c:idx val="5"/>
            <c:marker>
              <c:symbol val="square"/>
              <c:size val="12"/>
            </c:marker>
            <c:bubble3D val="0"/>
          </c:dPt>
          <c:dPt>
            <c:idx val="6"/>
            <c:marker>
              <c:symbol val="square"/>
              <c:size val="8"/>
            </c:marker>
            <c:bubble3D val="0"/>
          </c:dPt>
          <c:dPt>
            <c:idx val="7"/>
            <c:marker>
              <c:symbol val="square"/>
              <c:size val="5"/>
            </c:marker>
            <c:bubble3D val="0"/>
          </c:dPt>
          <c:dPt>
            <c:idx val="8"/>
            <c:marker>
              <c:symbol val="square"/>
              <c:size val="3"/>
            </c:marker>
            <c:bubble3D val="0"/>
          </c:dPt>
          <c:dPt>
            <c:idx val="9"/>
            <c:marker>
              <c:symbol val="square"/>
              <c:size val="5"/>
            </c:marker>
            <c:bubble3D val="0"/>
          </c:dPt>
          <c:dPt>
            <c:idx val="10"/>
            <c:marker>
              <c:symbol val="square"/>
              <c:size val="21"/>
            </c:marker>
            <c:bubble3D val="0"/>
          </c:dPt>
          <c:dPt>
            <c:idx val="11"/>
            <c:marker>
              <c:symbol val="square"/>
              <c:size val="12"/>
            </c:marker>
            <c:bubble3D val="0"/>
          </c:dPt>
          <c:dPt>
            <c:idx val="12"/>
            <c:marker>
              <c:symbol val="square"/>
              <c:size val="24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ymbol val="square"/>
              <c:size val="5"/>
            </c:marker>
            <c:bubble3D val="0"/>
          </c:dPt>
          <c:dPt>
            <c:idx val="22"/>
            <c:marker>
              <c:symbol val="square"/>
              <c:size val="7"/>
            </c:marker>
            <c:bubble3D val="0"/>
          </c:dPt>
          <c:dPt>
            <c:idx val="23"/>
            <c:marker>
              <c:symbol val="square"/>
              <c:size val="16"/>
            </c:marker>
            <c:bubble3D val="0"/>
          </c:dPt>
          <c:dPt>
            <c:idx val="24"/>
            <c:marker>
              <c:symbol val="square"/>
              <c:size val="7"/>
            </c:marker>
            <c:bubble3D val="0"/>
          </c:dPt>
          <c:dPt>
            <c:idx val="25"/>
            <c:marker>
              <c:symbol val="square"/>
              <c:size val="6"/>
            </c:marker>
            <c:bubble3D val="0"/>
          </c:dPt>
          <c:dPt>
            <c:idx val="26"/>
            <c:marker>
              <c:symbol val="square"/>
              <c:size val="6"/>
            </c:marker>
            <c:bubble3D val="0"/>
          </c:dPt>
          <c:dPt>
            <c:idx val="27"/>
            <c:marker>
              <c:symbol val="square"/>
              <c:size val="11"/>
            </c:marker>
            <c:bubble3D val="0"/>
          </c:dPt>
          <c:dPt>
            <c:idx val="28"/>
            <c:marker>
              <c:symbol val="square"/>
              <c:size val="10"/>
            </c:marker>
            <c:bubble3D val="0"/>
          </c:dPt>
          <c:dPt>
            <c:idx val="29"/>
            <c:marker>
              <c:symbol val="square"/>
              <c:size val="3"/>
            </c:marker>
            <c:bubble3D val="0"/>
          </c:dPt>
          <c:dPt>
            <c:idx val="30"/>
            <c:marker>
              <c:symbol val="square"/>
              <c:size val="3"/>
            </c:marker>
            <c:bubble3D val="0"/>
          </c:dPt>
          <c:dPt>
            <c:idx val="31"/>
            <c:marker>
              <c:symbol val="square"/>
              <c:size val="2"/>
            </c:marker>
            <c:bubble3D val="0"/>
          </c:dPt>
          <c:dPt>
            <c:idx val="32"/>
            <c:marker>
              <c:symbol val="square"/>
              <c:size val="5"/>
            </c:marker>
            <c:bubble3D val="0"/>
          </c:dPt>
          <c:dPt>
            <c:idx val="33"/>
            <c:marker>
              <c:symbol val="square"/>
              <c:size val="7"/>
            </c:marker>
            <c:bubble3D val="0"/>
          </c:dPt>
          <c:dPt>
            <c:idx val="34"/>
            <c:marker>
              <c:symbol val="square"/>
              <c:size val="10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marker>
              <c:symbol val="square"/>
              <c:size val="7"/>
            </c:marker>
            <c:bubble3D val="0"/>
          </c:dPt>
          <c:dPt>
            <c:idx val="45"/>
            <c:marker>
              <c:symbol val="square"/>
              <c:size val="2"/>
            </c:marker>
            <c:bubble3D val="0"/>
          </c:dPt>
          <c:dPt>
            <c:idx val="46"/>
            <c:marker>
              <c:symbol val="square"/>
              <c:size val="3"/>
            </c:marker>
            <c:bubble3D val="0"/>
          </c:dPt>
          <c:dPt>
            <c:idx val="47"/>
            <c:marker>
              <c:symbol val="square"/>
              <c:size val="15"/>
            </c:marker>
            <c:bubble3D val="0"/>
          </c:dPt>
          <c:dPt>
            <c:idx val="48"/>
            <c:marker>
              <c:symbol val="square"/>
              <c:size val="15"/>
            </c:marker>
            <c:bubble3D val="0"/>
          </c:dPt>
          <c:dPt>
            <c:idx val="49"/>
            <c:marker>
              <c:symbol val="square"/>
              <c:size val="5"/>
            </c:marker>
            <c:bubble3D val="0"/>
          </c:dPt>
          <c:dPt>
            <c:idx val="50"/>
            <c:marker>
              <c:symbol val="square"/>
              <c:size val="5"/>
            </c:marker>
            <c:bubble3D val="0"/>
          </c:dPt>
          <c:dPt>
            <c:idx val="51"/>
            <c:marker>
              <c:symbol val="square"/>
              <c:size val="10"/>
            </c:marker>
            <c:bubble3D val="0"/>
          </c:dPt>
          <c:dPt>
            <c:idx val="52"/>
            <c:marker>
              <c:symbol val="square"/>
              <c:size val="8"/>
            </c:marker>
            <c:bubble3D val="0"/>
          </c:dPt>
          <c:dPt>
            <c:idx val="53"/>
            <c:marker>
              <c:symbol val="square"/>
              <c:size val="3"/>
            </c:marker>
            <c:bubble3D val="0"/>
          </c:dPt>
          <c:dPt>
            <c:idx val="55"/>
            <c:marker>
              <c:symbol val="square"/>
              <c:size val="3"/>
            </c:marker>
            <c:bubble3D val="0"/>
          </c:dPt>
          <c:dPt>
            <c:idx val="57"/>
            <c:marker>
              <c:symbol val="square"/>
              <c:size val="2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bubble3D val="0"/>
          </c:dPt>
          <c:dPt>
            <c:idx val="61"/>
            <c:marker>
              <c:symbol val="square"/>
              <c:size val="3"/>
            </c:marker>
            <c:bubble3D val="0"/>
          </c:dPt>
          <c:dPt>
            <c:idx val="64"/>
            <c:marker>
              <c:symbol val="square"/>
              <c:size val="5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4"/>
            <c:marker>
              <c:symbol val="square"/>
              <c:size val="7"/>
            </c:marker>
            <c:bubble3D val="0"/>
          </c:dPt>
          <c:dPt>
            <c:idx val="75"/>
            <c:marker>
              <c:symbol val="square"/>
              <c:size val="11"/>
            </c:marker>
            <c:bubble3D val="0"/>
          </c:dPt>
          <c:dPt>
            <c:idx val="76"/>
            <c:marker>
              <c:symbol val="square"/>
              <c:size val="6"/>
            </c:marker>
            <c:bubble3D val="0"/>
          </c:dPt>
          <c:dPt>
            <c:idx val="77"/>
            <c:marker>
              <c:symbol val="square"/>
              <c:size val="10"/>
            </c:marker>
            <c:bubble3D val="0"/>
          </c:dPt>
          <c:dPt>
            <c:idx val="78"/>
            <c:marker>
              <c:symbol val="square"/>
              <c:size val="7"/>
            </c:marker>
            <c:bubble3D val="0"/>
          </c:dPt>
          <c:dPt>
            <c:idx val="79"/>
            <c:marker>
              <c:symbol val="square"/>
              <c:size val="12"/>
            </c:marker>
            <c:bubble3D val="0"/>
          </c:dPt>
          <c:dPt>
            <c:idx val="80"/>
            <c:marker>
              <c:symbol val="square"/>
              <c:size val="6"/>
            </c:marker>
            <c:bubble3D val="0"/>
          </c:dPt>
          <c:dPt>
            <c:idx val="81"/>
            <c:marker>
              <c:symbol val="square"/>
              <c:size val="11"/>
            </c:marker>
            <c:bubble3D val="0"/>
          </c:dPt>
          <c:dPt>
            <c:idx val="82"/>
            <c:marker>
              <c:symbol val="square"/>
              <c:size val="10"/>
            </c:marker>
            <c:bubble3D val="0"/>
          </c:dPt>
          <c:dPt>
            <c:idx val="83"/>
            <c:marker>
              <c:symbol val="square"/>
              <c:size val="5"/>
            </c:marker>
            <c:bubble3D val="0"/>
          </c:dPt>
          <c:dPt>
            <c:idx val="84"/>
            <c:marker>
              <c:symbol val="square"/>
              <c:size val="8"/>
            </c:marker>
            <c:bubble3D val="0"/>
          </c:dPt>
          <c:dPt>
            <c:idx val="86"/>
            <c:marker>
              <c:symbol val="square"/>
              <c:size val="3"/>
            </c:marker>
            <c:bubble3D val="0"/>
          </c:dPt>
          <c:dPt>
            <c:idx val="88"/>
            <c:marker>
              <c:symbol val="square"/>
              <c:size val="3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2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marker>
              <c:symbol val="square"/>
              <c:size val="2"/>
            </c:marker>
            <c:bubble3D val="0"/>
          </c:dPt>
          <c:dPt>
            <c:idx val="100"/>
            <c:marker>
              <c:symbol val="square"/>
              <c:size val="3"/>
            </c:marker>
            <c:bubble3D val="0"/>
          </c:dPt>
          <c:dPt>
            <c:idx val="101"/>
            <c:marker>
              <c:symbol val="square"/>
              <c:size val="7"/>
            </c:marker>
            <c:bubble3D val="0"/>
          </c:dPt>
          <c:dPt>
            <c:idx val="102"/>
            <c:marker>
              <c:symbol val="square"/>
              <c:size val="3"/>
            </c:marker>
            <c:bubble3D val="0"/>
          </c:dPt>
          <c:dPt>
            <c:idx val="103"/>
            <c:marker>
              <c:symbol val="square"/>
              <c:size val="2"/>
            </c:marker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marker>
              <c:symbol val="square"/>
              <c:size val="3"/>
            </c:marker>
            <c:bubble3D val="0"/>
          </c:dPt>
          <c:dPt>
            <c:idx val="106"/>
            <c:bubble3D val="0"/>
          </c:dPt>
          <c:dPt>
            <c:idx val="107"/>
            <c:marker>
              <c:symbol val="square"/>
              <c:size val="5"/>
            </c:marker>
            <c:bubble3D val="0"/>
          </c:dPt>
          <c:dPt>
            <c:idx val="108"/>
            <c:marker>
              <c:symbol val="square"/>
              <c:size val="6"/>
            </c:marker>
            <c:bubble3D val="0"/>
          </c:dPt>
          <c:dPt>
            <c:idx val="110"/>
            <c:marker>
              <c:symbol val="square"/>
              <c:size val="6"/>
            </c:marker>
            <c:bubble3D val="0"/>
          </c:dPt>
          <c:dPt>
            <c:idx val="111"/>
            <c:marker>
              <c:symbol val="square"/>
              <c:size val="2"/>
            </c:marker>
            <c:bubble3D val="0"/>
          </c:dPt>
          <c:dPt>
            <c:idx val="112"/>
            <c:marker>
              <c:symbol val="square"/>
              <c:size val="5"/>
            </c:marker>
            <c:bubble3D val="0"/>
          </c:dPt>
          <c:dPt>
            <c:idx val="114"/>
            <c:bubble3D val="0"/>
          </c:dPt>
          <c:dPt>
            <c:idx val="116"/>
            <c:marker>
              <c:symbol val="square"/>
              <c:size val="3"/>
            </c:marker>
            <c:bubble3D val="0"/>
          </c:dPt>
          <c:dPt>
            <c:idx val="117"/>
            <c:marker>
              <c:symbol val="square"/>
              <c:size val="10"/>
            </c:marker>
            <c:bubble3D val="0"/>
          </c:dPt>
          <c:dPt>
            <c:idx val="119"/>
            <c:marker>
              <c:symbol val="square"/>
              <c:size val="9"/>
            </c:marker>
            <c:bubble3D val="0"/>
          </c:dPt>
          <c:dPt>
            <c:idx val="120"/>
            <c:marker>
              <c:symbol val="square"/>
              <c:size val="6"/>
            </c:marker>
            <c:bubble3D val="0"/>
          </c:dPt>
          <c:dPt>
            <c:idx val="121"/>
            <c:marker>
              <c:symbol val="square"/>
              <c:size val="11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7"/>
            </c:marker>
            <c:bubble3D val="0"/>
          </c:dPt>
          <c:dPt>
            <c:idx val="12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3"/>
            </c:marker>
            <c:bubble3D val="0"/>
          </c:dPt>
          <c:dPt>
            <c:idx val="133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3"/>
            </c:marker>
            <c:bubble3D val="0"/>
          </c:dPt>
          <c:dPt>
            <c:idx val="136"/>
            <c:marker>
              <c:symbol val="square"/>
              <c:size val="3"/>
            </c:marker>
            <c:bubble3D val="0"/>
          </c:dPt>
          <c:dPt>
            <c:idx val="137"/>
            <c:marker>
              <c:symbol val="square"/>
              <c:size val="3"/>
            </c:marker>
            <c:bubble3D val="0"/>
          </c:dPt>
          <c:dPt>
            <c:idx val="138"/>
            <c:marker>
              <c:symbol val="square"/>
              <c:size val="3"/>
            </c:marker>
            <c:bubble3D val="0"/>
          </c:dPt>
          <c:dPt>
            <c:idx val="139"/>
            <c:marker>
              <c:symbol val="square"/>
              <c:size val="3"/>
            </c:marker>
            <c:bubble3D val="0"/>
          </c:dPt>
          <c:dPt>
            <c:idx val="140"/>
            <c:bubble3D val="0"/>
          </c:dPt>
          <c:dPt>
            <c:idx val="141"/>
            <c:marker>
              <c:symbol val="square"/>
              <c:size val="3"/>
            </c:marker>
            <c:bubble3D val="0"/>
          </c:dPt>
          <c:dPt>
            <c:idx val="142"/>
            <c:marker>
              <c:symbol val="square"/>
              <c:size val="8"/>
            </c:marker>
            <c:bubble3D val="0"/>
          </c:dPt>
          <c:dPt>
            <c:idx val="143"/>
            <c:marker>
              <c:symbol val="square"/>
              <c:size val="5"/>
            </c:marker>
            <c:bubble3D val="0"/>
          </c:dPt>
          <c:dPt>
            <c:idx val="144"/>
            <c:marker>
              <c:symbol val="square"/>
              <c:size val="3"/>
            </c:marker>
            <c:bubble3D val="0"/>
          </c:dPt>
          <c:dPt>
            <c:idx val="146"/>
            <c:marker>
              <c:symbol val="square"/>
              <c:size val="3"/>
            </c:marker>
            <c:bubble3D val="0"/>
          </c:dPt>
          <c:dPt>
            <c:idx val="147"/>
            <c:bubble3D val="0"/>
          </c:dPt>
          <c:dPt>
            <c:idx val="148"/>
            <c:bubble3D val="0"/>
          </c:dPt>
          <c:dPt>
            <c:idx val="149"/>
            <c:marker>
              <c:symbol val="square"/>
              <c:size val="2"/>
            </c:marker>
            <c:bubble3D val="0"/>
          </c:dPt>
          <c:dPt>
            <c:idx val="150"/>
            <c:marker>
              <c:symbol val="square"/>
              <c:size val="7"/>
            </c:marker>
            <c:bubble3D val="0"/>
          </c:dPt>
          <c:dPt>
            <c:idx val="151"/>
            <c:bubble3D val="0"/>
          </c:dPt>
          <c:dPt>
            <c:idx val="152"/>
            <c:marker>
              <c:symbol val="square"/>
              <c:size val="2"/>
            </c:marker>
            <c:bubble3D val="0"/>
          </c:dPt>
          <c:dPt>
            <c:idx val="153"/>
            <c:marker>
              <c:symbol val="square"/>
              <c:size val="3"/>
            </c:marker>
            <c:bubble3D val="0"/>
          </c:dPt>
          <c:dPt>
            <c:idx val="154"/>
            <c:marker>
              <c:symbol val="square"/>
              <c:size val="2"/>
            </c:marker>
            <c:bubble3D val="0"/>
          </c:dPt>
          <c:dPt>
            <c:idx val="155"/>
            <c:marker>
              <c:symbol val="square"/>
              <c:size val="3"/>
            </c:marker>
            <c:bubble3D val="0"/>
          </c:dPt>
          <c:dPt>
            <c:idx val="156"/>
            <c:bubble3D val="0"/>
          </c:dPt>
          <c:dPt>
            <c:idx val="157"/>
            <c:marker>
              <c:symbol val="square"/>
              <c:size val="2"/>
            </c:marker>
            <c:bubble3D val="0"/>
          </c:dPt>
          <c:dPt>
            <c:idx val="158"/>
            <c:marker>
              <c:symbol val="square"/>
              <c:size val="2"/>
            </c:marker>
            <c:bubble3D val="0"/>
          </c:dPt>
          <c:dPt>
            <c:idx val="159"/>
            <c:marker>
              <c:symbol val="square"/>
              <c:size val="3"/>
            </c:marker>
            <c:bubble3D val="0"/>
          </c:dPt>
          <c:dPt>
            <c:idx val="160"/>
            <c:marker>
              <c:symbol val="square"/>
              <c:size val="2"/>
            </c:marker>
            <c:bubble3D val="0"/>
          </c:dPt>
          <c:dPt>
            <c:idx val="161"/>
            <c:marker>
              <c:symbol val="square"/>
              <c:size val="2"/>
            </c:marker>
            <c:bubble3D val="0"/>
          </c:dPt>
          <c:dPt>
            <c:idx val="162"/>
            <c:marker>
              <c:symbol val="square"/>
              <c:size val="2"/>
            </c:marker>
            <c:bubble3D val="0"/>
          </c:dPt>
          <c:dPt>
            <c:idx val="165"/>
            <c:marker>
              <c:symbol val="square"/>
              <c:size val="2"/>
            </c:marker>
            <c:bubble3D val="0"/>
          </c:dPt>
          <c:dPt>
            <c:idx val="166"/>
            <c:marker>
              <c:symbol val="square"/>
              <c:size val="10"/>
            </c:marker>
            <c:bubble3D val="0"/>
          </c:dPt>
          <c:dPt>
            <c:idx val="167"/>
            <c:marker>
              <c:symbol val="square"/>
              <c:size val="7"/>
            </c:marker>
            <c:bubble3D val="0"/>
          </c:dPt>
          <c:dPt>
            <c:idx val="169"/>
            <c:marker>
              <c:symbol val="square"/>
              <c:size val="6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'Calc-S'!$Y$4:$Y$18516</c:f>
                <c:numCache>
                  <c:formatCode>General</c:formatCode>
                  <c:ptCount val="18513"/>
                  <c:pt idx="0">
                    <c:v>0.23904325269953208</c:v>
                  </c:pt>
                  <c:pt idx="1">
                    <c:v>0.83573535952070666</c:v>
                  </c:pt>
                  <c:pt idx="2">
                    <c:v>0.87507298134248568</c:v>
                  </c:pt>
                  <c:pt idx="3">
                    <c:v>0.50722852381172268</c:v>
                  </c:pt>
                  <c:pt idx="4">
                    <c:v>0.55734693783748901</c:v>
                  </c:pt>
                  <c:pt idx="5">
                    <c:v>0.48501472426117392</c:v>
                  </c:pt>
                  <c:pt idx="6">
                    <c:v>0.74238416457504286</c:v>
                  </c:pt>
                  <c:pt idx="7">
                    <c:v>0.94373377268644287</c:v>
                  </c:pt>
                  <c:pt idx="8">
                    <c:v>1.382673885826053</c:v>
                  </c:pt>
                  <c:pt idx="9">
                    <c:v>0.93046868478023281</c:v>
                  </c:pt>
                  <c:pt idx="10">
                    <c:v>0.4406771589817417</c:v>
                  </c:pt>
                  <c:pt idx="11">
                    <c:v>0.4028013995729447</c:v>
                  </c:pt>
                  <c:pt idx="12">
                    <c:v>0.29686129230136205</c:v>
                  </c:pt>
                  <c:pt idx="14">
                    <c:v>0.44137725664216976</c:v>
                  </c:pt>
                  <c:pt idx="16">
                    <c:v>0.40995551975459676</c:v>
                  </c:pt>
                  <c:pt idx="18">
                    <c:v>0.3242073023529819</c:v>
                  </c:pt>
                  <c:pt idx="21">
                    <c:v>0.24697731233126785</c:v>
                  </c:pt>
                  <c:pt idx="22">
                    <c:v>0.31272487676977273</c:v>
                  </c:pt>
                  <c:pt idx="23">
                    <c:v>0.21673951795751312</c:v>
                  </c:pt>
                  <c:pt idx="24">
                    <c:v>0.53661652076664468</c:v>
                  </c:pt>
                  <c:pt idx="25">
                    <c:v>0.32054711205139497</c:v>
                  </c:pt>
                  <c:pt idx="26">
                    <c:v>0.56944746734404372</c:v>
                  </c:pt>
                  <c:pt idx="27">
                    <c:v>0.12590489668106286</c:v>
                  </c:pt>
                  <c:pt idx="28">
                    <c:v>0.17152683967276128</c:v>
                  </c:pt>
                  <c:pt idx="29">
                    <c:v>1.0163642657820753</c:v>
                  </c:pt>
                  <c:pt idx="30">
                    <c:v>0.89305381123281002</c:v>
                  </c:pt>
                  <c:pt idx="31">
                    <c:v>1.21785917697863</c:v>
                  </c:pt>
                  <c:pt idx="32">
                    <c:v>0.59074222482252958</c:v>
                  </c:pt>
                  <c:pt idx="33">
                    <c:v>0.46717876325778956</c:v>
                  </c:pt>
                  <c:pt idx="34">
                    <c:v>0.38983069193698572</c:v>
                  </c:pt>
                  <c:pt idx="36">
                    <c:v>0.19461537052036404</c:v>
                  </c:pt>
                  <c:pt idx="38">
                    <c:v>0.26665437872985898</c:v>
                  </c:pt>
                  <c:pt idx="40">
                    <c:v>0.16427618010348699</c:v>
                  </c:pt>
                  <c:pt idx="43">
                    <c:v>0.61856332063101727</c:v>
                  </c:pt>
                  <c:pt idx="44">
                    <c:v>0.36907274926872485</c:v>
                  </c:pt>
                  <c:pt idx="45">
                    <c:v>1.194725601177018</c:v>
                  </c:pt>
                  <c:pt idx="46">
                    <c:v>0.644154714625224</c:v>
                  </c:pt>
                  <c:pt idx="47">
                    <c:v>0.22966806005673854</c:v>
                  </c:pt>
                  <c:pt idx="48">
                    <c:v>0.20386721852715495</c:v>
                  </c:pt>
                  <c:pt idx="49">
                    <c:v>0.41284479394963264</c:v>
                  </c:pt>
                  <c:pt idx="50">
                    <c:v>0.65771439023816414</c:v>
                  </c:pt>
                  <c:pt idx="51">
                    <c:v>0.18222833413173445</c:v>
                  </c:pt>
                  <c:pt idx="52">
                    <c:v>0.49355612471835841</c:v>
                  </c:pt>
                  <c:pt idx="53">
                    <c:v>1.3508290094641036</c:v>
                  </c:pt>
                  <c:pt idx="54">
                    <c:v>0.290200979733374</c:v>
                  </c:pt>
                  <c:pt idx="55">
                    <c:v>0.72133129494995962</c:v>
                  </c:pt>
                  <c:pt idx="56">
                    <c:v>0.81934652780551542</c:v>
                  </c:pt>
                  <c:pt idx="57">
                    <c:v>0.90773898258361951</c:v>
                  </c:pt>
                  <c:pt idx="58">
                    <c:v>0.93046868478023281</c:v>
                  </c:pt>
                  <c:pt idx="59">
                    <c:v>0.49817931002325211</c:v>
                  </c:pt>
                  <c:pt idx="60">
                    <c:v>0.45484519777813837</c:v>
                  </c:pt>
                  <c:pt idx="61">
                    <c:v>1.2335902363167714</c:v>
                  </c:pt>
                  <c:pt idx="62">
                    <c:v>0.79026539892177228</c:v>
                  </c:pt>
                  <c:pt idx="63">
                    <c:v>0.68848125515844583</c:v>
                  </c:pt>
                  <c:pt idx="64">
                    <c:v>0.34791662843624011</c:v>
                  </c:pt>
                  <c:pt idx="66">
                    <c:v>0.23904706083995036</c:v>
                  </c:pt>
                  <c:pt idx="68">
                    <c:v>0.23925945656721198</c:v>
                  </c:pt>
                  <c:pt idx="70">
                    <c:v>0.17642931419448354</c:v>
                  </c:pt>
                  <c:pt idx="73">
                    <c:v>0.39905771959959802</c:v>
                  </c:pt>
                  <c:pt idx="74">
                    <c:v>0.47186393746999783</c:v>
                  </c:pt>
                  <c:pt idx="75">
                    <c:v>0.23019185736865677</c:v>
                  </c:pt>
                  <c:pt idx="76">
                    <c:v>0.77329921970155135</c:v>
                  </c:pt>
                  <c:pt idx="77">
                    <c:v>0.14179627594416144</c:v>
                  </c:pt>
                  <c:pt idx="78">
                    <c:v>0.54984029654331368</c:v>
                  </c:pt>
                  <c:pt idx="79">
                    <c:v>0.10441702829015764</c:v>
                  </c:pt>
                  <c:pt idx="80">
                    <c:v>0.59553398022602977</c:v>
                  </c:pt>
                  <c:pt idx="81">
                    <c:v>0.36444222199266341</c:v>
                  </c:pt>
                  <c:pt idx="82">
                    <c:v>0.39400780982598321</c:v>
                  </c:pt>
                  <c:pt idx="83">
                    <c:v>0.38701949603699559</c:v>
                  </c:pt>
                  <c:pt idx="84">
                    <c:v>0.54612739308824687</c:v>
                  </c:pt>
                  <c:pt idx="85">
                    <c:v>0.56979278657183108</c:v>
                  </c:pt>
                  <c:pt idx="86">
                    <c:v>1.212812031718195</c:v>
                  </c:pt>
                  <c:pt idx="87">
                    <c:v>0.52496664507077839</c:v>
                  </c:pt>
                  <c:pt idx="88">
                    <c:v>0.35030347779693838</c:v>
                  </c:pt>
                  <c:pt idx="89">
                    <c:v>0.57171445344242189</c:v>
                  </c:pt>
                  <c:pt idx="90">
                    <c:v>0.96778477846959032</c:v>
                  </c:pt>
                  <c:pt idx="92">
                    <c:v>0.14028194508191061</c:v>
                  </c:pt>
                  <c:pt idx="94">
                    <c:v>0.50916252196203293</c:v>
                  </c:pt>
                  <c:pt idx="96">
                    <c:v>0.15369597961242393</c:v>
                  </c:pt>
                  <c:pt idx="99">
                    <c:v>0.83430428879469298</c:v>
                  </c:pt>
                  <c:pt idx="100">
                    <c:v>0.78280893207723956</c:v>
                  </c:pt>
                  <c:pt idx="101">
                    <c:v>0.40427579532388364</c:v>
                  </c:pt>
                  <c:pt idx="102">
                    <c:v>0.44598816991872825</c:v>
                  </c:pt>
                  <c:pt idx="103">
                    <c:v>1.417239356444312</c:v>
                  </c:pt>
                  <c:pt idx="104">
                    <c:v>0.58983088012300278</c:v>
                  </c:pt>
                  <c:pt idx="105">
                    <c:v>1.3195011435365362</c:v>
                  </c:pt>
                  <c:pt idx="106">
                    <c:v>0.80370190639154138</c:v>
                  </c:pt>
                  <c:pt idx="107">
                    <c:v>0.67152763163559204</c:v>
                  </c:pt>
                  <c:pt idx="108">
                    <c:v>0.46334647803789503</c:v>
                  </c:pt>
                  <c:pt idx="109">
                    <c:v>0.67957661780643253</c:v>
                  </c:pt>
                  <c:pt idx="110">
                    <c:v>0.45590130749104607</c:v>
                  </c:pt>
                  <c:pt idx="111">
                    <c:v>0.83278480144984246</c:v>
                  </c:pt>
                  <c:pt idx="112">
                    <c:v>0.70583785227151308</c:v>
                  </c:pt>
                  <c:pt idx="113">
                    <c:v>0.65145479443856069</c:v>
                  </c:pt>
                  <c:pt idx="114">
                    <c:v>0.83920117702975339</c:v>
                  </c:pt>
                  <c:pt idx="115">
                    <c:v>0.82657069441805053</c:v>
                  </c:pt>
                  <c:pt idx="116">
                    <c:v>0.60336523105365503</c:v>
                  </c:pt>
                  <c:pt idx="117">
                    <c:v>0.32432144110230055</c:v>
                  </c:pt>
                  <c:pt idx="118">
                    <c:v>0.86613133234362938</c:v>
                  </c:pt>
                  <c:pt idx="119">
                    <c:v>0.32880767346045114</c:v>
                  </c:pt>
                  <c:pt idx="120">
                    <c:v>0.53661652076664468</c:v>
                  </c:pt>
                  <c:pt idx="121">
                    <c:v>0.25816794871453425</c:v>
                  </c:pt>
                  <c:pt idx="122">
                    <c:v>0.61951092419222564</c:v>
                  </c:pt>
                  <c:pt idx="123">
                    <c:v>0.3620484051859108</c:v>
                  </c:pt>
                  <c:pt idx="125">
                    <c:v>0.54543819562826912</c:v>
                  </c:pt>
                  <c:pt idx="127">
                    <c:v>0.3599965919122784</c:v>
                  </c:pt>
                  <c:pt idx="129">
                    <c:v>0.2636068337281805</c:v>
                  </c:pt>
                  <c:pt idx="132">
                    <c:v>0.54537834115839234</c:v>
                  </c:pt>
                  <c:pt idx="133">
                    <c:v>0.85518799695312586</c:v>
                  </c:pt>
                  <c:pt idx="134">
                    <c:v>0.47290487097295564</c:v>
                  </c:pt>
                  <c:pt idx="135">
                    <c:v>0.32322656905018887</c:v>
                  </c:pt>
                  <c:pt idx="136">
                    <c:v>0.27469876295790663</c:v>
                  </c:pt>
                  <c:pt idx="137">
                    <c:v>0.27754212908997511</c:v>
                  </c:pt>
                  <c:pt idx="138">
                    <c:v>0.55202943423624373</c:v>
                  </c:pt>
                  <c:pt idx="139">
                    <c:v>0.48594703777730647</c:v>
                  </c:pt>
                  <c:pt idx="140">
                    <c:v>0.64148182219253069</c:v>
                  </c:pt>
                  <c:pt idx="141">
                    <c:v>0.74003189089174803</c:v>
                  </c:pt>
                  <c:pt idx="142">
                    <c:v>0.24303083599124181</c:v>
                  </c:pt>
                  <c:pt idx="143">
                    <c:v>0.44722469766895184</c:v>
                  </c:pt>
                  <c:pt idx="144">
                    <c:v>0.62441311627174645</c:v>
                  </c:pt>
                  <c:pt idx="145">
                    <c:v>0.33420210036168607</c:v>
                  </c:pt>
                  <c:pt idx="146">
                    <c:v>0.92241071881542136</c:v>
                  </c:pt>
                  <c:pt idx="147">
                    <c:v>0.64234251088820704</c:v>
                  </c:pt>
                  <c:pt idx="148">
                    <c:v>0.72309936267505337</c:v>
                  </c:pt>
                  <c:pt idx="149">
                    <c:v>1.370364521092208</c:v>
                  </c:pt>
                  <c:pt idx="150">
                    <c:v>0.34906902050626931</c:v>
                  </c:pt>
                  <c:pt idx="151">
                    <c:v>0.75715761337141896</c:v>
                  </c:pt>
                  <c:pt idx="152">
                    <c:v>0.35997324489697657</c:v>
                  </c:pt>
                  <c:pt idx="153">
                    <c:v>0.7369400853855429</c:v>
                  </c:pt>
                  <c:pt idx="154">
                    <c:v>0.19946515260590891</c:v>
                  </c:pt>
                  <c:pt idx="155">
                    <c:v>0.74944699149501548</c:v>
                  </c:pt>
                  <c:pt idx="156">
                    <c:v>0.67264620557478949</c:v>
                  </c:pt>
                  <c:pt idx="157">
                    <c:v>1.3989254912763256</c:v>
                  </c:pt>
                  <c:pt idx="158">
                    <c:v>0.85518799695312586</c:v>
                  </c:pt>
                  <c:pt idx="159">
                    <c:v>0.78206290295116121</c:v>
                  </c:pt>
                  <c:pt idx="160">
                    <c:v>0.30755584020427928</c:v>
                  </c:pt>
                  <c:pt idx="161">
                    <c:v>1.4190684431737073</c:v>
                  </c:pt>
                  <c:pt idx="162">
                    <c:v>0.4515496602951341</c:v>
                  </c:pt>
                  <c:pt idx="163">
                    <c:v>0.86780510678383771</c:v>
                  </c:pt>
                  <c:pt idx="164">
                    <c:v>0.87146281316273533</c:v>
                  </c:pt>
                  <c:pt idx="165">
                    <c:v>0.90084495910682683</c:v>
                  </c:pt>
                  <c:pt idx="166">
                    <c:v>0.23242664505158156</c:v>
                  </c:pt>
                  <c:pt idx="167">
                    <c:v>0.31730962972385823</c:v>
                  </c:pt>
                  <c:pt idx="168">
                    <c:v>0.61149287460779722</c:v>
                  </c:pt>
                  <c:pt idx="169">
                    <c:v>0.37672088933365533</c:v>
                  </c:pt>
                  <c:pt idx="171">
                    <c:v>0.28300640808010835</c:v>
                  </c:pt>
                  <c:pt idx="173">
                    <c:v>0.31757298147934232</c:v>
                  </c:pt>
                  <c:pt idx="175">
                    <c:v>0.22010999295928274</c:v>
                  </c:pt>
                  <c:pt idx="177">
                    <c:v>0.11159142520575843</c:v>
                  </c:pt>
                  <c:pt idx="179">
                    <c:v>0.14544087345928486</c:v>
                  </c:pt>
                  <c:pt idx="181">
                    <c:v>8.8240532476423661E-2</c:v>
                  </c:pt>
                </c:numCache>
              </c:numRef>
            </c:plus>
            <c:minus>
              <c:numRef>
                <c:f>'Calc-S'!$X$4:$X$185</c:f>
                <c:numCache>
                  <c:formatCode>General</c:formatCode>
                  <c:ptCount val="182"/>
                  <c:pt idx="0">
                    <c:v>1.7098152945468863</c:v>
                  </c:pt>
                  <c:pt idx="1">
                    <c:v>0.94709378259993215</c:v>
                  </c:pt>
                  <c:pt idx="2">
                    <c:v>0.6698460908489029</c:v>
                  </c:pt>
                  <c:pt idx="3">
                    <c:v>0.57181957989799204</c:v>
                  </c:pt>
                  <c:pt idx="4">
                    <c:v>0.67235514729564894</c:v>
                  </c:pt>
                  <c:pt idx="5">
                    <c:v>0.60785602530427718</c:v>
                  </c:pt>
                  <c:pt idx="6">
                    <c:v>0.45993561293159058</c:v>
                  </c:pt>
                  <c:pt idx="7">
                    <c:v>0.6373653947894492</c:v>
                  </c:pt>
                  <c:pt idx="8">
                    <c:v>0.40464904064933738</c:v>
                  </c:pt>
                  <c:pt idx="9">
                    <c:v>0.67051368886235752</c:v>
                  </c:pt>
                  <c:pt idx="10">
                    <c:v>0.39797171028597955</c:v>
                  </c:pt>
                  <c:pt idx="11">
                    <c:v>0.59350977195051957</c:v>
                  </c:pt>
                  <c:pt idx="12">
                    <c:v>0.39348844173913378</c:v>
                  </c:pt>
                  <c:pt idx="14">
                    <c:v>0.56462176770814176</c:v>
                  </c:pt>
                  <c:pt idx="16">
                    <c:v>0.52761626153180452</c:v>
                  </c:pt>
                  <c:pt idx="18">
                    <c:v>0.38992803339786819</c:v>
                  </c:pt>
                  <c:pt idx="21">
                    <c:v>0.61825550129890339</c:v>
                  </c:pt>
                  <c:pt idx="22">
                    <c:v>0.49242197717667008</c:v>
                  </c:pt>
                  <c:pt idx="23">
                    <c:v>0.23575015790117482</c:v>
                  </c:pt>
                  <c:pt idx="24">
                    <c:v>0.51986340544851739</c:v>
                  </c:pt>
                  <c:pt idx="25">
                    <c:v>0.57434903543264604</c:v>
                  </c:pt>
                  <c:pt idx="26">
                    <c:v>0.61904215996157208</c:v>
                  </c:pt>
                  <c:pt idx="27">
                    <c:v>0.2076052520834627</c:v>
                  </c:pt>
                  <c:pt idx="28">
                    <c:v>0.28643244821460817</c:v>
                  </c:pt>
                  <c:pt idx="29">
                    <c:v>0.22663040312419258</c:v>
                  </c:pt>
                  <c:pt idx="30">
                    <c:v>0.756559242549525</c:v>
                  </c:pt>
                  <c:pt idx="31">
                    <c:v>0.60667872697140801</c:v>
                  </c:pt>
                  <c:pt idx="32">
                    <c:v>0.68999816218995214</c:v>
                  </c:pt>
                  <c:pt idx="33">
                    <c:v>0.50004528447188346</c:v>
                  </c:pt>
                  <c:pt idx="34">
                    <c:v>0.3455874723999055</c:v>
                  </c:pt>
                  <c:pt idx="36">
                    <c:v>0.238779474894281</c:v>
                  </c:pt>
                  <c:pt idx="38">
                    <c:v>0.33423097223964388</c:v>
                  </c:pt>
                  <c:pt idx="40">
                    <c:v>0.19168381631815498</c:v>
                  </c:pt>
                  <c:pt idx="43">
                    <c:v>0.94433271217596815</c:v>
                  </c:pt>
                  <c:pt idx="44">
                    <c:v>0.61796177239099825</c:v>
                  </c:pt>
                  <c:pt idx="45">
                    <c:v>3.9483854110173522E-2</c:v>
                  </c:pt>
                  <c:pt idx="46">
                    <c:v>1.0584438975669008</c:v>
                  </c:pt>
                  <c:pt idx="47">
                    <c:v>0.25544522956910548</c:v>
                  </c:pt>
                  <c:pt idx="48">
                    <c:v>0.24894894050263588</c:v>
                  </c:pt>
                  <c:pt idx="49">
                    <c:v>0.79662394956810567</c:v>
                  </c:pt>
                  <c:pt idx="50">
                    <c:v>0.8389194447810584</c:v>
                  </c:pt>
                  <c:pt idx="51">
                    <c:v>0.29425481759828831</c:v>
                  </c:pt>
                  <c:pt idx="52">
                    <c:v>0.37237669660175293</c:v>
                  </c:pt>
                  <c:pt idx="53">
                    <c:v>0.55698781548890253</c:v>
                  </c:pt>
                  <c:pt idx="54">
                    <c:v>1.0915530975793466</c:v>
                  </c:pt>
                  <c:pt idx="55">
                    <c:v>1.2068185443670822</c:v>
                  </c:pt>
                  <c:pt idx="56">
                    <c:v>0.83299817623773276</c:v>
                  </c:pt>
                  <c:pt idx="57">
                    <c:v>1.0867576437530593</c:v>
                  </c:pt>
                  <c:pt idx="58">
                    <c:v>0.67051368886235752</c:v>
                  </c:pt>
                  <c:pt idx="59">
                    <c:v>0.5539278772317261</c:v>
                  </c:pt>
                  <c:pt idx="60">
                    <c:v>1.2195337185503718</c:v>
                  </c:pt>
                  <c:pt idx="61">
                    <c:v>0.46642328657330057</c:v>
                  </c:pt>
                  <c:pt idx="62">
                    <c:v>0.87338981709354813</c:v>
                  </c:pt>
                  <c:pt idx="63">
                    <c:v>0.96543202775920456</c:v>
                  </c:pt>
                  <c:pt idx="64">
                    <c:v>0.47497613086192608</c:v>
                  </c:pt>
                  <c:pt idx="66">
                    <c:v>0.29445634995539183</c:v>
                  </c:pt>
                  <c:pt idx="68">
                    <c:v>0.29496268975748302</c:v>
                  </c:pt>
                  <c:pt idx="70">
                    <c:v>0.20492852378935078</c:v>
                  </c:pt>
                  <c:pt idx="73">
                    <c:v>1.3195011435365362</c:v>
                  </c:pt>
                  <c:pt idx="74">
                    <c:v>0.69767195355861822</c:v>
                  </c:pt>
                  <c:pt idx="75">
                    <c:v>0.35465521398561556</c:v>
                  </c:pt>
                  <c:pt idx="76">
                    <c:v>0.63340921677976658</c:v>
                  </c:pt>
                  <c:pt idx="77">
                    <c:v>0.27595342182670396</c:v>
                  </c:pt>
                  <c:pt idx="78">
                    <c:v>0.56221027920181788</c:v>
                  </c:pt>
                  <c:pt idx="79">
                    <c:v>0.1860902574877803</c:v>
                  </c:pt>
                  <c:pt idx="80">
                    <c:v>0.76504611930794097</c:v>
                  </c:pt>
                  <c:pt idx="81">
                    <c:v>0.40678162624121322</c:v>
                  </c:pt>
                  <c:pt idx="82">
                    <c:v>0.4664638190961975</c:v>
                  </c:pt>
                  <c:pt idx="83">
                    <c:v>0.86325179596814872</c:v>
                  </c:pt>
                  <c:pt idx="84">
                    <c:v>0.42293886102966405</c:v>
                  </c:pt>
                  <c:pt idx="85">
                    <c:v>1.1974554010415241</c:v>
                  </c:pt>
                  <c:pt idx="86">
                    <c:v>0.65038850196673237</c:v>
                  </c:pt>
                  <c:pt idx="87">
                    <c:v>1.1767507068805492</c:v>
                  </c:pt>
                  <c:pt idx="88">
                    <c:v>1.4563546105402758</c:v>
                  </c:pt>
                  <c:pt idx="89">
                    <c:v>0.68328077121667796</c:v>
                  </c:pt>
                  <c:pt idx="90">
                    <c:v>1.0275026075194431</c:v>
                  </c:pt>
                  <c:pt idx="92">
                    <c:v>0.17974136424624709</c:v>
                  </c:pt>
                  <c:pt idx="94">
                    <c:v>0.63064451772230157</c:v>
                  </c:pt>
                  <c:pt idx="96">
                    <c:v>0.18691909552584324</c:v>
                  </c:pt>
                  <c:pt idx="99">
                    <c:v>1.1491660957693461</c:v>
                  </c:pt>
                  <c:pt idx="100">
                    <c:v>1.053692250833598</c:v>
                  </c:pt>
                  <c:pt idx="101">
                    <c:v>0.55120159532390423</c:v>
                  </c:pt>
                  <c:pt idx="102">
                    <c:v>1.3018339211634422</c:v>
                  </c:pt>
                  <c:pt idx="103">
                    <c:v>0.57953890609923908</c:v>
                  </c:pt>
                  <c:pt idx="104">
                    <c:v>0.66962147025416952</c:v>
                  </c:pt>
                  <c:pt idx="105">
                    <c:v>0.39905771959959802</c:v>
                  </c:pt>
                  <c:pt idx="106">
                    <c:v>0.25066800183452853</c:v>
                  </c:pt>
                  <c:pt idx="107">
                    <c:v>0.61356040503321441</c:v>
                  </c:pt>
                  <c:pt idx="108">
                    <c:v>0.57420263081663814</c:v>
                  </c:pt>
                  <c:pt idx="109">
                    <c:v>0.78772148732801295</c:v>
                  </c:pt>
                  <c:pt idx="110">
                    <c:v>0.62073410216453229</c:v>
                  </c:pt>
                  <c:pt idx="111">
                    <c:v>1.1462852809603259</c:v>
                  </c:pt>
                  <c:pt idx="112">
                    <c:v>0.66805435460674867</c:v>
                  </c:pt>
                  <c:pt idx="113">
                    <c:v>0.84394773075247587</c:v>
                  </c:pt>
                  <c:pt idx="114">
                    <c:v>0.50268176080497251</c:v>
                  </c:pt>
                  <c:pt idx="115">
                    <c:v>0.81312720765573021</c:v>
                  </c:pt>
                  <c:pt idx="116">
                    <c:v>1.0589199337034072</c:v>
                  </c:pt>
                  <c:pt idx="117">
                    <c:v>0.31812537189614132</c:v>
                  </c:pt>
                  <c:pt idx="118">
                    <c:v>0.80992152395898365</c:v>
                  </c:pt>
                  <c:pt idx="119">
                    <c:v>0.37158516056456548</c:v>
                  </c:pt>
                  <c:pt idx="120">
                    <c:v>0.51986340544851739</c:v>
                  </c:pt>
                  <c:pt idx="121">
                    <c:v>0.31372244562407525</c:v>
                  </c:pt>
                  <c:pt idx="122">
                    <c:v>0.70813689194666807</c:v>
                  </c:pt>
                  <c:pt idx="123">
                    <c:v>0.49470566167630314</c:v>
                  </c:pt>
                  <c:pt idx="125">
                    <c:v>0.61253893985408803</c:v>
                  </c:pt>
                  <c:pt idx="127">
                    <c:v>0.43180729407446455</c:v>
                  </c:pt>
                  <c:pt idx="129">
                    <c:v>0.29614038739976684</c:v>
                  </c:pt>
                  <c:pt idx="132">
                    <c:v>0.85160824961428849</c:v>
                  </c:pt>
                  <c:pt idx="133">
                    <c:v>1.0801153559867105</c:v>
                  </c:pt>
                  <c:pt idx="134">
                    <c:v>0.81544475636960156</c:v>
                  </c:pt>
                  <c:pt idx="135">
                    <c:v>1.0801662728454566</c:v>
                  </c:pt>
                  <c:pt idx="136">
                    <c:v>1.1170023490514938</c:v>
                  </c:pt>
                  <c:pt idx="137">
                    <c:v>1.0320278227213779</c:v>
                  </c:pt>
                  <c:pt idx="138">
                    <c:v>1.0480828677426504</c:v>
                  </c:pt>
                  <c:pt idx="139">
                    <c:v>1.0345888055440176</c:v>
                  </c:pt>
                  <c:pt idx="140">
                    <c:v>0.74839318732548576</c:v>
                  </c:pt>
                  <c:pt idx="141">
                    <c:v>0.87011534647707267</c:v>
                  </c:pt>
                  <c:pt idx="142">
                    <c:v>0.32683808787068269</c:v>
                  </c:pt>
                  <c:pt idx="143">
                    <c:v>0.53649280382574549</c:v>
                  </c:pt>
                  <c:pt idx="144">
                    <c:v>1.0061729256578551</c:v>
                  </c:pt>
                  <c:pt idx="145">
                    <c:v>0.63825869723207496</c:v>
                  </c:pt>
                  <c:pt idx="146">
                    <c:v>0.60908153216787853</c:v>
                  </c:pt>
                  <c:pt idx="147">
                    <c:v>0.59621923205727478</c:v>
                  </c:pt>
                  <c:pt idx="148">
                    <c:v>0.5419129109711821</c:v>
                  </c:pt>
                  <c:pt idx="149">
                    <c:v>0.56028118177750419</c:v>
                  </c:pt>
                  <c:pt idx="150">
                    <c:v>0.3238910914360934</c:v>
                  </c:pt>
                  <c:pt idx="151">
                    <c:v>0.60637805350515595</c:v>
                  </c:pt>
                  <c:pt idx="152">
                    <c:v>1.6394448957199432</c:v>
                  </c:pt>
                  <c:pt idx="153">
                    <c:v>0.71583066904432191</c:v>
                  </c:pt>
                  <c:pt idx="154">
                    <c:v>1.7575847877091719</c:v>
                  </c:pt>
                  <c:pt idx="155">
                    <c:v>0.8995859005882223</c:v>
                  </c:pt>
                  <c:pt idx="156">
                    <c:v>0.721284746730396</c:v>
                  </c:pt>
                  <c:pt idx="157">
                    <c:v>0.38612508109419263</c:v>
                  </c:pt>
                  <c:pt idx="158">
                    <c:v>1.0801153559867105</c:v>
                  </c:pt>
                  <c:pt idx="159">
                    <c:v>0.66606093801554245</c:v>
                  </c:pt>
                  <c:pt idx="160">
                    <c:v>1.6198224747735466</c:v>
                  </c:pt>
                  <c:pt idx="161">
                    <c:v>0.40770918809579149</c:v>
                  </c:pt>
                  <c:pt idx="162">
                    <c:v>1.4492051125235923</c:v>
                  </c:pt>
                  <c:pt idx="163">
                    <c:v>0.36638177560768459</c:v>
                  </c:pt>
                  <c:pt idx="164">
                    <c:v>0.34535909591726022</c:v>
                  </c:pt>
                  <c:pt idx="165">
                    <c:v>1.0536982161877608</c:v>
                  </c:pt>
                  <c:pt idx="166">
                    <c:v>0.22922705687515046</c:v>
                  </c:pt>
                  <c:pt idx="167">
                    <c:v>0.35154444428584986</c:v>
                  </c:pt>
                  <c:pt idx="168">
                    <c:v>0.6514270072664986</c:v>
                  </c:pt>
                  <c:pt idx="169">
                    <c:v>0.47144197798129939</c:v>
                  </c:pt>
                  <c:pt idx="171">
                    <c:v>0.31992360169065481</c:v>
                  </c:pt>
                  <c:pt idx="173">
                    <c:v>0.3778961606068757</c:v>
                  </c:pt>
                  <c:pt idx="175">
                    <c:v>0.24385103373810368</c:v>
                  </c:pt>
                  <c:pt idx="177">
                    <c:v>0.12123975641252036</c:v>
                  </c:pt>
                  <c:pt idx="179">
                    <c:v>0.15917882760495478</c:v>
                  </c:pt>
                  <c:pt idx="181">
                    <c:v>9.3770782125221275E-2</c:v>
                  </c:pt>
                </c:numCache>
              </c:numRef>
            </c:minus>
          </c:errBars>
          <c:xVal>
            <c:numRef>
              <c:f>'Calc-S'!$S$4:$S$186</c:f>
              <c:numCache>
                <c:formatCode>0.00</c:formatCode>
                <c:ptCount val="183"/>
                <c:pt idx="0">
                  <c:v>0.76</c:v>
                </c:pt>
                <c:pt idx="1">
                  <c:v>7.0000000000000007E-2</c:v>
                </c:pt>
                <c:pt idx="2">
                  <c:v>-0.17</c:v>
                </c:pt>
                <c:pt idx="3">
                  <c:v>0.11</c:v>
                </c:pt>
                <c:pt idx="4">
                  <c:v>0.15</c:v>
                </c:pt>
                <c:pt idx="5">
                  <c:v>0.2</c:v>
                </c:pt>
                <c:pt idx="6">
                  <c:v>-0.36</c:v>
                </c:pt>
                <c:pt idx="7">
                  <c:v>-0.24</c:v>
                </c:pt>
                <c:pt idx="8">
                  <c:v>-0.57999999999999996</c:v>
                </c:pt>
                <c:pt idx="9">
                  <c:v>-0.2</c:v>
                </c:pt>
                <c:pt idx="10">
                  <c:v>-0.12</c:v>
                </c:pt>
                <c:pt idx="11">
                  <c:v>0.35</c:v>
                </c:pt>
                <c:pt idx="12">
                  <c:v>0.36</c:v>
                </c:pt>
                <c:pt idx="14">
                  <c:v>0.23375774640182209</c:v>
                </c:pt>
                <c:pt idx="16">
                  <c:v>0.25438534215138275</c:v>
                </c:pt>
                <c:pt idx="18">
                  <c:v>0.24440793328157528</c:v>
                </c:pt>
                <c:pt idx="21">
                  <c:v>0.67</c:v>
                </c:pt>
                <c:pt idx="22">
                  <c:v>0.46</c:v>
                </c:pt>
                <c:pt idx="23">
                  <c:v>0.18</c:v>
                </c:pt>
                <c:pt idx="24">
                  <c:v>-0.03</c:v>
                </c:pt>
                <c:pt idx="25">
                  <c:v>0.51</c:v>
                </c:pt>
                <c:pt idx="26">
                  <c:v>7.0000000000000007E-2</c:v>
                </c:pt>
                <c:pt idx="27">
                  <c:v>0.73</c:v>
                </c:pt>
                <c:pt idx="28">
                  <c:v>0.66</c:v>
                </c:pt>
                <c:pt idx="29">
                  <c:v>-0.75</c:v>
                </c:pt>
                <c:pt idx="30">
                  <c:v>-0.1</c:v>
                </c:pt>
                <c:pt idx="31">
                  <c:v>-0.36</c:v>
                </c:pt>
                <c:pt idx="32">
                  <c:v>0.12</c:v>
                </c:pt>
                <c:pt idx="33">
                  <c:v>7.0000000000000007E-2</c:v>
                </c:pt>
                <c:pt idx="34">
                  <c:v>-0.16</c:v>
                </c:pt>
                <c:pt idx="36">
                  <c:v>0.39938962665442412</c:v>
                </c:pt>
                <c:pt idx="38">
                  <c:v>0.33625052270730516</c:v>
                </c:pt>
                <c:pt idx="40">
                  <c:v>0.37424111931405424</c:v>
                </c:pt>
                <c:pt idx="43">
                  <c:v>0.26</c:v>
                </c:pt>
                <c:pt idx="44">
                  <c:v>0.44</c:v>
                </c:pt>
                <c:pt idx="45">
                  <c:v>-0.96</c:v>
                </c:pt>
                <c:pt idx="46">
                  <c:v>0.28000000000000003</c:v>
                </c:pt>
                <c:pt idx="47">
                  <c:v>0.21</c:v>
                </c:pt>
                <c:pt idx="48">
                  <c:v>0.38</c:v>
                </c:pt>
                <c:pt idx="49">
                  <c:v>0.46</c:v>
                </c:pt>
                <c:pt idx="50">
                  <c:v>0.16</c:v>
                </c:pt>
                <c:pt idx="51">
                  <c:v>0.63</c:v>
                </c:pt>
                <c:pt idx="52">
                  <c:v>-0.3</c:v>
                </c:pt>
                <c:pt idx="53">
                  <c:v>-0.43</c:v>
                </c:pt>
                <c:pt idx="54">
                  <c:v>0.68</c:v>
                </c:pt>
                <c:pt idx="55">
                  <c:v>0.26</c:v>
                </c:pt>
                <c:pt idx="56">
                  <c:v>0.01</c:v>
                </c:pt>
                <c:pt idx="57">
                  <c:v>0.09</c:v>
                </c:pt>
                <c:pt idx="58">
                  <c:v>-0.2</c:v>
                </c:pt>
                <c:pt idx="59">
                  <c:v>0.1</c:v>
                </c:pt>
                <c:pt idx="60">
                  <c:v>0.51</c:v>
                </c:pt>
                <c:pt idx="61">
                  <c:v>-0.5</c:v>
                </c:pt>
                <c:pt idx="62">
                  <c:v>0.06</c:v>
                </c:pt>
                <c:pt idx="63">
                  <c:v>0.2</c:v>
                </c:pt>
                <c:pt idx="64">
                  <c:v>0.34</c:v>
                </c:pt>
                <c:pt idx="66">
                  <c:v>0.34637274708314608</c:v>
                </c:pt>
                <c:pt idx="68">
                  <c:v>0.34710382825896952</c:v>
                </c:pt>
                <c:pt idx="70">
                  <c:v>0.34673720552750559</c:v>
                </c:pt>
                <c:pt idx="73">
                  <c:v>0.57999999999999996</c:v>
                </c:pt>
                <c:pt idx="74">
                  <c:v>0.31</c:v>
                </c:pt>
                <c:pt idx="75">
                  <c:v>0.54</c:v>
                </c:pt>
                <c:pt idx="76">
                  <c:v>-0.14000000000000001</c:v>
                </c:pt>
                <c:pt idx="77">
                  <c:v>0.75</c:v>
                </c:pt>
                <c:pt idx="78">
                  <c:v>0.02</c:v>
                </c:pt>
                <c:pt idx="79">
                  <c:v>0.79</c:v>
                </c:pt>
                <c:pt idx="80">
                  <c:v>0.18</c:v>
                </c:pt>
                <c:pt idx="81">
                  <c:v>0.14000000000000001</c:v>
                </c:pt>
                <c:pt idx="82">
                  <c:v>0.19</c:v>
                </c:pt>
                <c:pt idx="83">
                  <c:v>0.52</c:v>
                </c:pt>
                <c:pt idx="84">
                  <c:v>-0.25</c:v>
                </c:pt>
                <c:pt idx="85">
                  <c:v>0.39</c:v>
                </c:pt>
                <c:pt idx="86">
                  <c:v>-0.32</c:v>
                </c:pt>
                <c:pt idx="87">
                  <c:v>0.43</c:v>
                </c:pt>
                <c:pt idx="88">
                  <c:v>0.64</c:v>
                </c:pt>
                <c:pt idx="89">
                  <c:v>0.14000000000000001</c:v>
                </c:pt>
                <c:pt idx="90">
                  <c:v>0.03</c:v>
                </c:pt>
                <c:pt idx="92">
                  <c:v>0.54772818893922182</c:v>
                </c:pt>
                <c:pt idx="94">
                  <c:v>0.18284108621268955</c:v>
                </c:pt>
                <c:pt idx="96">
                  <c:v>0.45730122088864816</c:v>
                </c:pt>
                <c:pt idx="99">
                  <c:v>0.16</c:v>
                </c:pt>
                <c:pt idx="100">
                  <c:v>0.16</c:v>
                </c:pt>
                <c:pt idx="101">
                  <c:v>0.3</c:v>
                </c:pt>
                <c:pt idx="102">
                  <c:v>0.53</c:v>
                </c:pt>
                <c:pt idx="103">
                  <c:v>-0.42</c:v>
                </c:pt>
                <c:pt idx="104">
                  <c:v>0.1</c:v>
                </c:pt>
                <c:pt idx="105">
                  <c:v>-0.57999999999999996</c:v>
                </c:pt>
                <c:pt idx="106">
                  <c:v>-0.7</c:v>
                </c:pt>
                <c:pt idx="107">
                  <c:v>-7.0000000000000007E-2</c:v>
                </c:pt>
                <c:pt idx="108">
                  <c:v>0.2</c:v>
                </c:pt>
                <c:pt idx="109">
                  <c:v>0.1</c:v>
                </c:pt>
                <c:pt idx="110">
                  <c:v>0.27</c:v>
                </c:pt>
                <c:pt idx="111">
                  <c:v>0.16</c:v>
                </c:pt>
                <c:pt idx="112">
                  <c:v>-0.04</c:v>
                </c:pt>
                <c:pt idx="113">
                  <c:v>0.17</c:v>
                </c:pt>
                <c:pt idx="114">
                  <c:v>-0.35</c:v>
                </c:pt>
                <c:pt idx="115">
                  <c:v>-0.01</c:v>
                </c:pt>
                <c:pt idx="116">
                  <c:v>0.32</c:v>
                </c:pt>
                <c:pt idx="117">
                  <c:v>-0.03</c:v>
                </c:pt>
                <c:pt idx="118">
                  <c:v>-0.04</c:v>
                </c:pt>
                <c:pt idx="119">
                  <c:v>0.17</c:v>
                </c:pt>
                <c:pt idx="120">
                  <c:v>-0.03</c:v>
                </c:pt>
                <c:pt idx="121">
                  <c:v>0.31</c:v>
                </c:pt>
                <c:pt idx="122">
                  <c:v>0.1</c:v>
                </c:pt>
                <c:pt idx="123">
                  <c:v>0.33</c:v>
                </c:pt>
                <c:pt idx="125">
                  <c:v>9.9426792710269024E-2</c:v>
                </c:pt>
                <c:pt idx="127">
                  <c:v>0.21981732265658269</c:v>
                </c:pt>
                <c:pt idx="129">
                  <c:v>0.20003759863619866</c:v>
                </c:pt>
                <c:pt idx="132">
                  <c:v>0.3</c:v>
                </c:pt>
                <c:pt idx="133">
                  <c:v>0.12</c:v>
                </c:pt>
                <c:pt idx="134">
                  <c:v>0.38</c:v>
                </c:pt>
                <c:pt idx="135">
                  <c:v>0.64</c:v>
                </c:pt>
                <c:pt idx="136">
                  <c:v>0.7</c:v>
                </c:pt>
                <c:pt idx="137">
                  <c:v>0.69</c:v>
                </c:pt>
                <c:pt idx="138">
                  <c:v>0.37</c:v>
                </c:pt>
                <c:pt idx="139">
                  <c:v>0.44</c:v>
                </c:pt>
                <c:pt idx="140">
                  <c:v>0.11</c:v>
                </c:pt>
                <c:pt idx="141">
                  <c:v>0.1</c:v>
                </c:pt>
                <c:pt idx="142">
                  <c:v>0.43</c:v>
                </c:pt>
                <c:pt idx="143">
                  <c:v>0.18</c:v>
                </c:pt>
                <c:pt idx="144">
                  <c:v>0.28000000000000003</c:v>
                </c:pt>
                <c:pt idx="145">
                  <c:v>0.52</c:v>
                </c:pt>
                <c:pt idx="146">
                  <c:v>-0.26</c:v>
                </c:pt>
                <c:pt idx="147">
                  <c:v>-0.06</c:v>
                </c:pt>
                <c:pt idx="148">
                  <c:v>-0.22</c:v>
                </c:pt>
                <c:pt idx="149">
                  <c:v>-0.43</c:v>
                </c:pt>
                <c:pt idx="150">
                  <c:v>-0.11</c:v>
                </c:pt>
                <c:pt idx="151">
                  <c:v>-0.16</c:v>
                </c:pt>
                <c:pt idx="152">
                  <c:v>0.64</c:v>
                </c:pt>
                <c:pt idx="153">
                  <c:v>-0.02</c:v>
                </c:pt>
                <c:pt idx="154">
                  <c:v>0.8</c:v>
                </c:pt>
                <c:pt idx="155">
                  <c:v>0.11</c:v>
                </c:pt>
                <c:pt idx="156">
                  <c:v>0.05</c:v>
                </c:pt>
                <c:pt idx="157">
                  <c:v>-0.6</c:v>
                </c:pt>
                <c:pt idx="158">
                  <c:v>0.12</c:v>
                </c:pt>
                <c:pt idx="159">
                  <c:v>-0.11</c:v>
                </c:pt>
                <c:pt idx="160">
                  <c:v>0.69</c:v>
                </c:pt>
                <c:pt idx="161">
                  <c:v>-0.57999999999999996</c:v>
                </c:pt>
                <c:pt idx="162">
                  <c:v>0.54</c:v>
                </c:pt>
                <c:pt idx="163">
                  <c:v>-0.55000000000000004</c:v>
                </c:pt>
                <c:pt idx="164">
                  <c:v>-0.57999999999999996</c:v>
                </c:pt>
                <c:pt idx="165">
                  <c:v>0.08</c:v>
                </c:pt>
                <c:pt idx="166">
                  <c:v>-0.03</c:v>
                </c:pt>
                <c:pt idx="167">
                  <c:v>0.15</c:v>
                </c:pt>
                <c:pt idx="168">
                  <c:v>0.05</c:v>
                </c:pt>
                <c:pt idx="169">
                  <c:v>0.25</c:v>
                </c:pt>
                <c:pt idx="171">
                  <c:v>0.19603648299331966</c:v>
                </c:pt>
                <c:pt idx="173">
                  <c:v>0.23718736671850479</c:v>
                </c:pt>
                <c:pt idx="175">
                  <c:v>0.21128641095252632</c:v>
                </c:pt>
                <c:pt idx="177">
                  <c:v>0.32004751386591812</c:v>
                </c:pt>
                <c:pt idx="179">
                  <c:v>0.27436697738087323</c:v>
                </c:pt>
                <c:pt idx="181">
                  <c:v>0.30341434264732708</c:v>
                </c:pt>
              </c:numCache>
            </c:numRef>
          </c:xVal>
          <c:yVal>
            <c:numRef>
              <c:f>'Calc-S'!$T$4:$T$186</c:f>
              <c:numCache>
                <c:formatCode>General</c:formatCode>
                <c:ptCount val="183"/>
                <c:pt idx="0">
                  <c:v>182</c:v>
                </c:pt>
                <c:pt idx="1">
                  <c:v>181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  <c:pt idx="8">
                  <c:v>174</c:v>
                </c:pt>
                <c:pt idx="9">
                  <c:v>173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107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91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67</c:v>
                </c:pt>
                <c:pt idx="116">
                  <c:v>66</c:v>
                </c:pt>
                <c:pt idx="117">
                  <c:v>65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46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32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75744"/>
        <c:axId val="230280840"/>
      </c:scatterChart>
      <c:valAx>
        <c:axId val="23027574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0280840"/>
        <c:crosses val="autoZero"/>
        <c:crossBetween val="midCat"/>
        <c:majorUnit val="0.25"/>
      </c:valAx>
      <c:valAx>
        <c:axId val="230280840"/>
        <c:scaling>
          <c:orientation val="minMax"/>
          <c:max val="18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30275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8467223805602E-2"/>
          <c:y val="1.5604642394185201E-3"/>
          <c:w val="0.86403386309840102"/>
          <c:h val="0.96976708215562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'Calc-R'!$T$3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6"/>
            </c:marker>
            <c:bubble3D val="0"/>
          </c:dPt>
          <c:dPt>
            <c:idx val="1"/>
            <c:marker>
              <c:symbol val="square"/>
              <c:size val="8"/>
            </c:marker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marker>
              <c:symbol val="square"/>
              <c:size val="2"/>
            </c:marker>
            <c:bubble3D val="0"/>
          </c:dPt>
          <c:dPt>
            <c:idx val="5"/>
            <c:marker>
              <c:symbol val="square"/>
              <c:size val="5"/>
            </c:marker>
            <c:bubble3D val="0"/>
          </c:dPt>
          <c:dPt>
            <c:idx val="6"/>
            <c:marker>
              <c:symbol val="square"/>
              <c:size val="8"/>
            </c:marker>
            <c:bubble3D val="0"/>
          </c:dPt>
          <c:dPt>
            <c:idx val="7"/>
            <c:marker>
              <c:symbol val="square"/>
              <c:size val="13"/>
            </c:marker>
            <c:bubble3D val="0"/>
          </c:dPt>
          <c:dPt>
            <c:idx val="8"/>
            <c:marker>
              <c:symbol val="square"/>
              <c:size val="8"/>
            </c:marker>
            <c:bubble3D val="0"/>
          </c:dPt>
          <c:dPt>
            <c:idx val="9"/>
            <c:marker>
              <c:symbol val="square"/>
              <c:size val="13"/>
            </c:marker>
            <c:bubble3D val="0"/>
          </c:dPt>
          <c:dPt>
            <c:idx val="10"/>
            <c:marker>
              <c:symbol val="square"/>
              <c:size val="13"/>
            </c:marker>
            <c:bubble3D val="0"/>
          </c:dPt>
          <c:dPt>
            <c:idx val="11"/>
            <c:marker>
              <c:symbol val="square"/>
              <c:size val="8"/>
            </c:marker>
            <c:bubble3D val="0"/>
          </c:dPt>
          <c:dPt>
            <c:idx val="12"/>
            <c:marker>
              <c:symbol val="square"/>
              <c:size val="8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ymbol val="square"/>
              <c:size val="5"/>
            </c:marker>
            <c:bubble3D val="0"/>
          </c:dPt>
          <c:dPt>
            <c:idx val="22"/>
            <c:marker>
              <c:symbol val="square"/>
              <c:size val="7"/>
            </c:marker>
            <c:bubble3D val="0"/>
          </c:dPt>
          <c:dPt>
            <c:idx val="23"/>
            <c:marker>
              <c:symbol val="square"/>
              <c:size val="11"/>
            </c:marker>
            <c:bubble3D val="0"/>
          </c:dPt>
          <c:dPt>
            <c:idx val="24"/>
            <c:marker>
              <c:symbol val="square"/>
              <c:size val="11"/>
            </c:marker>
            <c:bubble3D val="0"/>
          </c:dPt>
          <c:dPt>
            <c:idx val="25"/>
            <c:marker>
              <c:symbol val="square"/>
              <c:size val="3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square"/>
              <c:size val="5"/>
            </c:marker>
            <c:bubble3D val="0"/>
          </c:dPt>
          <c:dPt>
            <c:idx val="28"/>
            <c:marker>
              <c:symbol val="square"/>
              <c:size val="6"/>
            </c:marker>
            <c:bubble3D val="0"/>
          </c:dPt>
          <c:dPt>
            <c:idx val="29"/>
            <c:marker>
              <c:symbol val="square"/>
              <c:size val="8"/>
            </c:marker>
            <c:bubble3D val="0"/>
          </c:dPt>
          <c:dPt>
            <c:idx val="30"/>
            <c:marker>
              <c:symbol val="square"/>
              <c:size val="11"/>
            </c:marker>
            <c:bubble3D val="0"/>
          </c:dPt>
          <c:dPt>
            <c:idx val="31"/>
            <c:marker>
              <c:symbol val="square"/>
              <c:size val="7"/>
            </c:marker>
            <c:bubble3D val="0"/>
          </c:dPt>
          <c:dPt>
            <c:idx val="32"/>
            <c:marker>
              <c:symbol val="square"/>
              <c:size val="11"/>
            </c:marker>
            <c:bubble3D val="0"/>
          </c:dPt>
          <c:dPt>
            <c:idx val="33"/>
            <c:marker>
              <c:symbol val="square"/>
              <c:size val="6"/>
            </c:marker>
            <c:bubble3D val="0"/>
          </c:dPt>
          <c:dPt>
            <c:idx val="34"/>
            <c:marker>
              <c:symbol val="square"/>
              <c:size val="7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marker>
              <c:symbol val="square"/>
              <c:size val="5"/>
            </c:marker>
            <c:bubble3D val="0"/>
          </c:dPt>
          <c:dPt>
            <c:idx val="45"/>
            <c:marker>
              <c:symbol val="square"/>
              <c:size val="3"/>
            </c:marker>
            <c:bubble3D val="0"/>
          </c:dPt>
          <c:dPt>
            <c:idx val="46"/>
            <c:bubble3D val="0"/>
          </c:dPt>
          <c:dPt>
            <c:idx val="47"/>
            <c:marker>
              <c:symbol val="square"/>
              <c:size val="7"/>
            </c:marker>
            <c:bubble3D val="0"/>
          </c:dPt>
          <c:dPt>
            <c:idx val="48"/>
            <c:marker>
              <c:symbol val="square"/>
              <c:size val="10"/>
            </c:marker>
            <c:bubble3D val="0"/>
          </c:dPt>
          <c:dPt>
            <c:idx val="49"/>
            <c:marker>
              <c:symbol val="square"/>
              <c:size val="3"/>
            </c:marker>
            <c:bubble3D val="0"/>
          </c:dPt>
          <c:dPt>
            <c:idx val="50"/>
            <c:marker>
              <c:symbol val="square"/>
              <c:size val="5"/>
            </c:marker>
            <c:bubble3D val="0"/>
          </c:dPt>
          <c:dPt>
            <c:idx val="51"/>
            <c:bubble3D val="0"/>
          </c:dPt>
          <c:dPt>
            <c:idx val="52"/>
            <c:marker>
              <c:symbol val="square"/>
              <c:size val="5"/>
            </c:marker>
            <c:bubble3D val="0"/>
          </c:dPt>
          <c:dPt>
            <c:idx val="53"/>
            <c:marker>
              <c:symbol val="square"/>
              <c:size val="6"/>
            </c:marker>
            <c:bubble3D val="0"/>
          </c:dPt>
          <c:dPt>
            <c:idx val="54"/>
            <c:marker>
              <c:symbol val="square"/>
              <c:size val="7"/>
            </c:marker>
            <c:bubble3D val="0"/>
          </c:dPt>
          <c:dPt>
            <c:idx val="55"/>
            <c:marker>
              <c:symbol val="square"/>
              <c:size val="6"/>
            </c:marker>
            <c:bubble3D val="0"/>
          </c:dPt>
          <c:dPt>
            <c:idx val="56"/>
            <c:marker>
              <c:symbol val="square"/>
              <c:size val="7"/>
            </c:marker>
            <c:bubble3D val="0"/>
          </c:dPt>
          <c:dPt>
            <c:idx val="57"/>
            <c:marker>
              <c:symbol val="square"/>
              <c:size val="5"/>
            </c:marker>
            <c:bubble3D val="0"/>
          </c:dPt>
          <c:dPt>
            <c:idx val="58"/>
            <c:marker>
              <c:symbol val="square"/>
              <c:size val="7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marker>
              <c:symbol val="square"/>
              <c:size val="7"/>
            </c:marker>
            <c:bubble3D val="0"/>
          </c:dPt>
          <c:dPt>
            <c:idx val="61"/>
            <c:marker>
              <c:symbol val="square"/>
              <c:size val="6"/>
            </c:marker>
            <c:bubble3D val="0"/>
          </c:dPt>
          <c:dPt>
            <c:idx val="62"/>
            <c:marker>
              <c:symbol val="square"/>
              <c:size val="6"/>
            </c:marker>
            <c:bubble3D val="0"/>
          </c:dPt>
          <c:dPt>
            <c:idx val="63"/>
            <c:marker>
              <c:symbol val="square"/>
              <c:size val="5"/>
            </c:marker>
            <c:bubble3D val="0"/>
          </c:dPt>
          <c:dPt>
            <c:idx val="64"/>
            <c:marker>
              <c:symbol val="square"/>
              <c:size val="5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4"/>
            <c:marker>
              <c:symbol val="square"/>
              <c:size val="6"/>
            </c:marker>
            <c:bubble3D val="0"/>
          </c:dPt>
          <c:dPt>
            <c:idx val="75"/>
            <c:marker>
              <c:symbol val="square"/>
              <c:size val="9"/>
            </c:marker>
            <c:bubble3D val="0"/>
          </c:dPt>
          <c:dPt>
            <c:idx val="76"/>
            <c:marker>
              <c:symbol val="square"/>
              <c:size val="9"/>
            </c:marker>
            <c:bubble3D val="0"/>
          </c:dPt>
          <c:dPt>
            <c:idx val="77"/>
            <c:bubble3D val="0"/>
          </c:dPt>
          <c:dPt>
            <c:idx val="78"/>
            <c:marker>
              <c:symbol val="square"/>
              <c:size val="5"/>
            </c:marker>
            <c:bubble3D val="0"/>
          </c:dPt>
          <c:dPt>
            <c:idx val="79"/>
            <c:bubble3D val="0"/>
          </c:dPt>
          <c:dPt>
            <c:idx val="80"/>
            <c:marker>
              <c:symbol val="square"/>
              <c:size val="5"/>
            </c:marker>
            <c:bubble3D val="0"/>
          </c:dPt>
          <c:dPt>
            <c:idx val="81"/>
            <c:marker>
              <c:symbol val="square"/>
              <c:size val="6"/>
            </c:marker>
            <c:bubble3D val="0"/>
          </c:dPt>
          <c:dPt>
            <c:idx val="82"/>
            <c:marker>
              <c:symbol val="square"/>
              <c:size val="7"/>
            </c:marker>
            <c:bubble3D val="0"/>
          </c:dPt>
          <c:dPt>
            <c:idx val="83"/>
            <c:marker>
              <c:symbol val="square"/>
              <c:size val="9"/>
            </c:marker>
            <c:bubble3D val="0"/>
          </c:dPt>
          <c:dPt>
            <c:idx val="84"/>
            <c:marker>
              <c:symbol val="square"/>
              <c:size val="9"/>
            </c:marker>
            <c:bubble3D val="0"/>
          </c:dPt>
          <c:dPt>
            <c:idx val="85"/>
            <c:marker>
              <c:symbol val="square"/>
              <c:size val="7"/>
            </c:marker>
            <c:bubble3D val="0"/>
          </c:dPt>
          <c:dPt>
            <c:idx val="86"/>
            <c:marker>
              <c:symbol val="square"/>
              <c:size val="9"/>
            </c:marker>
            <c:bubble3D val="0"/>
          </c:dPt>
          <c:dPt>
            <c:idx val="87"/>
            <c:marker>
              <c:symbol val="square"/>
              <c:size val="7"/>
            </c:marker>
            <c:bubble3D val="0"/>
          </c:dPt>
          <c:dPt>
            <c:idx val="88"/>
            <c:marker>
              <c:symbol val="square"/>
              <c:size val="9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7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bubble3D val="0"/>
          </c:dPt>
          <c:dPt>
            <c:idx val="100"/>
            <c:marker>
              <c:symbol val="square"/>
              <c:size val="5"/>
            </c:marker>
            <c:bubble3D val="0"/>
          </c:dPt>
          <c:dPt>
            <c:idx val="101"/>
            <c:bubble3D val="0"/>
          </c:dPt>
          <c:dPt>
            <c:idx val="102"/>
            <c:bubble3D val="0"/>
          </c:dPt>
          <c:dPt>
            <c:idx val="103"/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bubble3D val="0"/>
          </c:dPt>
          <c:dPt>
            <c:idx val="106"/>
            <c:marker>
              <c:symbol val="square"/>
              <c:size val="5"/>
            </c:marker>
            <c:bubble3D val="0"/>
          </c:dPt>
          <c:dPt>
            <c:idx val="107"/>
            <c:marker>
              <c:symbol val="square"/>
              <c:size val="3"/>
            </c:marker>
            <c:bubble3D val="0"/>
          </c:dPt>
          <c:dPt>
            <c:idx val="108"/>
            <c:bubble3D val="0"/>
          </c:dPt>
          <c:dPt>
            <c:idx val="109"/>
            <c:marker>
              <c:symbol val="square"/>
              <c:size val="3"/>
            </c:marker>
            <c:bubble3D val="0"/>
          </c:dPt>
          <c:dPt>
            <c:idx val="110"/>
            <c:bubble3D val="0"/>
          </c:dPt>
          <c:dPt>
            <c:idx val="111"/>
            <c:bubble3D val="0"/>
          </c:dPt>
          <c:dPt>
            <c:idx val="112"/>
            <c:marker>
              <c:symbol val="square"/>
              <c:size val="7"/>
            </c:marker>
            <c:bubble3D val="0"/>
          </c:dPt>
          <c:dPt>
            <c:idx val="113"/>
            <c:marker>
              <c:symbol val="square"/>
              <c:size val="5"/>
            </c:marker>
            <c:bubble3D val="0"/>
          </c:dPt>
          <c:dPt>
            <c:idx val="114"/>
            <c:marker>
              <c:symbol val="square"/>
              <c:size val="7"/>
            </c:marker>
            <c:bubble3D val="0"/>
          </c:dPt>
          <c:dPt>
            <c:idx val="115"/>
            <c:marker>
              <c:symbol val="square"/>
              <c:size val="5"/>
            </c:marker>
            <c:bubble3D val="0"/>
          </c:dPt>
          <c:dPt>
            <c:idx val="116"/>
            <c:marker>
              <c:symbol val="square"/>
              <c:size val="7"/>
            </c:marker>
            <c:bubble3D val="0"/>
          </c:dPt>
          <c:dPt>
            <c:idx val="117"/>
            <c:marker>
              <c:symbol val="square"/>
              <c:size val="7"/>
            </c:marker>
            <c:bubble3D val="0"/>
          </c:dPt>
          <c:dPt>
            <c:idx val="118"/>
            <c:marker>
              <c:symbol val="square"/>
              <c:size val="5"/>
            </c:marker>
            <c:bubble3D val="0"/>
          </c:dPt>
          <c:dPt>
            <c:idx val="119"/>
            <c:marker>
              <c:symbol val="square"/>
              <c:size val="6"/>
            </c:marker>
            <c:bubble3D val="0"/>
          </c:dPt>
          <c:dPt>
            <c:idx val="120"/>
            <c:marker>
              <c:symbol val="square"/>
              <c:size val="5"/>
            </c:marker>
            <c:bubble3D val="0"/>
          </c:dPt>
          <c:dPt>
            <c:idx val="121"/>
            <c:marker>
              <c:symbol val="square"/>
              <c:size val="6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6"/>
            </c:marker>
            <c:bubble3D val="0"/>
          </c:dPt>
          <c:dPt>
            <c:idx val="12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3"/>
            </c:marker>
            <c:bubble3D val="0"/>
          </c:dPt>
          <c:dPt>
            <c:idx val="133"/>
            <c:marker>
              <c:symbol val="square"/>
              <c:size val="2"/>
            </c:marker>
            <c:bubble3D val="0"/>
          </c:dPt>
          <c:dPt>
            <c:idx val="134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3"/>
            </c:marker>
            <c:bubble3D val="0"/>
          </c:dPt>
          <c:dPt>
            <c:idx val="136"/>
            <c:marker>
              <c:symbol val="square"/>
              <c:size val="6"/>
            </c:marker>
            <c:bubble3D val="0"/>
          </c:dPt>
          <c:dPt>
            <c:idx val="137"/>
            <c:marker>
              <c:symbol val="square"/>
              <c:size val="6"/>
            </c:marker>
            <c:bubble3D val="0"/>
          </c:dPt>
          <c:dPt>
            <c:idx val="138"/>
            <c:bubble3D val="0"/>
          </c:dPt>
          <c:dPt>
            <c:idx val="139"/>
            <c:marker>
              <c:symbol val="square"/>
              <c:size val="6"/>
            </c:marker>
            <c:bubble3D val="0"/>
          </c:dPt>
          <c:dPt>
            <c:idx val="140"/>
            <c:marker>
              <c:symbol val="square"/>
              <c:size val="2"/>
            </c:marker>
            <c:bubble3D val="0"/>
          </c:dPt>
          <c:dPt>
            <c:idx val="141"/>
            <c:marker>
              <c:symbol val="square"/>
              <c:size val="3"/>
            </c:marker>
            <c:bubble3D val="0"/>
          </c:dPt>
          <c:dPt>
            <c:idx val="142"/>
            <c:marker>
              <c:symbol val="square"/>
              <c:size val="3"/>
            </c:marker>
            <c:bubble3D val="0"/>
          </c:dPt>
          <c:dPt>
            <c:idx val="143"/>
            <c:marker>
              <c:symbol val="square"/>
              <c:size val="3"/>
            </c:marker>
            <c:bubble3D val="0"/>
          </c:dPt>
          <c:dPt>
            <c:idx val="144"/>
            <c:marker>
              <c:symbol val="square"/>
              <c:size val="2"/>
            </c:marker>
            <c:bubble3D val="0"/>
          </c:dPt>
          <c:dPt>
            <c:idx val="145"/>
            <c:marker>
              <c:symbol val="square"/>
              <c:size val="3"/>
            </c:marker>
            <c:bubble3D val="0"/>
          </c:dPt>
          <c:dPt>
            <c:idx val="146"/>
            <c:bubble3D val="0"/>
          </c:dPt>
          <c:dPt>
            <c:idx val="147"/>
            <c:bubble3D val="0"/>
          </c:dPt>
          <c:dPt>
            <c:idx val="148"/>
            <c:marker>
              <c:symbol val="square"/>
              <c:size val="6"/>
            </c:marker>
            <c:bubble3D val="0"/>
          </c:dPt>
          <c:dPt>
            <c:idx val="149"/>
            <c:marker>
              <c:symbol val="square"/>
              <c:size val="6"/>
            </c:marker>
            <c:bubble3D val="0"/>
          </c:dPt>
          <c:dPt>
            <c:idx val="150"/>
            <c:marker>
              <c:symbol val="square"/>
              <c:size val="6"/>
            </c:marker>
            <c:bubble3D val="0"/>
          </c:dPt>
          <c:dPt>
            <c:idx val="151"/>
            <c:marker>
              <c:symbol val="square"/>
              <c:size val="6"/>
            </c:marker>
            <c:bubble3D val="0"/>
          </c:dPt>
          <c:dPt>
            <c:idx val="152"/>
            <c:marker>
              <c:symbol val="square"/>
              <c:size val="3"/>
            </c:marker>
            <c:bubble3D val="0"/>
          </c:dPt>
          <c:dPt>
            <c:idx val="153"/>
            <c:bubble3D val="0"/>
          </c:dPt>
          <c:dPt>
            <c:idx val="154"/>
            <c:marker>
              <c:symbol val="square"/>
              <c:size val="3"/>
            </c:marker>
            <c:bubble3D val="0"/>
          </c:dPt>
          <c:dPt>
            <c:idx val="155"/>
            <c:bubble3D val="0"/>
          </c:dPt>
          <c:dPt>
            <c:idx val="156"/>
            <c:marker>
              <c:symbol val="square"/>
              <c:size val="3"/>
            </c:marker>
            <c:bubble3D val="0"/>
          </c:dPt>
          <c:dPt>
            <c:idx val="157"/>
            <c:bubble3D val="0"/>
          </c:dPt>
          <c:dPt>
            <c:idx val="158"/>
            <c:marker>
              <c:symbol val="square"/>
              <c:size val="3"/>
            </c:marker>
            <c:bubble3D val="0"/>
          </c:dPt>
          <c:dPt>
            <c:idx val="159"/>
            <c:bubble3D val="0"/>
          </c:dPt>
          <c:dPt>
            <c:idx val="160"/>
            <c:marker>
              <c:symbol val="square"/>
              <c:size val="3"/>
            </c:marker>
            <c:bubble3D val="0"/>
          </c:dPt>
          <c:dPt>
            <c:idx val="161"/>
            <c:bubble3D val="0"/>
          </c:dPt>
          <c:dPt>
            <c:idx val="162"/>
            <c:marker>
              <c:symbol val="square"/>
              <c:size val="3"/>
            </c:marker>
            <c:bubble3D val="0"/>
          </c:dPt>
          <c:dPt>
            <c:idx val="164"/>
            <c:marker>
              <c:symbol val="square"/>
              <c:size val="3"/>
            </c:marker>
            <c:bubble3D val="0"/>
          </c:dPt>
          <c:dPt>
            <c:idx val="165"/>
            <c:bubble3D val="0"/>
          </c:dPt>
          <c:dPt>
            <c:idx val="166"/>
            <c:bubble3D val="0"/>
          </c:dPt>
          <c:dPt>
            <c:idx val="167"/>
            <c:bubble3D val="0"/>
          </c:dPt>
          <c:dPt>
            <c:idx val="168"/>
            <c:marker>
              <c:symbol val="square"/>
              <c:size val="3"/>
            </c:marker>
            <c:bubble3D val="0"/>
          </c:dPt>
          <c:dPt>
            <c:idx val="169"/>
            <c:marker>
              <c:symbol val="square"/>
              <c:size val="3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'Calc-R'!$Y$4:$Y$18516</c:f>
                <c:numCache>
                  <c:formatCode>General</c:formatCode>
                  <c:ptCount val="18513"/>
                  <c:pt idx="0">
                    <c:v>0.11755337668731482</c:v>
                  </c:pt>
                  <c:pt idx="1">
                    <c:v>9.7776455018839387E-2</c:v>
                  </c:pt>
                  <c:pt idx="2">
                    <c:v>0.21030338713050231</c:v>
                  </c:pt>
                  <c:pt idx="3">
                    <c:v>0.1709455667627108</c:v>
                  </c:pt>
                  <c:pt idx="4">
                    <c:v>0.28730814374583785</c:v>
                  </c:pt>
                  <c:pt idx="5">
                    <c:v>0.12908973051426126</c:v>
                  </c:pt>
                  <c:pt idx="6">
                    <c:v>9.7202882798330864E-2</c:v>
                  </c:pt>
                  <c:pt idx="7">
                    <c:v>5.8647746994152566E-2</c:v>
                  </c:pt>
                  <c:pt idx="8">
                    <c:v>9.7470875891668571E-2</c:v>
                  </c:pt>
                  <c:pt idx="9">
                    <c:v>5.8462454141357589E-2</c:v>
                  </c:pt>
                  <c:pt idx="10">
                    <c:v>5.8785708152158958E-2</c:v>
                  </c:pt>
                  <c:pt idx="11">
                    <c:v>9.7049637167590921E-2</c:v>
                  </c:pt>
                  <c:pt idx="12">
                    <c:v>9.509284250293229E-2</c:v>
                  </c:pt>
                  <c:pt idx="14">
                    <c:v>0.20344922215887087</c:v>
                  </c:pt>
                  <c:pt idx="16">
                    <c:v>0.14014432240856611</c:v>
                  </c:pt>
                  <c:pt idx="18">
                    <c:v>0.11624459530536155</c:v>
                  </c:pt>
                  <c:pt idx="21">
                    <c:v>0.13724084975962181</c:v>
                  </c:pt>
                  <c:pt idx="22">
                    <c:v>9.7470875891668571E-2</c:v>
                  </c:pt>
                  <c:pt idx="23">
                    <c:v>5.7757181752329745E-2</c:v>
                  </c:pt>
                  <c:pt idx="24">
                    <c:v>5.7881393581642668E-2</c:v>
                  </c:pt>
                  <c:pt idx="25">
                    <c:v>0.19588915386476802</c:v>
                  </c:pt>
                  <c:pt idx="26">
                    <c:v>0.15471131401066135</c:v>
                  </c:pt>
                  <c:pt idx="27">
                    <c:v>0.13694644479789078</c:v>
                  </c:pt>
                  <c:pt idx="28">
                    <c:v>0.11658075176993601</c:v>
                  </c:pt>
                  <c:pt idx="29">
                    <c:v>7.8096634139051976E-2</c:v>
                  </c:pt>
                  <c:pt idx="30">
                    <c:v>5.8762921671019333E-2</c:v>
                  </c:pt>
                  <c:pt idx="31">
                    <c:v>9.6883566264345522E-2</c:v>
                  </c:pt>
                  <c:pt idx="32">
                    <c:v>5.8462454141357589E-2</c:v>
                  </c:pt>
                  <c:pt idx="33">
                    <c:v>0.11691614818336067</c:v>
                  </c:pt>
                  <c:pt idx="34">
                    <c:v>9.7202882798330864E-2</c:v>
                  </c:pt>
                  <c:pt idx="36">
                    <c:v>0.1307320865419998</c:v>
                  </c:pt>
                  <c:pt idx="38">
                    <c:v>0.12868392553727287</c:v>
                  </c:pt>
                  <c:pt idx="40">
                    <c:v>9.2252767007735437E-2</c:v>
                  </c:pt>
                  <c:pt idx="43">
                    <c:v>0.11572649685287231</c:v>
                  </c:pt>
                  <c:pt idx="44">
                    <c:v>9.7915699733534103E-2</c:v>
                  </c:pt>
                  <c:pt idx="45">
                    <c:v>0.13634555424985204</c:v>
                  </c:pt>
                  <c:pt idx="46">
                    <c:v>9.7852539466298627E-2</c:v>
                  </c:pt>
                  <c:pt idx="47">
                    <c:v>5.8593770097622483E-2</c:v>
                  </c:pt>
                  <c:pt idx="48">
                    <c:v>3.9200200722577246E-2</c:v>
                  </c:pt>
                  <c:pt idx="49">
                    <c:v>0.15692885749802502</c:v>
                  </c:pt>
                  <c:pt idx="50">
                    <c:v>9.7470875891668571E-2</c:v>
                  </c:pt>
                  <c:pt idx="51">
                    <c:v>0.11691614818336067</c:v>
                  </c:pt>
                  <c:pt idx="52">
                    <c:v>9.7585604444512378E-2</c:v>
                  </c:pt>
                  <c:pt idx="53">
                    <c:v>7.8295797583549792E-2</c:v>
                  </c:pt>
                  <c:pt idx="54">
                    <c:v>5.880781817741354E-2</c:v>
                  </c:pt>
                  <c:pt idx="55">
                    <c:v>7.8341460243837244E-2</c:v>
                  </c:pt>
                  <c:pt idx="56">
                    <c:v>5.8647746994152566E-2</c:v>
                  </c:pt>
                  <c:pt idx="57">
                    <c:v>9.7687468988732484E-2</c:v>
                  </c:pt>
                  <c:pt idx="58">
                    <c:v>5.8593770097622483E-2</c:v>
                  </c:pt>
                  <c:pt idx="59">
                    <c:v>5.8532005713506689E-2</c:v>
                  </c:pt>
                  <c:pt idx="60">
                    <c:v>5.8593770097622483E-2</c:v>
                  </c:pt>
                  <c:pt idx="61">
                    <c:v>7.8376735934738095E-2</c:v>
                  </c:pt>
                  <c:pt idx="62">
                    <c:v>7.6940941676869504E-2</c:v>
                  </c:pt>
                  <c:pt idx="63">
                    <c:v>9.7049637167590921E-2</c:v>
                  </c:pt>
                  <c:pt idx="64">
                    <c:v>9.7915699733534103E-2</c:v>
                  </c:pt>
                  <c:pt idx="66">
                    <c:v>0.13495139428609179</c:v>
                  </c:pt>
                  <c:pt idx="68">
                    <c:v>0.11984147978977946</c:v>
                  </c:pt>
                  <c:pt idx="70">
                    <c:v>8.9952829051199709E-2</c:v>
                  </c:pt>
                  <c:pt idx="73">
                    <c:v>0.13730372213634809</c:v>
                  </c:pt>
                  <c:pt idx="74">
                    <c:v>9.7776455018839387E-2</c:v>
                  </c:pt>
                  <c:pt idx="75">
                    <c:v>5.8593770097622483E-2</c:v>
                  </c:pt>
                  <c:pt idx="76">
                    <c:v>5.8732327448118168E-2</c:v>
                  </c:pt>
                  <c:pt idx="77">
                    <c:v>0.13322997605403408</c:v>
                  </c:pt>
                  <c:pt idx="78">
                    <c:v>0.11328473934933733</c:v>
                  </c:pt>
                  <c:pt idx="79">
                    <c:v>0.15527551567323594</c:v>
                  </c:pt>
                  <c:pt idx="80">
                    <c:v>0.11691614818336067</c:v>
                  </c:pt>
                  <c:pt idx="81">
                    <c:v>9.7585604444512378E-2</c:v>
                  </c:pt>
                  <c:pt idx="82">
                    <c:v>7.7557946152156998E-2</c:v>
                  </c:pt>
                  <c:pt idx="83">
                    <c:v>5.8725550618946146E-2</c:v>
                  </c:pt>
                  <c:pt idx="84">
                    <c:v>5.8593770097622483E-2</c:v>
                  </c:pt>
                  <c:pt idx="85">
                    <c:v>7.8341460243837244E-2</c:v>
                  </c:pt>
                  <c:pt idx="86">
                    <c:v>5.880781817741354E-2</c:v>
                  </c:pt>
                  <c:pt idx="87">
                    <c:v>7.8341460243837244E-2</c:v>
                  </c:pt>
                  <c:pt idx="88">
                    <c:v>5.8807116633525308E-2</c:v>
                  </c:pt>
                  <c:pt idx="89">
                    <c:v>9.7470875891668571E-2</c:v>
                  </c:pt>
                  <c:pt idx="90">
                    <c:v>7.8173372410179021E-2</c:v>
                  </c:pt>
                  <c:pt idx="92">
                    <c:v>0.12256198478260222</c:v>
                  </c:pt>
                  <c:pt idx="94">
                    <c:v>0.13754273406529968</c:v>
                  </c:pt>
                  <c:pt idx="96">
                    <c:v>9.1902683590317752E-2</c:v>
                  </c:pt>
                  <c:pt idx="99">
                    <c:v>0.11618416952488268</c:v>
                  </c:pt>
                  <c:pt idx="100">
                    <c:v>9.8027352637079151E-2</c:v>
                  </c:pt>
                  <c:pt idx="101">
                    <c:v>0.11675610647755662</c:v>
                  </c:pt>
                  <c:pt idx="102">
                    <c:v>0.11766782104900791</c:v>
                  </c:pt>
                  <c:pt idx="103">
                    <c:v>0.13593822787143228</c:v>
                  </c:pt>
                  <c:pt idx="104">
                    <c:v>9.7470875891668571E-2</c:v>
                  </c:pt>
                  <c:pt idx="105">
                    <c:v>0.13668173619479013</c:v>
                  </c:pt>
                  <c:pt idx="106">
                    <c:v>9.7965909143257285E-2</c:v>
                  </c:pt>
                  <c:pt idx="107">
                    <c:v>0.15406696352408866</c:v>
                  </c:pt>
                  <c:pt idx="108">
                    <c:v>0.1159629658355891</c:v>
                  </c:pt>
                  <c:pt idx="109">
                    <c:v>0.19134829449424556</c:v>
                  </c:pt>
                  <c:pt idx="110">
                    <c:v>0.11760542352857045</c:v>
                  </c:pt>
                  <c:pt idx="111">
                    <c:v>0.11748578926485911</c:v>
                  </c:pt>
                  <c:pt idx="112">
                    <c:v>5.880067751710133E-2</c:v>
                  </c:pt>
                  <c:pt idx="113">
                    <c:v>9.7776455018839387E-2</c:v>
                  </c:pt>
                  <c:pt idx="114">
                    <c:v>5.880781817741354E-2</c:v>
                  </c:pt>
                  <c:pt idx="115">
                    <c:v>9.7852539466298627E-2</c:v>
                  </c:pt>
                  <c:pt idx="116">
                    <c:v>5.8693934231079235E-2</c:v>
                  </c:pt>
                  <c:pt idx="117">
                    <c:v>5.8593770097622483E-2</c:v>
                  </c:pt>
                  <c:pt idx="118">
                    <c:v>9.6883566264345522E-2</c:v>
                  </c:pt>
                  <c:pt idx="119">
                    <c:v>7.8096634139051976E-2</c:v>
                  </c:pt>
                  <c:pt idx="120">
                    <c:v>9.5860784325485879E-2</c:v>
                  </c:pt>
                  <c:pt idx="121">
                    <c:v>7.6940941676869504E-2</c:v>
                  </c:pt>
                  <c:pt idx="122">
                    <c:v>9.7202882798330864E-2</c:v>
                  </c:pt>
                  <c:pt idx="123">
                    <c:v>7.7419215561072771E-2</c:v>
                  </c:pt>
                  <c:pt idx="125">
                    <c:v>0.14377878647010023</c:v>
                  </c:pt>
                  <c:pt idx="127">
                    <c:v>0.11541023155060705</c:v>
                  </c:pt>
                  <c:pt idx="129">
                    <c:v>8.6388765845258231E-2</c:v>
                  </c:pt>
                  <c:pt idx="132">
                    <c:v>7.8295797583549792E-2</c:v>
                  </c:pt>
                  <c:pt idx="133">
                    <c:v>0.13682304742851537</c:v>
                  </c:pt>
                  <c:pt idx="134">
                    <c:v>0.15471131401066135</c:v>
                  </c:pt>
                  <c:pt idx="135">
                    <c:v>9.7965909143257285E-2</c:v>
                  </c:pt>
                  <c:pt idx="136">
                    <c:v>3.9110425244140476E-2</c:v>
                  </c:pt>
                  <c:pt idx="137">
                    <c:v>3.9076833096188528E-2</c:v>
                  </c:pt>
                  <c:pt idx="138">
                    <c:v>5.7997767412111489E-2</c:v>
                  </c:pt>
                  <c:pt idx="139">
                    <c:v>3.8453378849268388E-2</c:v>
                  </c:pt>
                  <c:pt idx="140">
                    <c:v>0.17515747991314698</c:v>
                  </c:pt>
                  <c:pt idx="141">
                    <c:v>0.1159629658355891</c:v>
                  </c:pt>
                  <c:pt idx="142">
                    <c:v>0.11639010152922008</c:v>
                  </c:pt>
                  <c:pt idx="143">
                    <c:v>0.11328473934933733</c:v>
                  </c:pt>
                  <c:pt idx="144">
                    <c:v>0.25892862127557803</c:v>
                  </c:pt>
                  <c:pt idx="145">
                    <c:v>0.11572649685287231</c:v>
                  </c:pt>
                  <c:pt idx="146">
                    <c:v>5.8593770097622483E-2</c:v>
                  </c:pt>
                  <c:pt idx="147">
                    <c:v>5.8693934231079235E-2</c:v>
                  </c:pt>
                  <c:pt idx="148">
                    <c:v>3.9038028437245201E-2</c:v>
                  </c:pt>
                  <c:pt idx="149">
                    <c:v>3.9138806202402149E-2</c:v>
                  </c:pt>
                  <c:pt idx="150">
                    <c:v>3.9076833096188528E-2</c:v>
                  </c:pt>
                  <c:pt idx="151">
                    <c:v>3.9076833096188528E-2</c:v>
                  </c:pt>
                  <c:pt idx="152">
                    <c:v>9.7852539466298627E-2</c:v>
                  </c:pt>
                  <c:pt idx="153">
                    <c:v>5.880781817741354E-2</c:v>
                  </c:pt>
                  <c:pt idx="154">
                    <c:v>9.8003137815842772E-2</c:v>
                  </c:pt>
                  <c:pt idx="155">
                    <c:v>5.880067751710133E-2</c:v>
                  </c:pt>
                  <c:pt idx="156">
                    <c:v>7.8295797583549792E-2</c:v>
                  </c:pt>
                  <c:pt idx="157">
                    <c:v>5.8693934231079235E-2</c:v>
                  </c:pt>
                  <c:pt idx="158">
                    <c:v>7.8295797583549792E-2</c:v>
                  </c:pt>
                  <c:pt idx="159">
                    <c:v>5.8732327448118168E-2</c:v>
                  </c:pt>
                  <c:pt idx="160">
                    <c:v>9.7687468988732484E-2</c:v>
                  </c:pt>
                  <c:pt idx="161">
                    <c:v>5.8647746994152566E-2</c:v>
                  </c:pt>
                  <c:pt idx="162">
                    <c:v>9.6091017854024047E-2</c:v>
                  </c:pt>
                  <c:pt idx="163">
                    <c:v>5.8593770097622483E-2</c:v>
                  </c:pt>
                  <c:pt idx="164">
                    <c:v>9.6883566264345522E-2</c:v>
                  </c:pt>
                  <c:pt idx="165">
                    <c:v>5.8732327448118168E-2</c:v>
                  </c:pt>
                  <c:pt idx="166">
                    <c:v>5.8647746994152566E-2</c:v>
                  </c:pt>
                  <c:pt idx="167">
                    <c:v>5.880067751710133E-2</c:v>
                  </c:pt>
                  <c:pt idx="168">
                    <c:v>7.8173372410179021E-2</c:v>
                  </c:pt>
                  <c:pt idx="169">
                    <c:v>7.7686342800665276E-2</c:v>
                  </c:pt>
                  <c:pt idx="171">
                    <c:v>6.2864360761101884E-2</c:v>
                  </c:pt>
                  <c:pt idx="173">
                    <c:v>8.1562535977365666E-2</c:v>
                  </c:pt>
                  <c:pt idx="175">
                    <c:v>4.9889941308892932E-2</c:v>
                  </c:pt>
                  <c:pt idx="177">
                    <c:v>4.4760424137731153E-2</c:v>
                  </c:pt>
                  <c:pt idx="179">
                    <c:v>4.6983074318424384E-2</c:v>
                  </c:pt>
                  <c:pt idx="181">
                    <c:v>3.2242469875430113E-2</c:v>
                  </c:pt>
                </c:numCache>
              </c:numRef>
            </c:plus>
            <c:minus>
              <c:numRef>
                <c:f>'Calc-R'!$X$4:$X$185</c:f>
                <c:numCache>
                  <c:formatCode>General</c:formatCode>
                  <c:ptCount val="182"/>
                  <c:pt idx="0">
                    <c:v>0.11618416952488268</c:v>
                  </c:pt>
                  <c:pt idx="1">
                    <c:v>9.7585604444512863E-2</c:v>
                  </c:pt>
                  <c:pt idx="2">
                    <c:v>0.21390800067833615</c:v>
                  </c:pt>
                  <c:pt idx="3">
                    <c:v>0.17641832354778664</c:v>
                  </c:pt>
                  <c:pt idx="4">
                    <c:v>0.31299043267058463</c:v>
                  </c:pt>
                  <c:pt idx="5">
                    <c:v>0.13642782693672306</c:v>
                  </c:pt>
                  <c:pt idx="6">
                    <c:v>9.7965909143257326E-2</c:v>
                  </c:pt>
                  <c:pt idx="7">
                    <c:v>5.8785708152158944E-2</c:v>
                  </c:pt>
                  <c:pt idx="8">
                    <c:v>9.7852539466298544E-2</c:v>
                  </c:pt>
                  <c:pt idx="9">
                    <c:v>5.8807116633525267E-2</c:v>
                  </c:pt>
                  <c:pt idx="10">
                    <c:v>5.8647746994152636E-2</c:v>
                  </c:pt>
                  <c:pt idx="11">
                    <c:v>9.8003137815842828E-2</c:v>
                  </c:pt>
                  <c:pt idx="12">
                    <c:v>9.7747498242969799E-2</c:v>
                  </c:pt>
                  <c:pt idx="14">
                    <c:v>0.2062027220507959</c:v>
                  </c:pt>
                  <c:pt idx="16">
                    <c:v>0.14240687107610767</c:v>
                  </c:pt>
                  <c:pt idx="18">
                    <c:v>0.11750061587092603</c:v>
                  </c:pt>
                  <c:pt idx="21">
                    <c:v>0.13243402137595056</c:v>
                  </c:pt>
                  <c:pt idx="22">
                    <c:v>9.7852539466298544E-2</c:v>
                  </c:pt>
                  <c:pt idx="23">
                    <c:v>5.8581080645698391E-2</c:v>
                  </c:pt>
                  <c:pt idx="24">
                    <c:v>5.8637219962429356E-2</c:v>
                  </c:pt>
                  <c:pt idx="25">
                    <c:v>0.18916472866557024</c:v>
                  </c:pt>
                  <c:pt idx="26">
                    <c:v>0.15616222359799026</c:v>
                  </c:pt>
                  <c:pt idx="27">
                    <c:v>0.1354600052045363</c:v>
                  </c:pt>
                  <c:pt idx="28">
                    <c:v>0.11740270526647024</c:v>
                  </c:pt>
                  <c:pt idx="29">
                    <c:v>7.8341460243837174E-2</c:v>
                  </c:pt>
                  <c:pt idx="30">
                    <c:v>5.8693934231079638E-2</c:v>
                  </c:pt>
                  <c:pt idx="31">
                    <c:v>9.8027352637079124E-2</c:v>
                  </c:pt>
                  <c:pt idx="32">
                    <c:v>5.8807116633525267E-2</c:v>
                  </c:pt>
                  <c:pt idx="33">
                    <c:v>0.11719020413440014</c:v>
                  </c:pt>
                  <c:pt idx="34">
                    <c:v>9.7965909143257326E-2</c:v>
                  </c:pt>
                  <c:pt idx="36">
                    <c:v>0.13332504957040128</c:v>
                  </c:pt>
                  <c:pt idx="38">
                    <c:v>0.13034609652881515</c:v>
                  </c:pt>
                  <c:pt idx="40">
                    <c:v>9.3271627152492903E-2</c:v>
                  </c:pt>
                  <c:pt idx="43">
                    <c:v>0.11764188184092182</c:v>
                  </c:pt>
                  <c:pt idx="44">
                    <c:v>9.7343298341990209E-2</c:v>
                  </c:pt>
                  <c:pt idx="45">
                    <c:v>0.13634555796787412</c:v>
                  </c:pt>
                  <c:pt idx="46">
                    <c:v>9.7470875891668696E-2</c:v>
                  </c:pt>
                  <c:pt idx="47">
                    <c:v>5.8800677517101309E-2</c:v>
                  </c:pt>
                  <c:pt idx="48">
                    <c:v>3.9138806202402204E-2</c:v>
                  </c:pt>
                  <c:pt idx="49">
                    <c:v>0.15210665084451389</c:v>
                  </c:pt>
                  <c:pt idx="50">
                    <c:v>9.7852539466298544E-2</c:v>
                  </c:pt>
                  <c:pt idx="51">
                    <c:v>0.11719020413440014</c:v>
                  </c:pt>
                  <c:pt idx="52">
                    <c:v>9.7776455018838929E-2</c:v>
                  </c:pt>
                  <c:pt idx="53">
                    <c:v>7.8173372410179465E-2</c:v>
                  </c:pt>
                  <c:pt idx="54">
                    <c:v>5.8532005713506564E-2</c:v>
                  </c:pt>
                  <c:pt idx="55">
                    <c:v>7.8096634139052101E-2</c:v>
                  </c:pt>
                  <c:pt idx="56">
                    <c:v>5.8785708152158944E-2</c:v>
                  </c:pt>
                  <c:pt idx="57">
                    <c:v>9.7687470897300691E-2</c:v>
                  </c:pt>
                  <c:pt idx="58">
                    <c:v>5.8800677517101309E-2</c:v>
                  </c:pt>
                  <c:pt idx="59">
                    <c:v>5.8807818177413526E-2</c:v>
                  </c:pt>
                  <c:pt idx="60">
                    <c:v>5.8800677517101309E-2</c:v>
                  </c:pt>
                  <c:pt idx="61">
                    <c:v>7.8009557405193622E-2</c:v>
                  </c:pt>
                  <c:pt idx="62">
                    <c:v>7.8282255885362237E-2</c:v>
                  </c:pt>
                  <c:pt idx="63">
                    <c:v>9.8003137815842759E-2</c:v>
                  </c:pt>
                  <c:pt idx="64">
                    <c:v>9.7343298341990209E-2</c:v>
                  </c:pt>
                  <c:pt idx="66">
                    <c:v>0.13604700328383779</c:v>
                  </c:pt>
                  <c:pt idx="68">
                    <c:v>0.12074081555306404</c:v>
                  </c:pt>
                  <c:pt idx="70">
                    <c:v>9.0449437978314132E-2</c:v>
                  </c:pt>
                  <c:pt idx="73">
                    <c:v>0.13322997605403408</c:v>
                  </c:pt>
                  <c:pt idx="74">
                    <c:v>9.7585604444512947E-2</c:v>
                  </c:pt>
                  <c:pt idx="75">
                    <c:v>5.8800677517101309E-2</c:v>
                  </c:pt>
                  <c:pt idx="76">
                    <c:v>5.873232813801528E-2</c:v>
                  </c:pt>
                  <c:pt idx="77">
                    <c:v>0.13730372213634812</c:v>
                  </c:pt>
                  <c:pt idx="78">
                    <c:v>0.11736525886626811</c:v>
                  </c:pt>
                  <c:pt idx="79">
                    <c:v>0.15575927608758525</c:v>
                  </c:pt>
                  <c:pt idx="80">
                    <c:v>0.11719020413440014</c:v>
                  </c:pt>
                  <c:pt idx="81">
                    <c:v>9.7776455018838929E-2</c:v>
                  </c:pt>
                  <c:pt idx="82">
                    <c:v>7.841356194361003E-2</c:v>
                  </c:pt>
                  <c:pt idx="83">
                    <c:v>5.8106316245648881E-2</c:v>
                  </c:pt>
                  <c:pt idx="84">
                    <c:v>5.8800677517101309E-2</c:v>
                  </c:pt>
                  <c:pt idx="85">
                    <c:v>7.8096634139052101E-2</c:v>
                  </c:pt>
                  <c:pt idx="86">
                    <c:v>5.8532005713506564E-2</c:v>
                  </c:pt>
                  <c:pt idx="87">
                    <c:v>7.8096634139052101E-2</c:v>
                  </c:pt>
                  <c:pt idx="88">
                    <c:v>5.8462454141357631E-2</c:v>
                  </c:pt>
                  <c:pt idx="89">
                    <c:v>9.7852539466298544E-2</c:v>
                  </c:pt>
                  <c:pt idx="90">
                    <c:v>7.8295797583549431E-2</c:v>
                  </c:pt>
                  <c:pt idx="92">
                    <c:v>0.12384004255028416</c:v>
                  </c:pt>
                  <c:pt idx="94">
                    <c:v>0.13891212880912152</c:v>
                  </c:pt>
                  <c:pt idx="96">
                    <c:v>9.2567599853424096E-2</c:v>
                  </c:pt>
                  <c:pt idx="99">
                    <c:v>0.11755337668731476</c:v>
                  </c:pt>
                  <c:pt idx="100">
                    <c:v>9.6883566264345383E-2</c:v>
                  </c:pt>
                  <c:pt idx="101">
                    <c:v>0.1173041648031274</c:v>
                  </c:pt>
                  <c:pt idx="102">
                    <c:v>0.11520777012637123</c:v>
                  </c:pt>
                  <c:pt idx="103">
                    <c:v>0.13668173619478999</c:v>
                  </c:pt>
                  <c:pt idx="104">
                    <c:v>9.7852539466298544E-2</c:v>
                  </c:pt>
                  <c:pt idx="105">
                    <c:v>0.13593822787143242</c:v>
                  </c:pt>
                  <c:pt idx="106">
                    <c:v>9.7202882798330753E-2</c:v>
                  </c:pt>
                  <c:pt idx="107">
                    <c:v>0.1564839059023099</c:v>
                  </c:pt>
                  <c:pt idx="108">
                    <c:v>0.11760542352857045</c:v>
                  </c:pt>
                  <c:pt idx="109">
                    <c:v>0.19509067728831531</c:v>
                  </c:pt>
                  <c:pt idx="110">
                    <c:v>0.11596296583558904</c:v>
                  </c:pt>
                  <c:pt idx="111">
                    <c:v>0.11639010152921997</c:v>
                  </c:pt>
                  <c:pt idx="112">
                    <c:v>5.8593770097622663E-2</c:v>
                  </c:pt>
                  <c:pt idx="113">
                    <c:v>9.7585604444512947E-2</c:v>
                  </c:pt>
                  <c:pt idx="114">
                    <c:v>5.8532005713506564E-2</c:v>
                  </c:pt>
                  <c:pt idx="115">
                    <c:v>9.7470875891668696E-2</c:v>
                  </c:pt>
                  <c:pt idx="116">
                    <c:v>5.8762921671019042E-2</c:v>
                  </c:pt>
                  <c:pt idx="117">
                    <c:v>5.8800677517101309E-2</c:v>
                  </c:pt>
                  <c:pt idx="118">
                    <c:v>9.8027352637079124E-2</c:v>
                  </c:pt>
                  <c:pt idx="119">
                    <c:v>7.8341460243837174E-2</c:v>
                  </c:pt>
                  <c:pt idx="120">
                    <c:v>9.7951828565519511E-2</c:v>
                  </c:pt>
                  <c:pt idx="121">
                    <c:v>7.8282255885362237E-2</c:v>
                  </c:pt>
                  <c:pt idx="122">
                    <c:v>9.7965909143257326E-2</c:v>
                  </c:pt>
                  <c:pt idx="123">
                    <c:v>7.8396574873370733E-2</c:v>
                  </c:pt>
                  <c:pt idx="125">
                    <c:v>0.14542158110139455</c:v>
                  </c:pt>
                  <c:pt idx="127">
                    <c:v>0.11667215960128589</c:v>
                  </c:pt>
                  <c:pt idx="129">
                    <c:v>8.7033417085138343E-2</c:v>
                  </c:pt>
                  <c:pt idx="132">
                    <c:v>7.8173372410179465E-2</c:v>
                  </c:pt>
                  <c:pt idx="133">
                    <c:v>0.13570796521287645</c:v>
                  </c:pt>
                  <c:pt idx="134">
                    <c:v>0.15616222359799026</c:v>
                  </c:pt>
                  <c:pt idx="135">
                    <c:v>9.7202882798330753E-2</c:v>
                  </c:pt>
                  <c:pt idx="136">
                    <c:v>3.9202501703689968E-2</c:v>
                  </c:pt>
                  <c:pt idx="137">
                    <c:v>3.9199573094204757E-2</c:v>
                  </c:pt>
                  <c:pt idx="138">
                    <c:v>5.8685367471322789E-2</c:v>
                  </c:pt>
                  <c:pt idx="139">
                    <c:v>3.8880370745743312E-2</c:v>
                  </c:pt>
                  <c:pt idx="140">
                    <c:v>0.17393832828280212</c:v>
                  </c:pt>
                  <c:pt idx="141">
                    <c:v>0.11760542352857045</c:v>
                  </c:pt>
                  <c:pt idx="142">
                    <c:v>0.11748578926485917</c:v>
                  </c:pt>
                  <c:pt idx="143">
                    <c:v>0.11736525886626811</c:v>
                  </c:pt>
                  <c:pt idx="144">
                    <c:v>0.27322045900367964</c:v>
                  </c:pt>
                  <c:pt idx="145">
                    <c:v>0.11764188184092182</c:v>
                  </c:pt>
                  <c:pt idx="146">
                    <c:v>5.8800677517101309E-2</c:v>
                  </c:pt>
                  <c:pt idx="147">
                    <c:v>5.8762921671019042E-2</c:v>
                  </c:pt>
                  <c:pt idx="148">
                    <c:v>3.9191407412388975E-2</c:v>
                  </c:pt>
                  <c:pt idx="149">
                    <c:v>3.9200200722577225E-2</c:v>
                  </c:pt>
                  <c:pt idx="150">
                    <c:v>3.9199573094204757E-2</c:v>
                  </c:pt>
                  <c:pt idx="151">
                    <c:v>3.9199573094204757E-2</c:v>
                  </c:pt>
                  <c:pt idx="152">
                    <c:v>9.7470875891668696E-2</c:v>
                  </c:pt>
                  <c:pt idx="153">
                    <c:v>5.8532005713506564E-2</c:v>
                  </c:pt>
                  <c:pt idx="154">
                    <c:v>9.7049637167590977E-2</c:v>
                  </c:pt>
                  <c:pt idx="155">
                    <c:v>5.8593770097622663E-2</c:v>
                  </c:pt>
                  <c:pt idx="156">
                    <c:v>7.8173372410179465E-2</c:v>
                  </c:pt>
                  <c:pt idx="157">
                    <c:v>5.8762921671019042E-2</c:v>
                  </c:pt>
                  <c:pt idx="158">
                    <c:v>7.8173372410179465E-2</c:v>
                  </c:pt>
                  <c:pt idx="159">
                    <c:v>5.873232813801528E-2</c:v>
                  </c:pt>
                  <c:pt idx="160">
                    <c:v>9.7687470897300691E-2</c:v>
                  </c:pt>
                  <c:pt idx="161">
                    <c:v>5.8785708152158944E-2</c:v>
                  </c:pt>
                  <c:pt idx="162">
                    <c:v>9.799329573895868E-2</c:v>
                  </c:pt>
                  <c:pt idx="163">
                    <c:v>5.8800677517101309E-2</c:v>
                  </c:pt>
                  <c:pt idx="164">
                    <c:v>9.8027352637079124E-2</c:v>
                  </c:pt>
                  <c:pt idx="165">
                    <c:v>5.873232813801528E-2</c:v>
                  </c:pt>
                  <c:pt idx="166">
                    <c:v>5.8785708152158944E-2</c:v>
                  </c:pt>
                  <c:pt idx="167">
                    <c:v>5.8593770097622663E-2</c:v>
                  </c:pt>
                  <c:pt idx="168">
                    <c:v>7.8295797583549431E-2</c:v>
                  </c:pt>
                  <c:pt idx="169">
                    <c:v>7.8420044096707664E-2</c:v>
                  </c:pt>
                  <c:pt idx="171">
                    <c:v>6.3259207363552297E-2</c:v>
                  </c:pt>
                  <c:pt idx="173">
                    <c:v>8.1973506224740339E-2</c:v>
                  </c:pt>
                  <c:pt idx="175">
                    <c:v>5.0091717333718151E-2</c:v>
                  </c:pt>
                  <c:pt idx="177">
                    <c:v>4.4940837294717491E-2</c:v>
                  </c:pt>
                  <c:pt idx="179">
                    <c:v>4.714784285714653E-2</c:v>
                  </c:pt>
                  <c:pt idx="181">
                    <c:v>3.2327493420827878E-2</c:v>
                  </c:pt>
                </c:numCache>
              </c:numRef>
            </c:minus>
          </c:errBars>
          <c:xVal>
            <c:numRef>
              <c:f>'Calc-R'!$S$4:$S$186</c:f>
              <c:numCache>
                <c:formatCode>0.00</c:formatCode>
                <c:ptCount val="183"/>
                <c:pt idx="0">
                  <c:v>-0.05</c:v>
                </c:pt>
                <c:pt idx="1">
                  <c:v>-0.01</c:v>
                </c:pt>
                <c:pt idx="2">
                  <c:v>0.04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0.2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-0.02</c:v>
                </c:pt>
                <c:pt idx="11">
                  <c:v>0.05</c:v>
                </c:pt>
                <c:pt idx="12">
                  <c:v>0.14000000000000001</c:v>
                </c:pt>
                <c:pt idx="14">
                  <c:v>3.278216756630533E-2</c:v>
                </c:pt>
                <c:pt idx="16">
                  <c:v>5.6503159350560918E-2</c:v>
                </c:pt>
                <c:pt idx="18">
                  <c:v>4.5881608563058236E-2</c:v>
                </c:pt>
                <c:pt idx="21">
                  <c:v>-0.13</c:v>
                </c:pt>
                <c:pt idx="22">
                  <c:v>0.02</c:v>
                </c:pt>
                <c:pt idx="23">
                  <c:v>0.12</c:v>
                </c:pt>
                <c:pt idx="24">
                  <c:v>0.11</c:v>
                </c:pt>
                <c:pt idx="25">
                  <c:v>-0.09</c:v>
                </c:pt>
                <c:pt idx="26">
                  <c:v>0.03</c:v>
                </c:pt>
                <c:pt idx="27">
                  <c:v>-0.04</c:v>
                </c:pt>
                <c:pt idx="28">
                  <c:v>0.03</c:v>
                </c:pt>
                <c:pt idx="29">
                  <c:v>0.02</c:v>
                </c:pt>
                <c:pt idx="30">
                  <c:v>-0.01</c:v>
                </c:pt>
                <c:pt idx="31">
                  <c:v>0.06</c:v>
                </c:pt>
                <c:pt idx="32">
                  <c:v>0.05</c:v>
                </c:pt>
                <c:pt idx="33">
                  <c:v>0.01</c:v>
                </c:pt>
                <c:pt idx="34">
                  <c:v>0.04</c:v>
                </c:pt>
                <c:pt idx="36">
                  <c:v>7.3975723096197724E-2</c:v>
                </c:pt>
                <c:pt idx="38">
                  <c:v>4.9426640874345014E-2</c:v>
                </c:pt>
                <c:pt idx="40">
                  <c:v>5.8998542438240376E-2</c:v>
                </c:pt>
                <c:pt idx="43">
                  <c:v>7.0000000000000007E-2</c:v>
                </c:pt>
                <c:pt idx="44">
                  <c:v>-0.03</c:v>
                </c:pt>
                <c:pt idx="45">
                  <c:v>9.9999999999999995E-8</c:v>
                </c:pt>
                <c:pt idx="46">
                  <c:v>-0.02</c:v>
                </c:pt>
                <c:pt idx="47">
                  <c:v>0.03</c:v>
                </c:pt>
                <c:pt idx="48">
                  <c:v>-0.02</c:v>
                </c:pt>
                <c:pt idx="49">
                  <c:v>-0.1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-0.01</c:v>
                </c:pt>
                <c:pt idx="54">
                  <c:v>-0.04</c:v>
                </c:pt>
                <c:pt idx="55">
                  <c:v>-0.02</c:v>
                </c:pt>
                <c:pt idx="56">
                  <c:v>0.02</c:v>
                </c:pt>
                <c:pt idx="57">
                  <c:v>9.9999999999999995E-8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-0.03</c:v>
                </c:pt>
                <c:pt idx="62">
                  <c:v>0.11</c:v>
                </c:pt>
                <c:pt idx="63">
                  <c:v>0.05</c:v>
                </c:pt>
                <c:pt idx="64">
                  <c:v>-0.03</c:v>
                </c:pt>
                <c:pt idx="66">
                  <c:v>2.9810764761817769E-2</c:v>
                </c:pt>
                <c:pt idx="68">
                  <c:v>3.1046438713082582E-2</c:v>
                </c:pt>
                <c:pt idx="70">
                  <c:v>3.0490173617901784E-2</c:v>
                </c:pt>
                <c:pt idx="73">
                  <c:v>-0.11</c:v>
                </c:pt>
                <c:pt idx="74">
                  <c:v>-0.01</c:v>
                </c:pt>
                <c:pt idx="75">
                  <c:v>0.03</c:v>
                </c:pt>
                <c:pt idx="76">
                  <c:v>9.9999999999999995E-8</c:v>
                </c:pt>
                <c:pt idx="77">
                  <c:v>0.11</c:v>
                </c:pt>
                <c:pt idx="78">
                  <c:v>0.15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7.0000000000000007E-2</c:v>
                </c:pt>
                <c:pt idx="83">
                  <c:v>-0.09</c:v>
                </c:pt>
                <c:pt idx="84">
                  <c:v>0.03</c:v>
                </c:pt>
                <c:pt idx="85">
                  <c:v>-0.02</c:v>
                </c:pt>
                <c:pt idx="86">
                  <c:v>-0.04</c:v>
                </c:pt>
                <c:pt idx="87">
                  <c:v>-0.02</c:v>
                </c:pt>
                <c:pt idx="88">
                  <c:v>-0.05</c:v>
                </c:pt>
                <c:pt idx="89">
                  <c:v>0.02</c:v>
                </c:pt>
                <c:pt idx="90">
                  <c:v>0.01</c:v>
                </c:pt>
                <c:pt idx="92">
                  <c:v>4.202771952560691E-2</c:v>
                </c:pt>
                <c:pt idx="94">
                  <c:v>3.5790204496218787E-2</c:v>
                </c:pt>
                <c:pt idx="96">
                  <c:v>3.9020067617286637E-2</c:v>
                </c:pt>
                <c:pt idx="99">
                  <c:v>0.05</c:v>
                </c:pt>
                <c:pt idx="100">
                  <c:v>-0.06</c:v>
                </c:pt>
                <c:pt idx="101">
                  <c:v>0.02</c:v>
                </c:pt>
                <c:pt idx="102">
                  <c:v>-0.09</c:v>
                </c:pt>
                <c:pt idx="103">
                  <c:v>0.02</c:v>
                </c:pt>
                <c:pt idx="104">
                  <c:v>0.02</c:v>
                </c:pt>
                <c:pt idx="105">
                  <c:v>-0.02</c:v>
                </c:pt>
                <c:pt idx="106">
                  <c:v>-0.04</c:v>
                </c:pt>
                <c:pt idx="107">
                  <c:v>0.05</c:v>
                </c:pt>
                <c:pt idx="108">
                  <c:v>0.06</c:v>
                </c:pt>
                <c:pt idx="109">
                  <c:v>0.05</c:v>
                </c:pt>
                <c:pt idx="110">
                  <c:v>-0.06</c:v>
                </c:pt>
                <c:pt idx="111">
                  <c:v>-0.04</c:v>
                </c:pt>
                <c:pt idx="112">
                  <c:v>-0.03</c:v>
                </c:pt>
                <c:pt idx="113">
                  <c:v>-0.01</c:v>
                </c:pt>
                <c:pt idx="114">
                  <c:v>-0.04</c:v>
                </c:pt>
                <c:pt idx="115">
                  <c:v>-0.02</c:v>
                </c:pt>
                <c:pt idx="116">
                  <c:v>0.01</c:v>
                </c:pt>
                <c:pt idx="117">
                  <c:v>0.03</c:v>
                </c:pt>
                <c:pt idx="118">
                  <c:v>0.06</c:v>
                </c:pt>
                <c:pt idx="119">
                  <c:v>0.02</c:v>
                </c:pt>
                <c:pt idx="120">
                  <c:v>0.11</c:v>
                </c:pt>
                <c:pt idx="121">
                  <c:v>0.11</c:v>
                </c:pt>
                <c:pt idx="122">
                  <c:v>0.04</c:v>
                </c:pt>
                <c:pt idx="123">
                  <c:v>0.08</c:v>
                </c:pt>
                <c:pt idx="125">
                  <c:v>3.9224813676213575E-2</c:v>
                </c:pt>
                <c:pt idx="127">
                  <c:v>4.6756561544277084E-2</c:v>
                </c:pt>
                <c:pt idx="129">
                  <c:v>4.27913076362905E-2</c:v>
                </c:pt>
                <c:pt idx="132">
                  <c:v>-0.01</c:v>
                </c:pt>
                <c:pt idx="133">
                  <c:v>-0.03</c:v>
                </c:pt>
                <c:pt idx="134">
                  <c:v>0.03</c:v>
                </c:pt>
                <c:pt idx="135">
                  <c:v>-0.04</c:v>
                </c:pt>
                <c:pt idx="136">
                  <c:v>0.03</c:v>
                </c:pt>
                <c:pt idx="137">
                  <c:v>0.04</c:v>
                </c:pt>
                <c:pt idx="138">
                  <c:v>0.1</c:v>
                </c:pt>
                <c:pt idx="139">
                  <c:v>0.14000000000000001</c:v>
                </c:pt>
                <c:pt idx="140">
                  <c:v>-0.02</c:v>
                </c:pt>
                <c:pt idx="141">
                  <c:v>0.06</c:v>
                </c:pt>
                <c:pt idx="142">
                  <c:v>0.04</c:v>
                </c:pt>
                <c:pt idx="143">
                  <c:v>0.15</c:v>
                </c:pt>
                <c:pt idx="144">
                  <c:v>0.1</c:v>
                </c:pt>
                <c:pt idx="145">
                  <c:v>7.0000000000000007E-2</c:v>
                </c:pt>
                <c:pt idx="146">
                  <c:v>0.03</c:v>
                </c:pt>
                <c:pt idx="147">
                  <c:v>0.01</c:v>
                </c:pt>
                <c:pt idx="148">
                  <c:v>0.05</c:v>
                </c:pt>
                <c:pt idx="149">
                  <c:v>0.02</c:v>
                </c:pt>
                <c:pt idx="150">
                  <c:v>0.04</c:v>
                </c:pt>
                <c:pt idx="151">
                  <c:v>0.04</c:v>
                </c:pt>
                <c:pt idx="152">
                  <c:v>-0.02</c:v>
                </c:pt>
                <c:pt idx="153">
                  <c:v>-0.04</c:v>
                </c:pt>
                <c:pt idx="154">
                  <c:v>-0.05</c:v>
                </c:pt>
                <c:pt idx="155">
                  <c:v>-0.03</c:v>
                </c:pt>
                <c:pt idx="156">
                  <c:v>-0.01</c:v>
                </c:pt>
                <c:pt idx="157">
                  <c:v>0.01</c:v>
                </c:pt>
                <c:pt idx="158">
                  <c:v>-0.01</c:v>
                </c:pt>
                <c:pt idx="159">
                  <c:v>9.9999999999999995E-8</c:v>
                </c:pt>
                <c:pt idx="160">
                  <c:v>9.9999999999999995E-8</c:v>
                </c:pt>
                <c:pt idx="161">
                  <c:v>0.02</c:v>
                </c:pt>
                <c:pt idx="162">
                  <c:v>0.1</c:v>
                </c:pt>
                <c:pt idx="163">
                  <c:v>0.03</c:v>
                </c:pt>
                <c:pt idx="164">
                  <c:v>0.06</c:v>
                </c:pt>
                <c:pt idx="165">
                  <c:v>9.9999999999999995E-8</c:v>
                </c:pt>
                <c:pt idx="166">
                  <c:v>0.02</c:v>
                </c:pt>
                <c:pt idx="167">
                  <c:v>-0.03</c:v>
                </c:pt>
                <c:pt idx="168">
                  <c:v>0.01</c:v>
                </c:pt>
                <c:pt idx="169">
                  <c:v>0.06</c:v>
                </c:pt>
                <c:pt idx="171">
                  <c:v>4.9522635428320479E-2</c:v>
                </c:pt>
                <c:pt idx="173">
                  <c:v>3.0704817070936304E-2</c:v>
                </c:pt>
                <c:pt idx="175">
                  <c:v>4.0304597085642629E-2</c:v>
                </c:pt>
                <c:pt idx="177">
                  <c:v>4.475402778138883E-2</c:v>
                </c:pt>
                <c:pt idx="179">
                  <c:v>3.7139971509182204E-2</c:v>
                </c:pt>
                <c:pt idx="181">
                  <c:v>4.0718168552287298E-2</c:v>
                </c:pt>
              </c:numCache>
            </c:numRef>
          </c:xVal>
          <c:yVal>
            <c:numRef>
              <c:f>'Calc-R'!$T$4:$T$186</c:f>
              <c:numCache>
                <c:formatCode>General</c:formatCode>
                <c:ptCount val="183"/>
                <c:pt idx="0">
                  <c:v>182</c:v>
                </c:pt>
                <c:pt idx="1">
                  <c:v>181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  <c:pt idx="8">
                  <c:v>174</c:v>
                </c:pt>
                <c:pt idx="9">
                  <c:v>173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107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91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67</c:v>
                </c:pt>
                <c:pt idx="116">
                  <c:v>66</c:v>
                </c:pt>
                <c:pt idx="117">
                  <c:v>65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46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32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80056"/>
        <c:axId val="230276136"/>
      </c:scatterChart>
      <c:valAx>
        <c:axId val="23028005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0276136"/>
        <c:crosses val="autoZero"/>
        <c:crossBetween val="midCat"/>
        <c:majorUnit val="0.25"/>
      </c:valAx>
      <c:valAx>
        <c:axId val="230276136"/>
        <c:scaling>
          <c:orientation val="minMax"/>
          <c:max val="18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30280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0</xdr:row>
      <xdr:rowOff>0</xdr:rowOff>
    </xdr:from>
    <xdr:to>
      <xdr:col>1</xdr:col>
      <xdr:colOff>2971800</xdr:colOff>
      <xdr:row>190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0</xdr:rowOff>
    </xdr:from>
    <xdr:to>
      <xdr:col>1</xdr:col>
      <xdr:colOff>2946400</xdr:colOff>
      <xdr:row>190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38100</xdr:rowOff>
    </xdr:from>
    <xdr:to>
      <xdr:col>1</xdr:col>
      <xdr:colOff>3035300</xdr:colOff>
      <xdr:row>190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89"/>
  <sheetViews>
    <sheetView tabSelected="1" zoomScale="85" zoomScaleNormal="85" workbookViewId="0">
      <selection activeCell="E21" sqref="E21:F21"/>
    </sheetView>
  </sheetViews>
  <sheetFormatPr defaultColWidth="10.875" defaultRowHeight="15.75" x14ac:dyDescent="0.25"/>
  <cols>
    <col min="1" max="1" width="5.625" style="2" customWidth="1"/>
    <col min="2" max="2" width="6.375" style="2" bestFit="1" customWidth="1"/>
    <col min="3" max="3" width="7.375" style="2" customWidth="1"/>
    <col min="4" max="4" width="8.625" style="2" customWidth="1"/>
    <col min="5" max="5" width="6.375" style="2" bestFit="1" customWidth="1"/>
    <col min="6" max="6" width="5.125" style="2" customWidth="1"/>
    <col min="7" max="7" width="6.5" style="2" customWidth="1"/>
    <col min="8" max="8" width="7.375" style="73" customWidth="1"/>
    <col min="9" max="9" width="9" style="2" customWidth="1"/>
    <col min="10" max="10" width="6.5" style="2" hidden="1" customWidth="1"/>
    <col min="11" max="11" width="7.375" style="73" hidden="1" customWidth="1"/>
    <col min="12" max="12" width="9" style="2" hidden="1" customWidth="1"/>
    <col min="13" max="13" width="6.5" style="2" hidden="1" customWidth="1"/>
    <col min="14" max="14" width="6.125" style="2" hidden="1" customWidth="1"/>
    <col min="15" max="15" width="10.5" style="2" hidden="1" customWidth="1"/>
    <col min="16" max="16" width="0" style="2" hidden="1" customWidth="1"/>
    <col min="17" max="17" width="27.625" style="2" customWidth="1"/>
    <col min="18" max="18" width="15.375" style="2" hidden="1" customWidth="1"/>
    <col min="19" max="19" width="10" style="75" customWidth="1"/>
    <col min="20" max="20" width="7.125" style="2" customWidth="1"/>
    <col min="21" max="21" width="7.625" style="2" customWidth="1"/>
    <col min="22" max="22" width="10.375" style="2" customWidth="1"/>
    <col min="23" max="28" width="10.875" style="2"/>
    <col min="29" max="29" width="11.125" style="2" bestFit="1" customWidth="1"/>
    <col min="30" max="30" width="10.625" style="2" customWidth="1"/>
    <col min="31" max="31" width="11.125" style="2" bestFit="1" customWidth="1"/>
    <col min="32" max="32" width="17.125" style="2" bestFit="1" customWidth="1"/>
    <col min="33" max="33" width="11.125" style="2" hidden="1" customWidth="1"/>
    <col min="34" max="34" width="6.375" style="2" hidden="1" customWidth="1"/>
    <col min="35" max="35" width="10.875" style="2"/>
    <col min="36" max="36" width="9.125" style="2" customWidth="1"/>
    <col min="37" max="37" width="3.875" style="2" customWidth="1"/>
    <col min="38" max="16384" width="10.875" style="2"/>
  </cols>
  <sheetData>
    <row r="1" spans="1:73" x14ac:dyDescent="0.25">
      <c r="A1" s="1"/>
      <c r="G1" s="123" t="s">
        <v>0</v>
      </c>
      <c r="H1" s="123"/>
      <c r="I1" s="123"/>
      <c r="J1" s="123"/>
      <c r="K1" s="123"/>
      <c r="L1" s="123"/>
      <c r="M1" s="123"/>
      <c r="N1" s="123"/>
      <c r="O1" s="123"/>
      <c r="W1" s="74"/>
      <c r="X1" s="74"/>
      <c r="Y1" s="74"/>
      <c r="Z1" s="74"/>
      <c r="AA1" s="74"/>
      <c r="AB1" s="74"/>
      <c r="AC1" s="78"/>
      <c r="AD1" s="78"/>
      <c r="AE1" s="78"/>
      <c r="AF1" s="79"/>
      <c r="AG1" s="78"/>
      <c r="AH1" s="107"/>
      <c r="AI1" s="78"/>
      <c r="AJ1" s="85"/>
    </row>
    <row r="2" spans="1:73" ht="51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24" t="s">
        <v>7</v>
      </c>
      <c r="H2" s="124"/>
      <c r="I2" s="124"/>
      <c r="J2" s="124"/>
      <c r="K2" s="124"/>
      <c r="L2" s="124"/>
      <c r="M2" s="124"/>
      <c r="N2" s="124"/>
      <c r="O2" s="124"/>
      <c r="W2" s="179"/>
      <c r="X2" s="122"/>
      <c r="Y2" s="179"/>
      <c r="Z2" s="122"/>
      <c r="AA2" s="179"/>
      <c r="AF2" s="101" t="s">
        <v>330</v>
      </c>
      <c r="AI2" s="2" t="s">
        <v>334</v>
      </c>
      <c r="AJ2" s="2" t="s">
        <v>331</v>
      </c>
      <c r="AK2" s="2" t="s">
        <v>333</v>
      </c>
      <c r="AL2" s="2" t="s">
        <v>248</v>
      </c>
      <c r="AM2" s="2" t="s">
        <v>332</v>
      </c>
    </row>
    <row r="3" spans="1:73" x14ac:dyDescent="0.25">
      <c r="A3" s="6" t="s">
        <v>10</v>
      </c>
      <c r="B3" s="7"/>
      <c r="C3" s="7"/>
      <c r="D3" s="7"/>
      <c r="E3" s="7"/>
      <c r="F3" s="8"/>
      <c r="G3" s="9" t="s">
        <v>469</v>
      </c>
      <c r="H3" s="9" t="s">
        <v>470</v>
      </c>
      <c r="I3" s="9"/>
      <c r="J3" s="9"/>
      <c r="K3" s="9"/>
      <c r="L3" s="9"/>
      <c r="M3" s="9"/>
      <c r="N3" s="9"/>
      <c r="O3" s="9"/>
      <c r="Q3" s="1" t="s">
        <v>10</v>
      </c>
      <c r="S3" s="9" t="s">
        <v>469</v>
      </c>
      <c r="T3" s="74" t="s">
        <v>184</v>
      </c>
      <c r="AH3" s="106" t="s">
        <v>468</v>
      </c>
      <c r="AJ3" s="154">
        <f>MODE(AJ6:AJ16,AJ27:AJ38,AJ57:AJ68,AJ77:AJ94,AJ122:AJ127,AJ156:AJ173)</f>
        <v>4</v>
      </c>
      <c r="AK3" s="154"/>
    </row>
    <row r="4" spans="1:73" x14ac:dyDescent="0.25">
      <c r="A4" s="10"/>
      <c r="B4" s="170" t="s">
        <v>11</v>
      </c>
      <c r="C4" s="170" t="s">
        <v>12</v>
      </c>
      <c r="D4" s="170" t="s">
        <v>13</v>
      </c>
      <c r="E4" s="170" t="s">
        <v>14</v>
      </c>
      <c r="F4" s="170">
        <v>138</v>
      </c>
      <c r="G4" s="171">
        <v>0.27</v>
      </c>
      <c r="H4" s="172">
        <v>0.14000000000000001</v>
      </c>
      <c r="I4" s="173" t="s">
        <v>15</v>
      </c>
      <c r="J4" s="12"/>
      <c r="K4" s="13"/>
      <c r="L4" s="14"/>
      <c r="M4" s="12"/>
      <c r="N4" s="74"/>
      <c r="O4" s="14"/>
      <c r="Q4" s="122" t="str">
        <f>CONCATENATE(B8,"_",E8,"_",D8,"_",C8)</f>
        <v>EAS_Men_MMSE_PEF</v>
      </c>
      <c r="R4" s="122"/>
      <c r="S4" s="168">
        <f>G8</f>
        <v>0.31</v>
      </c>
      <c r="T4" s="122">
        <v>182</v>
      </c>
      <c r="U4" s="162">
        <f>W4*H8/G8</f>
        <v>0.16544279189777866</v>
      </c>
      <c r="V4" s="76" t="str">
        <f>I8</f>
        <v>p=0.05 *</v>
      </c>
      <c r="W4" s="161">
        <f>0.5*LN((1+S4)/(1-S4))</f>
        <v>0.32054540930194614</v>
      </c>
      <c r="X4" s="161">
        <f>S4-(EXP(2*Z4)-1)/(EXP(2*Z4)+1)</f>
        <v>0.31372244562407531</v>
      </c>
      <c r="Y4" s="161">
        <f>(EXP(2*AA4)-1)/(EXP(2*AA4)+1)-S4</f>
        <v>0.25816794871453425</v>
      </c>
      <c r="Z4" s="161">
        <f>W4-AB4</f>
        <v>-3.7224628177000563E-3</v>
      </c>
      <c r="AA4" s="161">
        <f>W4+AB4</f>
        <v>0.64481328142159233</v>
      </c>
      <c r="AB4" s="161">
        <f>1.96*U4</f>
        <v>0.32426787211964619</v>
      </c>
      <c r="AC4" s="166">
        <f>IF(W4&lt;&gt;"",ABS(W4/U4^2),"")</f>
        <v>11.710996760723875</v>
      </c>
      <c r="AD4" s="78"/>
      <c r="AE4" s="195">
        <f>U4^-2</f>
        <v>36.534595164619546</v>
      </c>
      <c r="AF4" s="200" t="str">
        <f>CONCATENATE(ROUND(S4,2),", (",ROUND(-(X4-S4),2),", ",ROUND(Y4+S4,2),")")</f>
        <v>0.31, (0, 0.57)</v>
      </c>
      <c r="AG4" s="158">
        <f>AE4</f>
        <v>36.534595164619546</v>
      </c>
      <c r="AH4" s="2">
        <f t="shared" ref="AH4:AH16" si="0">G4/H4</f>
        <v>1.9285714285714286</v>
      </c>
      <c r="AI4" s="166">
        <f t="shared" ref="AI4:AI16" si="1">(Z4/1.96)^2*AE4</f>
        <v>1.317810287380284E-4</v>
      </c>
      <c r="AJ4" s="196">
        <f>ROUND(AG4/AG$22*100,0)</f>
        <v>2</v>
      </c>
      <c r="AK4" s="154"/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x14ac:dyDescent="0.25">
      <c r="A5" s="10"/>
      <c r="B5" s="170" t="s">
        <v>11</v>
      </c>
      <c r="C5" s="170" t="s">
        <v>12</v>
      </c>
      <c r="D5" s="170" t="s">
        <v>13</v>
      </c>
      <c r="E5" s="170" t="s">
        <v>18</v>
      </c>
      <c r="F5" s="170">
        <v>275</v>
      </c>
      <c r="G5" s="174">
        <v>0.24</v>
      </c>
      <c r="H5" s="175">
        <v>0.11</v>
      </c>
      <c r="I5" s="173" t="s">
        <v>19</v>
      </c>
      <c r="J5" s="17"/>
      <c r="K5" s="18"/>
      <c r="L5" s="14"/>
      <c r="M5" s="19"/>
      <c r="N5" s="18"/>
      <c r="O5" s="14"/>
      <c r="Q5" s="122" t="str">
        <f>CONCATENATE(B9,"_",E9,"_",D9,"_",C9)</f>
        <v>EAS_Women_MMSE_PEF</v>
      </c>
      <c r="R5" s="122"/>
      <c r="S5" s="168">
        <f>G9</f>
        <v>0.18</v>
      </c>
      <c r="T5" s="169">
        <v>181</v>
      </c>
      <c r="U5" s="162">
        <f>W5*H9/G9</f>
        <v>0.10110149366705874</v>
      </c>
      <c r="V5" s="76" t="str">
        <f>I9</f>
        <v>p=0.09^</v>
      </c>
      <c r="W5" s="161">
        <f>0.5*LN((1+S5)/(1-S5))</f>
        <v>0.18198268860070574</v>
      </c>
      <c r="X5" s="161">
        <f>S5-(EXP(2*Z5)-1)/(EXP(2*Z5)+1)</f>
        <v>0.19617482818509391</v>
      </c>
      <c r="Y5" s="161">
        <f>(EXP(2*AA5)-1)/(EXP(2*AA5)+1)-S5</f>
        <v>0.18283044688913203</v>
      </c>
      <c r="Z5" s="161">
        <f>W5-AB5</f>
        <v>-1.6176238986729402E-2</v>
      </c>
      <c r="AA5" s="161">
        <f>W5+AB5</f>
        <v>0.38014161618814091</v>
      </c>
      <c r="AB5" s="161">
        <f>1.96*U5</f>
        <v>0.19815892758743514</v>
      </c>
      <c r="AC5" s="166">
        <f>IF(W5&lt;&gt;"",ABS(W5/U5^2),"")</f>
        <v>17.803891265223537</v>
      </c>
      <c r="AD5" s="78"/>
      <c r="AE5" s="166">
        <f>U5^-2</f>
        <v>97.832884007377459</v>
      </c>
      <c r="AF5" s="200" t="str">
        <f>CONCATENATE(ROUND(S5,2),", (",ROUND(-(X5-S5),2),", ",ROUND(Y5+S5,2),")")</f>
        <v>0.18, (-0.02, 0.36)</v>
      </c>
      <c r="AG5" s="158">
        <f t="shared" ref="AG5:AG16" si="2">AE5</f>
        <v>97.832884007377459</v>
      </c>
      <c r="AH5" s="2">
        <f t="shared" si="0"/>
        <v>2.1818181818181817</v>
      </c>
      <c r="AI5" s="166">
        <f t="shared" si="1"/>
        <v>6.6638900458142452E-3</v>
      </c>
      <c r="AJ5" s="196">
        <f t="shared" ref="AJ5:AJ16" si="3">ROUND(AG5/AG$22*100,0)</f>
        <v>6</v>
      </c>
      <c r="AK5" s="154"/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x14ac:dyDescent="0.25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-0.02</v>
      </c>
      <c r="H6" s="13">
        <v>0.08</v>
      </c>
      <c r="I6" s="14" t="s">
        <v>24</v>
      </c>
      <c r="J6" s="12"/>
      <c r="K6" s="13"/>
      <c r="L6" s="14"/>
      <c r="M6" s="12"/>
      <c r="N6" s="16"/>
      <c r="O6" s="14"/>
      <c r="Q6" s="176" t="str">
        <f>CONCATENATE(B4,"_",E4,"_",D4,"_",C4)</f>
        <v>OCTO_Men_Clock_PEF</v>
      </c>
      <c r="R6" s="176"/>
      <c r="S6" s="177">
        <f>G4</f>
        <v>0.27</v>
      </c>
      <c r="T6" s="176">
        <v>180</v>
      </c>
      <c r="U6" s="162">
        <f>W6*H4/G4</f>
        <v>0.14355901915449634</v>
      </c>
      <c r="V6" s="167" t="str">
        <f>I4</f>
        <v>p=0.06 ^</v>
      </c>
      <c r="W6" s="161">
        <f t="shared" ref="W6:W16" si="4">0.5*LN((1+S6)/(1-S6))</f>
        <v>0.27686382265510007</v>
      </c>
      <c r="X6" s="161">
        <f>S6-(EXP(2*Z6)-1)/(EXP(2*Z6)+1)</f>
        <v>0.27451182427226761</v>
      </c>
      <c r="Y6" s="161">
        <f t="shared" ref="Y6:Y16" si="5">(EXP(2*AA6)-1)/(EXP(2*AA6)+1)-S6</f>
        <v>0.23667004651524914</v>
      </c>
      <c r="Z6" s="161">
        <f>W6-AB6</f>
        <v>-4.511854887712774E-3</v>
      </c>
      <c r="AA6" s="161">
        <f>W6+AB6</f>
        <v>0.55823950019791291</v>
      </c>
      <c r="AB6" s="161">
        <f t="shared" ref="AB6:AB16" si="6">1.96*U6</f>
        <v>0.28137567754281284</v>
      </c>
      <c r="AC6" s="166">
        <f t="shared" ref="AC6:AC16" si="7">IF(W6&lt;&gt;"",ABS(W6/U6^2),"")</f>
        <v>13.433996971628268</v>
      </c>
      <c r="AD6" s="159"/>
      <c r="AE6" s="166">
        <f t="shared" ref="AE6:AE16" si="8">U6^-2</f>
        <v>48.522038173125694</v>
      </c>
      <c r="AF6" s="200" t="str">
        <f t="shared" ref="AF6:AF16" si="9">CONCATENATE(ROUND(S6,2),", (",ROUND(-(X6-S6),2),", ",ROUND(Y6+S6,2),")")</f>
        <v>0.27, (0, 0.51)</v>
      </c>
      <c r="AG6" s="158">
        <f t="shared" si="2"/>
        <v>48.522038173125694</v>
      </c>
      <c r="AH6" s="125">
        <f>G6/H6</f>
        <v>-0.25</v>
      </c>
      <c r="AI6" s="166">
        <f t="shared" si="1"/>
        <v>2.5712075750750475E-4</v>
      </c>
      <c r="AJ6" s="197">
        <f t="shared" si="3"/>
        <v>3</v>
      </c>
      <c r="AK6" s="154"/>
    </row>
    <row r="7" spans="1:73" x14ac:dyDescent="0.25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7">
        <v>0.19</v>
      </c>
      <c r="H7" s="18">
        <v>0.06</v>
      </c>
      <c r="I7" s="14" t="s">
        <v>27</v>
      </c>
      <c r="J7" s="17"/>
      <c r="K7" s="18"/>
      <c r="L7" s="14"/>
      <c r="M7" s="19"/>
      <c r="N7" s="18"/>
      <c r="O7" s="14"/>
      <c r="Q7" s="176" t="str">
        <f>CONCATENATE(B5,"_",E5,"_",D5,"_",C5)</f>
        <v>OCTO_Women_Clock_PEF</v>
      </c>
      <c r="R7" s="176"/>
      <c r="S7" s="177">
        <f>G5</f>
        <v>0.24</v>
      </c>
      <c r="T7" s="178">
        <v>179</v>
      </c>
      <c r="U7" s="162">
        <f>W7*H5/G5</f>
        <v>0.11218813496887009</v>
      </c>
      <c r="V7" s="167" t="str">
        <f>I5</f>
        <v>p=0.03 *</v>
      </c>
      <c r="W7" s="161">
        <f t="shared" si="4"/>
        <v>0.24477411265935289</v>
      </c>
      <c r="X7" s="161">
        <f t="shared" ref="X7:X16" si="10">S7-(EXP(2*Z7)-1)/(EXP(2*Z7)+1)</f>
        <v>0.21511976762386575</v>
      </c>
      <c r="Y7" s="161">
        <f t="shared" si="5"/>
        <v>0.19387693508264081</v>
      </c>
      <c r="Z7" s="161">
        <f t="shared" ref="Z7:Z16" si="11">W7-AB7</f>
        <v>2.4885368120367513E-2</v>
      </c>
      <c r="AA7" s="161">
        <f t="shared" ref="AA7:AA16" si="12">W7+AB7</f>
        <v>0.46466285719833827</v>
      </c>
      <c r="AB7" s="161">
        <f t="shared" si="6"/>
        <v>0.21988874453898538</v>
      </c>
      <c r="AC7" s="166">
        <f t="shared" si="7"/>
        <v>19.447851436549787</v>
      </c>
      <c r="AD7" s="159"/>
      <c r="AE7" s="166">
        <f t="shared" si="8"/>
        <v>79.45223955776305</v>
      </c>
      <c r="AF7" s="200" t="str">
        <f t="shared" si="9"/>
        <v>0.24, (0.02, 0.43)</v>
      </c>
      <c r="AG7" s="158">
        <f t="shared" si="2"/>
        <v>79.45223955776305</v>
      </c>
      <c r="AH7" s="126">
        <f t="shared" si="0"/>
        <v>3.166666666666667</v>
      </c>
      <c r="AI7" s="166">
        <f t="shared" si="1"/>
        <v>1.2808024204790672E-2</v>
      </c>
      <c r="AJ7" s="197">
        <f t="shared" si="3"/>
        <v>5</v>
      </c>
      <c r="AK7" s="154"/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x14ac:dyDescent="0.25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0.31</v>
      </c>
      <c r="H8" s="13">
        <v>0.16</v>
      </c>
      <c r="I8" s="14" t="s">
        <v>32</v>
      </c>
      <c r="J8" s="12"/>
      <c r="K8" s="13"/>
      <c r="L8" s="14"/>
      <c r="M8" s="12"/>
      <c r="N8" s="16"/>
      <c r="O8" s="14"/>
      <c r="Q8" s="176" t="str">
        <f>CONCATENATE(B13,"_",E13,"_",D13,"_",C13)</f>
        <v>OCTO_Men_MMSE_PEF</v>
      </c>
      <c r="R8" s="176"/>
      <c r="S8" s="177">
        <f>G13</f>
        <v>0.66</v>
      </c>
      <c r="T8" s="176">
        <v>178</v>
      </c>
      <c r="U8" s="162">
        <f>W8*H13/G13</f>
        <v>0.16817258857852538</v>
      </c>
      <c r="V8" s="76" t="str">
        <f>I13</f>
        <v>p&lt;0.01 ***</v>
      </c>
      <c r="W8" s="161">
        <f>0.5*LN((1+S8)/(1-S8))</f>
        <v>0.79281363187019105</v>
      </c>
      <c r="X8" s="161">
        <f>S8-(EXP(2*Z8)-1)/(EXP(2*Z8)+1)</f>
        <v>0.22731506647354066</v>
      </c>
      <c r="Y8" s="161">
        <f>(EXP(2*AA8)-1)/(EXP(2*AA8)+1)-S8</f>
        <v>0.14841315252340648</v>
      </c>
      <c r="Z8" s="161">
        <f>W8-AB8</f>
        <v>0.46319535825628133</v>
      </c>
      <c r="AA8" s="161">
        <f>W8+AB8</f>
        <v>1.1224319054841008</v>
      </c>
      <c r="AB8" s="161">
        <f>1.96*U8</f>
        <v>0.32961827361390972</v>
      </c>
      <c r="AC8" s="166">
        <f>IF(W8&lt;&gt;"",ABS(W8/U8^2),"")</f>
        <v>28.032426414632116</v>
      </c>
      <c r="AD8" s="78"/>
      <c r="AE8" s="166">
        <f>U8^-2</f>
        <v>35.358153906241007</v>
      </c>
      <c r="AF8" s="200" t="str">
        <f>CONCATENATE(ROUND(S8,2),", (",ROUND(-(X8-S8),2),", ",ROUND(Y8+S8,2),")")</f>
        <v>0.66, (0.43, 0.81)</v>
      </c>
      <c r="AG8" s="158">
        <f t="shared" si="2"/>
        <v>35.358153906241007</v>
      </c>
      <c r="AH8" s="2">
        <f t="shared" si="0"/>
        <v>1.9375</v>
      </c>
      <c r="AI8" s="166">
        <f t="shared" si="1"/>
        <v>1.9747214170966176</v>
      </c>
      <c r="AJ8" s="196">
        <f t="shared" si="3"/>
        <v>2</v>
      </c>
      <c r="AK8" s="154"/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x14ac:dyDescent="0.25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7">
        <v>0.18</v>
      </c>
      <c r="H9" s="18">
        <v>0.1</v>
      </c>
      <c r="I9" s="14" t="s">
        <v>34</v>
      </c>
      <c r="J9" s="17"/>
      <c r="K9" s="18"/>
      <c r="L9" s="14"/>
      <c r="M9" s="19"/>
      <c r="N9" s="18"/>
      <c r="O9" s="14"/>
      <c r="Q9" s="176" t="str">
        <f>CONCATENATE(B14,"_",E14,"_",D14,"_",C14)</f>
        <v>OCTO_Women_MMSE_PEF</v>
      </c>
      <c r="R9" s="176"/>
      <c r="S9" s="177">
        <f>G14</f>
        <v>0.1</v>
      </c>
      <c r="T9" s="178">
        <v>177</v>
      </c>
      <c r="U9" s="162">
        <f>W9*H14/G14</f>
        <v>0.13043595205039829</v>
      </c>
      <c r="V9" s="76" t="str">
        <f>I14</f>
        <v>p=0.42</v>
      </c>
      <c r="W9" s="161">
        <f>0.5*LN((1+S9)/(1-S9))</f>
        <v>0.10033534773107562</v>
      </c>
      <c r="X9" s="161">
        <f>S9-(EXP(2*Z9)-1)/(EXP(2*Z9)+1)</f>
        <v>0.25408207958168805</v>
      </c>
      <c r="Y9" s="161">
        <f>(EXP(2*AA9)-1)/(EXP(2*AA9)+1)-S9</f>
        <v>0.24167687494092185</v>
      </c>
      <c r="Z9" s="161">
        <f>W9-AB9</f>
        <v>-0.15531911828770506</v>
      </c>
      <c r="AA9" s="161">
        <f>W9+AB9</f>
        <v>0.35598981374985628</v>
      </c>
      <c r="AB9" s="161">
        <f>1.96*U9</f>
        <v>0.25565446601878067</v>
      </c>
      <c r="AC9" s="166">
        <f>IF(W9&lt;&gt;"",ABS(W9/U9^2),"")</f>
        <v>5.8973830231526296</v>
      </c>
      <c r="AD9" s="78"/>
      <c r="AE9" s="166">
        <f>U9^-2</f>
        <v>58.776723821789339</v>
      </c>
      <c r="AF9" s="200" t="str">
        <f>CONCATENATE(ROUND(S9,2),", (",ROUND(-(X9-S9),2),", ",ROUND(Y9+S9,2),")")</f>
        <v>0.1, (-0.15, 0.34)</v>
      </c>
      <c r="AG9" s="158">
        <f t="shared" si="2"/>
        <v>58.776723821789339</v>
      </c>
      <c r="AH9" s="2">
        <f t="shared" si="0"/>
        <v>1.7999999999999998</v>
      </c>
      <c r="AI9" s="166">
        <f t="shared" si="1"/>
        <v>0.36909916726019004</v>
      </c>
      <c r="AJ9" s="196">
        <f t="shared" si="3"/>
        <v>4</v>
      </c>
      <c r="AK9" s="154"/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x14ac:dyDescent="0.25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0.04</v>
      </c>
      <c r="H10" s="13">
        <v>0.08</v>
      </c>
      <c r="I10" s="14" t="s">
        <v>28</v>
      </c>
      <c r="J10" s="12"/>
      <c r="K10" s="13"/>
      <c r="L10" s="14"/>
      <c r="M10" s="12"/>
      <c r="N10" s="16"/>
      <c r="O10" s="14"/>
      <c r="Q10" s="122" t="str">
        <f>CONCATENATE(B6,"_",E6,"_",D6,"_",C6)</f>
        <v>MAP_Men_Ideas_FEV1</v>
      </c>
      <c r="R10" s="122"/>
      <c r="S10" s="168">
        <f>G6</f>
        <v>-0.02</v>
      </c>
      <c r="T10" s="122">
        <v>176</v>
      </c>
      <c r="U10" s="162">
        <f>W10*H6/G6</f>
        <v>8.0010669227398495E-2</v>
      </c>
      <c r="V10" s="76" t="str">
        <f>I6</f>
        <v>p=0.82</v>
      </c>
      <c r="W10" s="161">
        <f t="shared" si="4"/>
        <v>-2.0002667306849624E-2</v>
      </c>
      <c r="X10" s="161">
        <f t="shared" si="10"/>
        <v>0.15500344987819586</v>
      </c>
      <c r="Y10" s="161">
        <f t="shared" si="5"/>
        <v>0.15597087781504498</v>
      </c>
      <c r="Z10" s="161">
        <f t="shared" si="11"/>
        <v>-0.17682357899255069</v>
      </c>
      <c r="AA10" s="161">
        <f t="shared" si="12"/>
        <v>0.13681824437885143</v>
      </c>
      <c r="AB10" s="161">
        <f t="shared" si="6"/>
        <v>0.15682091168570106</v>
      </c>
      <c r="AC10" s="166">
        <f t="shared" si="7"/>
        <v>3.1245832888795677</v>
      </c>
      <c r="AD10" s="78"/>
      <c r="AE10" s="166">
        <f t="shared" si="8"/>
        <v>156.2083316663273</v>
      </c>
      <c r="AF10" s="200" t="str">
        <f t="shared" si="9"/>
        <v>-0.02, (-0.18, 0.14)</v>
      </c>
      <c r="AG10" s="158">
        <f t="shared" si="2"/>
        <v>156.2083316663273</v>
      </c>
      <c r="AH10" s="2">
        <f t="shared" si="0"/>
        <v>0.5</v>
      </c>
      <c r="AI10" s="166">
        <f t="shared" si="1"/>
        <v>1.2713713036234904</v>
      </c>
      <c r="AJ10" s="196">
        <f t="shared" si="3"/>
        <v>10</v>
      </c>
      <c r="AK10" s="154"/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x14ac:dyDescent="0.25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7">
        <v>0.02</v>
      </c>
      <c r="H11" s="18">
        <v>0.06</v>
      </c>
      <c r="I11" s="14" t="s">
        <v>36</v>
      </c>
      <c r="J11" s="17"/>
      <c r="K11" s="18"/>
      <c r="L11" s="14"/>
      <c r="M11" s="19"/>
      <c r="N11" s="18"/>
      <c r="O11" s="14"/>
      <c r="Q11" s="122" t="str">
        <f>CONCATENATE(B7,"_",E7,"_",D7,"_",C7)</f>
        <v>MAP_Women_Ideas_FEV1</v>
      </c>
      <c r="R11" s="122"/>
      <c r="S11" s="168">
        <f>G7</f>
        <v>0.19</v>
      </c>
      <c r="T11" s="169">
        <v>175</v>
      </c>
      <c r="U11" s="162">
        <f>W11*H7/G7</f>
        <v>6.0738053437751134E-2</v>
      </c>
      <c r="V11" s="76" t="str">
        <f>I7</f>
        <v>p&lt;0.01 ***</v>
      </c>
      <c r="W11" s="161">
        <f t="shared" si="4"/>
        <v>0.19233716921954527</v>
      </c>
      <c r="X11" s="161">
        <f t="shared" si="10"/>
        <v>0.11684036120551293</v>
      </c>
      <c r="Y11" s="161">
        <f t="shared" si="5"/>
        <v>0.11169542615415395</v>
      </c>
      <c r="Z11" s="161">
        <f t="shared" si="11"/>
        <v>7.3290584481553053E-2</v>
      </c>
      <c r="AA11" s="161">
        <f t="shared" si="12"/>
        <v>0.31138375395753748</v>
      </c>
      <c r="AB11" s="161">
        <f t="shared" si="6"/>
        <v>0.11904658473799222</v>
      </c>
      <c r="AC11" s="166">
        <f t="shared" si="7"/>
        <v>52.136452971975828</v>
      </c>
      <c r="AD11" s="78"/>
      <c r="AE11" s="166">
        <f t="shared" si="8"/>
        <v>271.06800616610997</v>
      </c>
      <c r="AF11" s="200" t="str">
        <f t="shared" si="9"/>
        <v>0.19, (0.07, 0.3)</v>
      </c>
      <c r="AG11" s="158">
        <f t="shared" si="2"/>
        <v>271.06800616610997</v>
      </c>
      <c r="AH11" s="2">
        <f t="shared" si="0"/>
        <v>0.33333333333333337</v>
      </c>
      <c r="AI11" s="166">
        <f t="shared" si="1"/>
        <v>0.37902031560923716</v>
      </c>
      <c r="AJ11" s="196">
        <f t="shared" si="3"/>
        <v>18</v>
      </c>
      <c r="AK11" s="154"/>
    </row>
    <row r="12" spans="1:73" x14ac:dyDescent="0.25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0.2</v>
      </c>
      <c r="H12" s="13">
        <v>7.0000000000000007E-2</v>
      </c>
      <c r="I12" s="14" t="s">
        <v>39</v>
      </c>
      <c r="J12" s="12"/>
      <c r="K12" s="13"/>
      <c r="L12" s="14"/>
      <c r="M12" s="12"/>
      <c r="N12" s="16"/>
      <c r="O12" s="14"/>
      <c r="Q12" s="122" t="str">
        <f>CONCATENATE(B10,"_",E10,"_",D10,"_",C10)</f>
        <v>MAP_Men_MMSE_FEV1</v>
      </c>
      <c r="R12" s="122"/>
      <c r="S12" s="168">
        <f>G10</f>
        <v>0.04</v>
      </c>
      <c r="T12" s="122">
        <v>174</v>
      </c>
      <c r="U12" s="162">
        <f>W12*H10/G10</f>
        <v>8.0042707673536564E-2</v>
      </c>
      <c r="V12" s="76" t="str">
        <f>I10</f>
        <v>p=0.66</v>
      </c>
      <c r="W12" s="161">
        <f t="shared" si="4"/>
        <v>4.0021353836768282E-2</v>
      </c>
      <c r="X12" s="161">
        <f t="shared" si="10"/>
        <v>0.15633325436744824</v>
      </c>
      <c r="Y12" s="161">
        <f t="shared" si="5"/>
        <v>0.15439914215869743</v>
      </c>
      <c r="Z12" s="161">
        <f t="shared" si="11"/>
        <v>-0.11686235320336338</v>
      </c>
      <c r="AA12" s="161">
        <f t="shared" si="12"/>
        <v>0.19690506087689993</v>
      </c>
      <c r="AB12" s="161">
        <f t="shared" si="6"/>
        <v>0.15688370704013166</v>
      </c>
      <c r="AC12" s="166">
        <f t="shared" si="7"/>
        <v>6.2466652432512371</v>
      </c>
      <c r="AD12" s="78"/>
      <c r="AE12" s="166">
        <f t="shared" si="8"/>
        <v>156.08330664497217</v>
      </c>
      <c r="AF12" s="200" t="str">
        <f t="shared" si="9"/>
        <v>0.04, (-0.12, 0.19)</v>
      </c>
      <c r="AG12" s="158">
        <f t="shared" si="2"/>
        <v>156.08330664497217</v>
      </c>
      <c r="AH12" s="2">
        <f t="shared" si="0"/>
        <v>2.8571428571428572</v>
      </c>
      <c r="AI12" s="166">
        <f t="shared" si="1"/>
        <v>0.55487296959600163</v>
      </c>
      <c r="AJ12" s="196">
        <f t="shared" si="3"/>
        <v>10</v>
      </c>
      <c r="AK12" s="154"/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x14ac:dyDescent="0.25">
      <c r="A13" s="10"/>
      <c r="B13" s="170" t="s">
        <v>11</v>
      </c>
      <c r="C13" s="170" t="s">
        <v>12</v>
      </c>
      <c r="D13" s="170" t="s">
        <v>31</v>
      </c>
      <c r="E13" s="170" t="s">
        <v>14</v>
      </c>
      <c r="F13" s="170">
        <v>140</v>
      </c>
      <c r="G13" s="171">
        <v>0.66</v>
      </c>
      <c r="H13" s="172">
        <v>0.14000000000000001</v>
      </c>
      <c r="I13" s="173" t="s">
        <v>27</v>
      </c>
      <c r="J13" s="12"/>
      <c r="K13" s="13"/>
      <c r="L13" s="14"/>
      <c r="M13" s="12"/>
      <c r="N13" s="16"/>
      <c r="O13" s="14"/>
      <c r="Q13" s="122" t="str">
        <f>CONCATENATE(B11,"_",E11,"_",D11,"_",C11)</f>
        <v>MAP_Women_MMSE_FEV1</v>
      </c>
      <c r="R13" s="122"/>
      <c r="S13" s="168">
        <f>G11</f>
        <v>0.02</v>
      </c>
      <c r="T13" s="169">
        <v>173</v>
      </c>
      <c r="U13" s="162">
        <f>W13*H11/G11</f>
        <v>6.0008001920548802E-2</v>
      </c>
      <c r="V13" s="76" t="str">
        <f>I11</f>
        <v>p=0.71</v>
      </c>
      <c r="W13" s="161">
        <f t="shared" si="4"/>
        <v>2.0002667306849603E-2</v>
      </c>
      <c r="X13" s="161">
        <f t="shared" si="10"/>
        <v>0.1173041648031274</v>
      </c>
      <c r="Y13" s="161">
        <f t="shared" si="5"/>
        <v>0.11675610647755662</v>
      </c>
      <c r="Z13" s="161">
        <f t="shared" si="11"/>
        <v>-9.7613016457426052E-2</v>
      </c>
      <c r="AA13" s="161">
        <f t="shared" si="12"/>
        <v>0.13761835107112524</v>
      </c>
      <c r="AB13" s="161">
        <f t="shared" si="6"/>
        <v>0.11761568376427566</v>
      </c>
      <c r="AC13" s="166">
        <f t="shared" si="7"/>
        <v>5.5548147357859046</v>
      </c>
      <c r="AD13" s="78"/>
      <c r="AE13" s="166">
        <f t="shared" si="8"/>
        <v>277.703700740138</v>
      </c>
      <c r="AF13" s="200" t="str">
        <f t="shared" si="9"/>
        <v>0.02, (-0.1, 0.14)</v>
      </c>
      <c r="AG13" s="158">
        <f t="shared" si="2"/>
        <v>277.703700740138</v>
      </c>
      <c r="AH13" s="2">
        <f t="shared" si="0"/>
        <v>4.7142857142857144</v>
      </c>
      <c r="AI13" s="166">
        <f t="shared" si="1"/>
        <v>0.68878707945763329</v>
      </c>
      <c r="AJ13" s="196">
        <f t="shared" si="3"/>
        <v>18</v>
      </c>
      <c r="AK13" s="154"/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x14ac:dyDescent="0.25">
      <c r="A14" s="10"/>
      <c r="B14" s="170" t="s">
        <v>11</v>
      </c>
      <c r="C14" s="170" t="s">
        <v>12</v>
      </c>
      <c r="D14" s="170" t="s">
        <v>31</v>
      </c>
      <c r="E14" s="170" t="s">
        <v>18</v>
      </c>
      <c r="F14" s="170">
        <v>276</v>
      </c>
      <c r="G14" s="174">
        <v>0.1</v>
      </c>
      <c r="H14" s="175">
        <v>0.13</v>
      </c>
      <c r="I14" s="173" t="s">
        <v>26</v>
      </c>
      <c r="J14" s="17"/>
      <c r="K14" s="18"/>
      <c r="L14" s="14"/>
      <c r="M14" s="19"/>
      <c r="N14" s="18"/>
      <c r="O14" s="14"/>
      <c r="Q14" s="122" t="str">
        <f>CONCATENATE(B12,"_",E12,"_",D12,"_",C12)</f>
        <v>NAS_Men_MMSE_FEV1</v>
      </c>
      <c r="R14" s="122"/>
      <c r="S14" s="168">
        <f>G12</f>
        <v>0.2</v>
      </c>
      <c r="T14" s="122">
        <v>172</v>
      </c>
      <c r="U14" s="162">
        <f>W14*H12/G12</f>
        <v>7.0956393918928745E-2</v>
      </c>
      <c r="V14" s="76" t="str">
        <f>I12</f>
        <v>p=0.01 **</v>
      </c>
      <c r="W14" s="161">
        <f t="shared" si="4"/>
        <v>0.20273255405408211</v>
      </c>
      <c r="X14" s="161">
        <f t="shared" si="10"/>
        <v>0.13642782693672306</v>
      </c>
      <c r="Y14" s="161">
        <f t="shared" si="5"/>
        <v>0.12908973051426126</v>
      </c>
      <c r="Z14" s="161">
        <f t="shared" si="11"/>
        <v>6.365802197298176E-2</v>
      </c>
      <c r="AA14" s="161">
        <f t="shared" si="12"/>
        <v>0.34180708613518246</v>
      </c>
      <c r="AB14" s="161">
        <f t="shared" si="6"/>
        <v>0.13907453208110035</v>
      </c>
      <c r="AC14" s="166">
        <f t="shared" si="7"/>
        <v>40.266178977574405</v>
      </c>
      <c r="AD14" s="78"/>
      <c r="AE14" s="166">
        <f t="shared" si="8"/>
        <v>198.61723325812176</v>
      </c>
      <c r="AF14" s="200" t="str">
        <f t="shared" si="9"/>
        <v>0.2, (0.06, 0.33)</v>
      </c>
      <c r="AG14" s="158">
        <f t="shared" si="2"/>
        <v>198.61723325812176</v>
      </c>
      <c r="AH14" s="2">
        <f t="shared" si="0"/>
        <v>0.76923076923076927</v>
      </c>
      <c r="AI14" s="166">
        <f t="shared" si="1"/>
        <v>0.20951304303478976</v>
      </c>
      <c r="AJ14" s="196">
        <f t="shared" si="3"/>
        <v>13</v>
      </c>
      <c r="AK14" s="154"/>
    </row>
    <row r="15" spans="1:73" x14ac:dyDescent="0.25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0.16</v>
      </c>
      <c r="H15" s="13">
        <v>0.12</v>
      </c>
      <c r="I15" s="14" t="s">
        <v>47</v>
      </c>
      <c r="J15" s="12"/>
      <c r="K15" s="13"/>
      <c r="L15" s="14"/>
      <c r="M15" s="12"/>
      <c r="N15" s="16"/>
      <c r="O15" s="14"/>
      <c r="Q15" s="122" t="str">
        <f>CONCATENATE(B15,"_",E15,"_",D15,"_",C15)</f>
        <v>SATSA_Men_MMSE_FEV1</v>
      </c>
      <c r="R15" s="122"/>
      <c r="S15" s="168">
        <f>G15</f>
        <v>0.16</v>
      </c>
      <c r="T15" s="169">
        <v>171</v>
      </c>
      <c r="U15" s="162">
        <f>W15*H15/G15</f>
        <v>0.12104002209864413</v>
      </c>
      <c r="V15" s="76" t="str">
        <f>I15</f>
        <v>p=0.18</v>
      </c>
      <c r="W15" s="161">
        <f t="shared" si="4"/>
        <v>0.16138669613152551</v>
      </c>
      <c r="X15" s="161">
        <f t="shared" si="10"/>
        <v>0.2357066104951504</v>
      </c>
      <c r="Y15" s="161">
        <f t="shared" si="5"/>
        <v>0.21877196414384878</v>
      </c>
      <c r="Z15" s="161">
        <f t="shared" si="11"/>
        <v>-7.5851747181816975E-2</v>
      </c>
      <c r="AA15" s="161">
        <f t="shared" si="12"/>
        <v>0.39862513944486799</v>
      </c>
      <c r="AB15" s="161">
        <f t="shared" si="6"/>
        <v>0.23723844331334248</v>
      </c>
      <c r="AC15" s="166">
        <f t="shared" si="7"/>
        <v>11.01564020078173</v>
      </c>
      <c r="AD15" s="78"/>
      <c r="AE15" s="166">
        <f t="shared" si="8"/>
        <v>68.256185081106693</v>
      </c>
      <c r="AF15" s="200" t="str">
        <f t="shared" si="9"/>
        <v>0.16, (-0.08, 0.38)</v>
      </c>
      <c r="AG15" s="158">
        <f t="shared" si="2"/>
        <v>68.256185081106693</v>
      </c>
      <c r="AH15" s="2">
        <f t="shared" si="0"/>
        <v>1.3333333333333335</v>
      </c>
      <c r="AI15" s="166">
        <f t="shared" si="1"/>
        <v>0.10222592438335877</v>
      </c>
      <c r="AJ15" s="196">
        <f t="shared" si="3"/>
        <v>5</v>
      </c>
      <c r="AK15" s="154"/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x14ac:dyDescent="0.25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7">
        <v>-7.0000000000000007E-2</v>
      </c>
      <c r="H16" s="18">
        <v>0.18</v>
      </c>
      <c r="I16" s="14" t="s">
        <v>17</v>
      </c>
      <c r="J16" s="17"/>
      <c r="K16" s="18"/>
      <c r="L16" s="14"/>
      <c r="M16" s="19"/>
      <c r="N16" s="18"/>
      <c r="O16" s="14"/>
      <c r="Q16" s="122" t="str">
        <f>CONCATENATE(B16,"_",E16,"_",D16,"_",C16)</f>
        <v>SATSA_Women_MMSE_FEV1</v>
      </c>
      <c r="R16" s="122"/>
      <c r="S16" s="168">
        <f>G16</f>
        <v>-7.0000000000000007E-2</v>
      </c>
      <c r="T16" s="122">
        <v>170</v>
      </c>
      <c r="U16" s="162">
        <f>W16*H16/G16</f>
        <v>0.1802948673968362</v>
      </c>
      <c r="V16" s="76" t="str">
        <f>I16</f>
        <v>p=0.72</v>
      </c>
      <c r="W16" s="161">
        <f t="shared" si="4"/>
        <v>-7.0114670654325195E-2</v>
      </c>
      <c r="X16" s="161">
        <f t="shared" si="10"/>
        <v>0.32986868345929704</v>
      </c>
      <c r="Y16" s="161">
        <f t="shared" si="5"/>
        <v>0.34592261287788389</v>
      </c>
      <c r="Z16" s="161">
        <f t="shared" si="11"/>
        <v>-0.42349261075212413</v>
      </c>
      <c r="AA16" s="161">
        <f t="shared" si="12"/>
        <v>0.28326326944347374</v>
      </c>
      <c r="AB16" s="161">
        <f t="shared" si="6"/>
        <v>0.35337794009779894</v>
      </c>
      <c r="AC16" s="166">
        <f t="shared" si="7"/>
        <v>2.1569603977296201</v>
      </c>
      <c r="AD16" s="78"/>
      <c r="AE16" s="166">
        <f t="shared" si="8"/>
        <v>30.763324958962247</v>
      </c>
      <c r="AF16" s="200" t="str">
        <f>CONCATENATE(ROUND(S16,2),", (",ROUND(-(X16-S16),2),", ",ROUND(Y16+S16,2),")")</f>
        <v>-0.07, (-0.4, 0.28)</v>
      </c>
      <c r="AG16" s="158">
        <f t="shared" si="2"/>
        <v>30.763324958962247</v>
      </c>
      <c r="AH16" s="2">
        <f t="shared" si="0"/>
        <v>-0.38888888888888895</v>
      </c>
      <c r="AI16" s="166">
        <f t="shared" si="1"/>
        <v>1.4361929957168051</v>
      </c>
      <c r="AJ16" s="196">
        <f t="shared" si="3"/>
        <v>2</v>
      </c>
      <c r="AK16" s="154"/>
      <c r="AQ16" s="2" t="s">
        <v>217</v>
      </c>
      <c r="BB16" s="2" t="s">
        <v>217</v>
      </c>
      <c r="BM16" s="2" t="s">
        <v>217</v>
      </c>
    </row>
    <row r="17" spans="1:75" x14ac:dyDescent="0.25">
      <c r="A17" s="10"/>
      <c r="B17" s="11"/>
      <c r="C17" s="11"/>
      <c r="D17" s="11"/>
      <c r="E17" s="11"/>
      <c r="F17" s="11"/>
      <c r="G17" s="17"/>
      <c r="H17" s="18"/>
      <c r="I17" s="14"/>
      <c r="J17" s="17"/>
      <c r="K17" s="18"/>
      <c r="L17" s="14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18"/>
      <c r="AI17" s="78"/>
      <c r="AJ17" s="155"/>
      <c r="AK17" s="154"/>
    </row>
    <row r="18" spans="1:75" x14ac:dyDescent="0.25">
      <c r="A18" s="10"/>
      <c r="B18" s="11"/>
      <c r="C18" s="11"/>
      <c r="D18" s="11"/>
      <c r="E18" s="11"/>
      <c r="F18" s="11"/>
      <c r="G18" s="17"/>
      <c r="H18" s="18"/>
      <c r="I18" s="14"/>
      <c r="J18" s="17"/>
      <c r="K18" s="18"/>
      <c r="L18" s="14"/>
      <c r="M18" s="19"/>
      <c r="N18" s="18"/>
      <c r="O18" s="14"/>
      <c r="Q18" s="2" t="s">
        <v>323</v>
      </c>
      <c r="S18" s="192">
        <f>(EXP(2*AD18)-1)/(EXP(2*AD18)+1)</f>
        <v>0.16129173126550619</v>
      </c>
      <c r="T18" s="2">
        <v>168</v>
      </c>
      <c r="U18" s="193">
        <f>1/SQRT(AD18*AE18)</f>
        <v>9.3728291658699142E-2</v>
      </c>
      <c r="V18" s="80">
        <f>1/SQRT(AE18)</f>
        <v>3.7807795558434519E-2</v>
      </c>
      <c r="W18" s="194">
        <f>0.5*LN((1+S18)/(1-S18))</f>
        <v>0.16271264652764222</v>
      </c>
      <c r="X18" s="194">
        <f>S18-(EXP(2*Z18)-1)/(EXP(2*Z18)+1)</f>
        <v>0.18228345222306475</v>
      </c>
      <c r="Y18" s="194">
        <f>(EXP(2*AA18)-1)/(EXP(2*AA18)+1)-S18</f>
        <v>0.17190515766449257</v>
      </c>
      <c r="Z18" s="194">
        <f>W18-AB18</f>
        <v>-2.0994805123408095E-2</v>
      </c>
      <c r="AA18" s="194">
        <f>W18+AB18</f>
        <v>0.34642009817869257</v>
      </c>
      <c r="AB18" s="194">
        <f>1.96*U18</f>
        <v>0.18370745165105032</v>
      </c>
      <c r="AC18" s="157">
        <f>SUM(AC10,AC4,AC12,AC14,AC15,AC8,AC6)</f>
        <v>113.83048785747118</v>
      </c>
      <c r="AD18" s="157">
        <f>AC18/AE18</f>
        <v>0.1627126465276422</v>
      </c>
      <c r="AE18" s="163">
        <f>SUM(AE10,AE4,AE12,AE14,AE15,AE8,AE6)</f>
        <v>699.57984389451417</v>
      </c>
      <c r="AF18" s="200" t="str">
        <f>CONCATENATE(ROUND(S18,2),", (",ROUND(-(X18-S18),2),", ",ROUND(Y18+S18,2),")")</f>
        <v>0.16, (-0.02, 0.33)</v>
      </c>
      <c r="AG18" s="78">
        <f>SUM(AG10,AG4,AG12,AG14,AG15,AG8,AG6)</f>
        <v>699.57984389451417</v>
      </c>
      <c r="AH18" s="18"/>
      <c r="AI18" s="157">
        <f>SUM(AI10,AI4,AI12,AI14,AI15,AI8,AI6)</f>
        <v>4.1130935595205038</v>
      </c>
      <c r="AJ18" s="156"/>
      <c r="AK18" s="198">
        <f>AK22-AK20</f>
        <v>7</v>
      </c>
      <c r="AL18" s="199">
        <f>CHIDIST(AI18,AK18-1)</f>
        <v>0.66137488797082233</v>
      </c>
      <c r="AM18" s="82">
        <f>IF((AI18-AK18+1)/AI18&lt;0,0,(AI18-AK18+1)/AI18)</f>
        <v>0</v>
      </c>
      <c r="AN18" s="74"/>
      <c r="AO18" s="77">
        <f>S18-Y18</f>
        <v>-1.0613426398986381E-2</v>
      </c>
      <c r="AP18">
        <f>S18+Z18</f>
        <v>0.1402969261420981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5">
      <c r="A19" s="10"/>
      <c r="B19" s="191" t="s">
        <v>472</v>
      </c>
      <c r="C19" s="180"/>
      <c r="D19" s="181"/>
      <c r="E19" s="181"/>
      <c r="F19" s="182"/>
      <c r="G19" s="182"/>
      <c r="I19" s="14"/>
      <c r="J19" s="17"/>
      <c r="K19" s="18"/>
      <c r="L19" s="14"/>
      <c r="M19" s="19"/>
      <c r="N19" s="18"/>
      <c r="O19" s="14"/>
      <c r="T19" s="74">
        <v>167</v>
      </c>
      <c r="U19" s="189"/>
      <c r="AC19" s="122"/>
      <c r="AD19" s="122"/>
      <c r="AE19" s="122"/>
      <c r="AH19" s="18"/>
      <c r="AJ19" s="154"/>
      <c r="AK19" s="154"/>
    </row>
    <row r="20" spans="1:75" x14ac:dyDescent="0.25">
      <c r="A20" s="10"/>
      <c r="B20" s="183"/>
      <c r="C20" s="127"/>
      <c r="D20" s="127"/>
      <c r="E20" s="127"/>
      <c r="F20" s="127"/>
      <c r="G20" s="184" t="s">
        <v>325</v>
      </c>
      <c r="H20" s="18"/>
      <c r="I20" s="14"/>
      <c r="J20" s="17"/>
      <c r="K20" s="18"/>
      <c r="L20" s="14"/>
      <c r="M20" s="19"/>
      <c r="N20" s="18"/>
      <c r="O20" s="14"/>
      <c r="Q20" s="2" t="s">
        <v>322</v>
      </c>
      <c r="S20" s="192">
        <f>(EXP(2*AD20)-1)/(EXP(2*AD20)+1)</f>
        <v>0.12561756844291744</v>
      </c>
      <c r="T20" s="2">
        <v>166</v>
      </c>
      <c r="U20" s="193">
        <f>1/SQRT(AD20*AE20)</f>
        <v>9.8534193543907411E-2</v>
      </c>
      <c r="V20" s="80">
        <f>1/SQRT(AE20)</f>
        <v>3.501565239466594E-2</v>
      </c>
      <c r="W20" s="194">
        <f>0.5*LN((1+S20)/(1-S20))</f>
        <v>0.1262846345425703</v>
      </c>
      <c r="X20" s="194">
        <f>S20-(EXP(2*Z20)-1)/(EXP(2*Z20)+1)</f>
        <v>0.19236058237259213</v>
      </c>
      <c r="Y20" s="194">
        <f>(EXP(2*AA20)-1)/(EXP(2*AA20)+1)-S20</f>
        <v>0.18335727017072884</v>
      </c>
      <c r="Z20" s="194">
        <f>W20-AB20</f>
        <v>-6.6842384803488225E-2</v>
      </c>
      <c r="AA20" s="194">
        <f>W20+AB20</f>
        <v>0.3194116538886288</v>
      </c>
      <c r="AB20" s="194">
        <f>1.96*U20</f>
        <v>0.19312701934605853</v>
      </c>
      <c r="AC20" s="157">
        <f>SUM(AC7,AC11,AC5,AC13,AC9,AC16)</f>
        <v>102.99735383041731</v>
      </c>
      <c r="AD20" s="157">
        <f>AC20/AE20</f>
        <v>0.12628463454257025</v>
      </c>
      <c r="AE20" s="157">
        <f>SUM(AE7,AE11,AE5,AE13,AE9,AE16)</f>
        <v>815.59687925214007</v>
      </c>
      <c r="AF20" s="200" t="str">
        <f>CONCATENATE(ROUND(S20,2),", (",ROUND(-(X20-S20),2),", ",ROUND(Y20+S20,2),")")</f>
        <v>0.13, (-0.07, 0.31)</v>
      </c>
      <c r="AG20" s="78">
        <f>SUM(AG7,AG11,AG5,AG13,AG9,AG16)</f>
        <v>815.59687925214007</v>
      </c>
      <c r="AH20" s="18"/>
      <c r="AI20" s="157">
        <f>SUM(AI7,AI11,AI5,AI13,AI9,AI16)</f>
        <v>2.8925714722944704</v>
      </c>
      <c r="AJ20" s="156"/>
      <c r="AK20" s="198">
        <f>COUNT(AI7,AI11,AI5,AI13,AI9,AI16)</f>
        <v>6</v>
      </c>
      <c r="AL20" s="199">
        <f>CHIDIST(AI20,AK20-1)</f>
        <v>0.71654379625255848</v>
      </c>
      <c r="AM20" s="82">
        <f>IF((AI20-AK20+1)/AI20&lt;0,0,(AI20-AK20+1)/AI20)</f>
        <v>0</v>
      </c>
      <c r="AN20" s="74"/>
      <c r="AO20" s="77">
        <f>S20-Y20</f>
        <v>-5.7739701727811399E-2</v>
      </c>
      <c r="AP20">
        <f>S20+Z20</f>
        <v>5.8775183639429213E-2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ht="18.75" x14ac:dyDescent="0.3">
      <c r="A21" s="10"/>
      <c r="B21" s="185">
        <v>1</v>
      </c>
      <c r="C21" s="201" t="s">
        <v>473</v>
      </c>
      <c r="D21" s="202" t="s">
        <v>474</v>
      </c>
      <c r="E21" s="206">
        <v>3</v>
      </c>
      <c r="F21" s="207">
        <v>4</v>
      </c>
      <c r="G21" s="205"/>
      <c r="H21" s="18"/>
      <c r="I21" s="14"/>
      <c r="J21" s="17"/>
      <c r="K21" s="18"/>
      <c r="L21" s="14"/>
      <c r="M21" s="19"/>
      <c r="N21" s="18"/>
      <c r="O21" s="14"/>
      <c r="T21" s="74">
        <v>165</v>
      </c>
      <c r="U21" s="190"/>
      <c r="V21" s="76"/>
      <c r="W21" s="74"/>
      <c r="X21" s="74"/>
      <c r="Y21" s="74"/>
      <c r="Z21" s="74"/>
      <c r="AA21" s="74"/>
      <c r="AB21" s="74"/>
      <c r="AC21" s="122"/>
      <c r="AD21" s="122"/>
      <c r="AE21" s="122"/>
      <c r="AF21" s="79"/>
      <c r="AG21" s="78"/>
      <c r="AH21" s="18"/>
      <c r="AI21" s="78"/>
      <c r="AJ21" s="155"/>
      <c r="AK21" s="154"/>
      <c r="AR21" s="2" t="s">
        <v>218</v>
      </c>
      <c r="BC21" s="2" t="s">
        <v>218</v>
      </c>
      <c r="BN21" s="2" t="s">
        <v>218</v>
      </c>
    </row>
    <row r="22" spans="1:75" x14ac:dyDescent="0.25">
      <c r="A22" s="10"/>
      <c r="B22" s="186"/>
      <c r="C22" s="187"/>
      <c r="D22" s="187"/>
      <c r="E22" s="187"/>
      <c r="F22" s="187"/>
      <c r="G22" s="188"/>
      <c r="H22" s="18"/>
      <c r="I22" s="14"/>
      <c r="J22" s="17"/>
      <c r="K22" s="18"/>
      <c r="L22" s="14"/>
      <c r="M22" s="19"/>
      <c r="N22" s="18"/>
      <c r="O22" s="14"/>
      <c r="Q22" s="2" t="s">
        <v>324</v>
      </c>
      <c r="S22" s="203">
        <f>(EXP(2*AD22)-1)/(EXP(2*AD22)+1)</f>
        <v>0.14213506705143356</v>
      </c>
      <c r="T22" s="2">
        <v>164</v>
      </c>
      <c r="U22" s="204">
        <f>1/SQRT(AD22*AE22)</f>
        <v>6.791136763027579E-2</v>
      </c>
      <c r="V22" s="80">
        <f>1/SQRT(AE22)</f>
        <v>2.5690251450307015E-2</v>
      </c>
      <c r="W22" s="194">
        <f>0.5*LN((1+S22)/(1-S22))</f>
        <v>0.14310399465323734</v>
      </c>
      <c r="X22" s="194">
        <f>S22-(EXP(2*Z22)-1)/(EXP(2*Z22)+1)</f>
        <v>0.13213768604501458</v>
      </c>
      <c r="Y22" s="194">
        <f>(EXP(2*AA22)-1)/(EXP(2*AA22)+1)-S22</f>
        <v>0.12725892226185734</v>
      </c>
      <c r="Z22" s="194">
        <f>W22-AB22</f>
        <v>9.9977140978967927E-3</v>
      </c>
      <c r="AA22" s="194">
        <f>W22+AB22</f>
        <v>0.27621027520857788</v>
      </c>
      <c r="AB22" s="194">
        <f>1.96*U22</f>
        <v>0.13310628055534054</v>
      </c>
      <c r="AC22" s="160">
        <f>SUM(AC4:AC16)</f>
        <v>216.82784168788848</v>
      </c>
      <c r="AD22" s="160">
        <f>AC22/AE22</f>
        <v>0.14310399465323734</v>
      </c>
      <c r="AE22" s="160">
        <f>SUM(AE4:AE16)</f>
        <v>1515.1767231466542</v>
      </c>
      <c r="AF22" s="200" t="str">
        <f>CONCATENATE(ROUND(S22,2),", (",ROUND(-(X22-S22),2),", ",ROUND(Y22+S22,2),")")</f>
        <v>0.14, (0.01, 0.27)</v>
      </c>
      <c r="AG22" s="78">
        <f>SUM(AG4:AG16)</f>
        <v>1515.1767231466542</v>
      </c>
      <c r="AH22" s="18"/>
      <c r="AI22" s="160">
        <f>SUM(AI4:AI16)</f>
        <v>7.0056650318149734</v>
      </c>
      <c r="AJ22" s="156"/>
      <c r="AK22" s="164">
        <f>COUNT(AI4:AI16)</f>
        <v>13</v>
      </c>
      <c r="AL22" s="165">
        <f>CHIDIST(AI22,AK22-1)</f>
        <v>0.85723895631657931</v>
      </c>
      <c r="AM22" s="82">
        <f>IF((AI22-AK22+1)/AI22&lt;0,0,(AI22-AK22+1)/AI22)</f>
        <v>0</v>
      </c>
      <c r="AN22" s="74"/>
      <c r="AO22" s="77">
        <f>S22-Y22</f>
        <v>1.4876144789576218E-2</v>
      </c>
      <c r="AP22">
        <f>S22+Z22</f>
        <v>0.15213278114933035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s="134" customFormat="1" x14ac:dyDescent="0.25">
      <c r="A23" s="128" t="s">
        <v>50</v>
      </c>
      <c r="B23" s="129"/>
      <c r="C23" s="129"/>
      <c r="D23" s="129"/>
      <c r="E23" s="129"/>
      <c r="F23" s="129"/>
      <c r="G23" s="130"/>
      <c r="H23" s="131"/>
      <c r="I23" s="132"/>
      <c r="J23" s="130"/>
      <c r="K23" s="131"/>
      <c r="L23" s="132"/>
      <c r="M23" s="133"/>
      <c r="N23" s="131"/>
      <c r="O23" s="132"/>
      <c r="S23" s="135"/>
      <c r="T23" s="136">
        <v>163</v>
      </c>
      <c r="U23" s="135"/>
      <c r="AH23" s="131"/>
      <c r="AQ23" s="134" t="s">
        <v>227</v>
      </c>
      <c r="BB23" s="134" t="s">
        <v>227</v>
      </c>
      <c r="BM23" s="134" t="s">
        <v>227</v>
      </c>
    </row>
    <row r="24" spans="1:75" s="134" customFormat="1" x14ac:dyDescent="0.25">
      <c r="A24" s="128"/>
      <c r="B24" s="129"/>
      <c r="C24" s="129"/>
      <c r="D24" s="129"/>
      <c r="E24" s="129"/>
      <c r="F24" s="129"/>
      <c r="G24" s="130"/>
      <c r="H24" s="131"/>
      <c r="I24" s="132"/>
      <c r="J24" s="130"/>
      <c r="K24" s="131"/>
      <c r="L24" s="132"/>
      <c r="M24" s="133"/>
      <c r="N24" s="131"/>
      <c r="O24" s="132"/>
      <c r="Q24" s="137" t="s">
        <v>50</v>
      </c>
      <c r="S24" s="135"/>
      <c r="T24" s="134">
        <v>162</v>
      </c>
      <c r="U24" s="135"/>
      <c r="AH24" s="131"/>
    </row>
    <row r="25" spans="1:75" s="134" customFormat="1" x14ac:dyDescent="0.25">
      <c r="A25" s="128"/>
      <c r="B25" s="129" t="s">
        <v>51</v>
      </c>
      <c r="C25" s="129" t="s">
        <v>12</v>
      </c>
      <c r="D25" s="129" t="s">
        <v>52</v>
      </c>
      <c r="E25" s="129" t="s">
        <v>14</v>
      </c>
      <c r="F25" s="129">
        <v>800</v>
      </c>
      <c r="G25" s="138">
        <v>0.16</v>
      </c>
      <c r="H25" s="139">
        <v>0.04</v>
      </c>
      <c r="I25" s="132" t="s">
        <v>27</v>
      </c>
      <c r="J25" s="138"/>
      <c r="K25" s="139"/>
      <c r="L25" s="132"/>
      <c r="M25" s="138"/>
      <c r="N25" s="140"/>
      <c r="O25" s="132"/>
      <c r="Q25" s="134" t="str">
        <f>CONCATENATE(B31,"_",E31,"_",D31,"_",C31)</f>
        <v>EAS_Men_Symbol_PEF</v>
      </c>
      <c r="S25" s="135">
        <f>G31</f>
        <v>0.4</v>
      </c>
      <c r="T25" s="136">
        <v>161</v>
      </c>
      <c r="U25" s="141">
        <f>W25*H31/G31</f>
        <v>0.10591223254840046</v>
      </c>
      <c r="V25" s="142" t="str">
        <f>I31</f>
        <v>p&lt;0.01 ***</v>
      </c>
      <c r="W25" s="136">
        <f>0.5*LN((1+S25)/(1-S25))</f>
        <v>0.42364893019360184</v>
      </c>
      <c r="X25" s="136">
        <f>S25-(EXP(2*Z25)-1)/(EXP(2*Z25)+1)</f>
        <v>0.18723950667087377</v>
      </c>
      <c r="Y25" s="136">
        <f>(EXP(2*AA25)-1)/(EXP(2*AA25)+1)-S25</f>
        <v>0.15890333354568242</v>
      </c>
      <c r="Z25" s="136">
        <f>W25-AB25</f>
        <v>0.21606095439873693</v>
      </c>
      <c r="AA25" s="136">
        <f>W25+AB25</f>
        <v>0.63123690598846671</v>
      </c>
      <c r="AB25" s="136">
        <f>1.96*U25</f>
        <v>0.2075879757948649</v>
      </c>
      <c r="AC25" s="143">
        <f>IF(W25&lt;&gt;"",ABS(W25/U25^2),"")</f>
        <v>37.767120036602513</v>
      </c>
      <c r="AD25" s="143"/>
      <c r="AE25" s="143">
        <f>U25^-2</f>
        <v>89.147209741196448</v>
      </c>
      <c r="AF25" s="144" t="str">
        <f>CONCATENATE(ROUND(S25,2),", (",ROUND(-(X25-S25),2),", ",ROUND(Y25+S25,2),")")</f>
        <v>0.4, (0.21, 0.56)</v>
      </c>
      <c r="AG25" s="143">
        <f t="shared" ref="AG25:AG38" si="13">1.96/AB25</f>
        <v>9.4417800091506283</v>
      </c>
      <c r="AH25" s="134">
        <f t="shared" ref="AH25:AH38" si="14">G25/H25</f>
        <v>4</v>
      </c>
      <c r="AI25" s="143">
        <f>(Z25/1.96)^2*AE25</f>
        <v>1.083298625572678</v>
      </c>
      <c r="AJ25" s="145">
        <f t="shared" ref="AJ25:AJ38" si="15">ROUND(AG25/AG$44*100,0)</f>
        <v>4</v>
      </c>
      <c r="AR25" s="134" t="s">
        <v>228</v>
      </c>
      <c r="BC25" s="134" t="s">
        <v>228</v>
      </c>
      <c r="BN25" s="134" t="s">
        <v>228</v>
      </c>
    </row>
    <row r="26" spans="1:75" s="134" customFormat="1" x14ac:dyDescent="0.25">
      <c r="A26" s="128"/>
      <c r="B26" s="129" t="s">
        <v>51</v>
      </c>
      <c r="C26" s="129" t="s">
        <v>12</v>
      </c>
      <c r="D26" s="129" t="s">
        <v>52</v>
      </c>
      <c r="E26" s="129" t="s">
        <v>18</v>
      </c>
      <c r="F26" s="129">
        <v>782</v>
      </c>
      <c r="G26" s="130">
        <v>0.22</v>
      </c>
      <c r="H26" s="131">
        <v>0.04</v>
      </c>
      <c r="I26" s="132" t="s">
        <v>27</v>
      </c>
      <c r="J26" s="130"/>
      <c r="K26" s="131"/>
      <c r="L26" s="132"/>
      <c r="M26" s="133"/>
      <c r="N26" s="131"/>
      <c r="O26" s="132"/>
      <c r="Q26" s="134" t="str">
        <f>CONCATENATE(B32,"_",E32,"_",D32,"_",C32)</f>
        <v>EAS_Women_Symbol_PEF</v>
      </c>
      <c r="S26" s="135">
        <f>G32</f>
        <v>0.26</v>
      </c>
      <c r="T26" s="134">
        <v>160</v>
      </c>
      <c r="U26" s="141">
        <f>W26*H32/G32</f>
        <v>8.1879509807278192E-2</v>
      </c>
      <c r="V26" s="142" t="str">
        <f>I32</f>
        <v>p&lt;0.01 ***</v>
      </c>
      <c r="W26" s="136">
        <f>0.5*LN((1+S26)/(1-S26))</f>
        <v>0.26610840687365411</v>
      </c>
      <c r="X26" s="136">
        <f>S26-(EXP(2*Z26)-1)/(EXP(2*Z26)+1)</f>
        <v>0.15476648920172198</v>
      </c>
      <c r="Y26" s="136">
        <f>(EXP(2*AA26)-1)/(EXP(2*AA26)+1)-S26</f>
        <v>0.1424694708537193</v>
      </c>
      <c r="Z26" s="136">
        <f>W26-AB26</f>
        <v>0.10562456765138886</v>
      </c>
      <c r="AA26" s="136">
        <f>W26+AB26</f>
        <v>0.42659224609591939</v>
      </c>
      <c r="AB26" s="136">
        <f>1.96*U26</f>
        <v>0.16048383922226525</v>
      </c>
      <c r="AC26" s="143">
        <f>IF(W26&lt;&gt;"",ABS(W26/U26^2),"")</f>
        <v>39.692470163165417</v>
      </c>
      <c r="AD26" s="143"/>
      <c r="AE26" s="143">
        <f>U26^-2</f>
        <v>149.15902368319783</v>
      </c>
      <c r="AF26" s="144" t="str">
        <f>CONCATENATE(ROUND(S26,2),", (",ROUND(-(X26-S26),2),", ",ROUND(Y26+S26,2),")")</f>
        <v>0.26, (0.11, 0.4)</v>
      </c>
      <c r="AG26" s="143">
        <f t="shared" si="13"/>
        <v>12.213067742512438</v>
      </c>
      <c r="AH26" s="134">
        <f t="shared" si="14"/>
        <v>5.5</v>
      </c>
      <c r="AI26" s="143">
        <f>(Z26/1.96)^2*AE26</f>
        <v>0.43317888379841735</v>
      </c>
      <c r="AJ26" s="145">
        <f t="shared" si="15"/>
        <v>6</v>
      </c>
      <c r="AR26" s="134">
        <v>2</v>
      </c>
      <c r="AS26" s="134">
        <v>0.101711</v>
      </c>
      <c r="AT26" s="134">
        <v>6.9476700000000002E-2</v>
      </c>
      <c r="AU26" s="134">
        <v>1.46</v>
      </c>
      <c r="AV26" s="134">
        <v>0.14299999999999999</v>
      </c>
      <c r="AW26" s="134">
        <v>-3.4460900000000003E-2</v>
      </c>
      <c r="AX26" s="134">
        <v>0.23788300000000001</v>
      </c>
      <c r="BC26" s="134">
        <v>2</v>
      </c>
      <c r="BD26" s="134">
        <v>2.5686199999999999E-2</v>
      </c>
      <c r="BE26" s="134">
        <v>2.2678199999999999E-2</v>
      </c>
      <c r="BF26" s="134">
        <v>1.1299999999999999</v>
      </c>
      <c r="BG26" s="134">
        <v>0.25700000000000001</v>
      </c>
      <c r="BH26" s="134">
        <v>-1.87622E-2</v>
      </c>
      <c r="BI26" s="134">
        <v>7.0134600000000005E-2</v>
      </c>
      <c r="BN26" s="134">
        <v>2</v>
      </c>
      <c r="BO26" s="134">
        <v>0.2027419</v>
      </c>
      <c r="BP26" s="134">
        <v>0.1070284</v>
      </c>
      <c r="BQ26" s="134">
        <v>1.89</v>
      </c>
      <c r="BR26" s="134">
        <v>5.8000000000000003E-2</v>
      </c>
      <c r="BS26" s="134">
        <v>-7.0299000000000004E-3</v>
      </c>
      <c r="BT26" s="134">
        <v>0.41251379999999999</v>
      </c>
    </row>
    <row r="27" spans="1:75" s="134" customFormat="1" ht="25.5" x14ac:dyDescent="0.25">
      <c r="A27" s="128"/>
      <c r="B27" s="129" t="s">
        <v>21</v>
      </c>
      <c r="C27" s="129" t="s">
        <v>471</v>
      </c>
      <c r="D27" s="129" t="s">
        <v>54</v>
      </c>
      <c r="E27" s="129" t="s">
        <v>14</v>
      </c>
      <c r="F27" s="129">
        <v>321</v>
      </c>
      <c r="G27" s="138">
        <v>0.02</v>
      </c>
      <c r="H27" s="139">
        <v>7.0000000000000007E-2</v>
      </c>
      <c r="I27" s="132" t="s">
        <v>55</v>
      </c>
      <c r="J27" s="138"/>
      <c r="K27" s="139"/>
      <c r="L27" s="132"/>
      <c r="M27" s="138"/>
      <c r="N27" s="140"/>
      <c r="O27" s="132"/>
      <c r="Q27" s="134" t="str">
        <f>CONCATENATE(B25,"_",E25,"_",D25,"_",C25)</f>
        <v>LASA_Men_Coding_PEF</v>
      </c>
      <c r="S27" s="135">
        <f>G25</f>
        <v>0.16</v>
      </c>
      <c r="T27" s="136">
        <v>159</v>
      </c>
      <c r="U27" s="141">
        <f>W27/G25*H25</f>
        <v>4.0346674032881377E-2</v>
      </c>
      <c r="V27" s="142" t="str">
        <f>I25</f>
        <v>p&lt;0.01 ***</v>
      </c>
      <c r="W27" s="136">
        <f t="shared" ref="W27:W38" si="16">0.5*LN((1+S27)/(1-S27))</f>
        <v>0.16138669613152551</v>
      </c>
      <c r="X27" s="136">
        <f t="shared" ref="X27:X38" si="17">S27-(EXP(2*Z27)-1)/(EXP(2*Z27)+1)</f>
        <v>7.7878145496918696E-2</v>
      </c>
      <c r="Y27" s="136">
        <f t="shared" ref="Y27:Y38" si="18">(EXP(2*AA27)-1)/(EXP(2*AA27)+1)-S27</f>
        <v>7.5936025035130916E-2</v>
      </c>
      <c r="Z27" s="136">
        <f t="shared" ref="Z27:Z38" si="19">W27-AB27</f>
        <v>8.230721502707801E-2</v>
      </c>
      <c r="AA27" s="136">
        <f t="shared" ref="AA27:AA38" si="20">W27+AB27</f>
        <v>0.24046617723597302</v>
      </c>
      <c r="AB27" s="136">
        <f t="shared" ref="AB27:AB38" si="21">1.96*U27</f>
        <v>7.9079481104447499E-2</v>
      </c>
      <c r="AC27" s="143">
        <f t="shared" ref="AC27:AC38" si="22">IF(W27&lt;&gt;"",ABS(W27/U27^2),"")</f>
        <v>99.140761807035574</v>
      </c>
      <c r="AD27" s="143"/>
      <c r="AE27" s="143">
        <f t="shared" ref="AE27:AE38" si="23">U27^-2</f>
        <v>614.30566572996031</v>
      </c>
      <c r="AF27" s="144" t="str">
        <f t="shared" ref="AF27:AF38" si="24">CONCATENATE(ROUND(S27,2),", (",ROUND(-(X27-S27),2),", ",ROUND(Y27+S27,2),")")</f>
        <v>0.16, (0.08, 0.24)</v>
      </c>
      <c r="AG27" s="143">
        <f t="shared" si="13"/>
        <v>24.785190451758893</v>
      </c>
      <c r="AH27" s="134">
        <f t="shared" si="14"/>
        <v>0.2857142857142857</v>
      </c>
      <c r="AI27" s="143">
        <f>(Z27/1.96)^2*AE27</f>
        <v>1.0832986255726784</v>
      </c>
      <c r="AJ27" s="145">
        <f t="shared" si="15"/>
        <v>12</v>
      </c>
      <c r="AR27" s="134">
        <v>3</v>
      </c>
      <c r="AS27" s="134">
        <v>0.13636889999999999</v>
      </c>
      <c r="AT27" s="134">
        <v>0.1099017</v>
      </c>
      <c r="AU27" s="134">
        <v>1.24</v>
      </c>
      <c r="AV27" s="134">
        <v>0.215</v>
      </c>
      <c r="AW27" s="134">
        <v>-7.9034499999999994E-2</v>
      </c>
      <c r="AX27" s="134">
        <v>0.35177229999999998</v>
      </c>
      <c r="BC27" s="134">
        <v>3</v>
      </c>
      <c r="BD27" s="134">
        <v>7.0607400000000001E-2</v>
      </c>
      <c r="BE27" s="134">
        <v>3.60281E-2</v>
      </c>
      <c r="BF27" s="134">
        <v>1.96</v>
      </c>
      <c r="BG27" s="134">
        <v>0.05</v>
      </c>
      <c r="BH27" s="146">
        <v>-6.46E-6</v>
      </c>
      <c r="BI27" s="134">
        <v>0.14122119999999999</v>
      </c>
      <c r="BN27" s="134">
        <v>3</v>
      </c>
      <c r="BO27" s="134">
        <v>4.4604600000000001E-2</v>
      </c>
      <c r="BP27" s="134">
        <v>0.29407450000000002</v>
      </c>
      <c r="BQ27" s="134">
        <v>0.15</v>
      </c>
      <c r="BR27" s="134">
        <v>0.879</v>
      </c>
      <c r="BS27" s="134">
        <v>-0.53177079999999999</v>
      </c>
      <c r="BT27" s="134">
        <v>0.62097999999999998</v>
      </c>
    </row>
    <row r="28" spans="1:75" s="134" customFormat="1" ht="25.5" x14ac:dyDescent="0.25">
      <c r="A28" s="128"/>
      <c r="B28" s="129" t="s">
        <v>21</v>
      </c>
      <c r="C28" s="129" t="s">
        <v>471</v>
      </c>
      <c r="D28" s="129" t="s">
        <v>54</v>
      </c>
      <c r="E28" s="129" t="s">
        <v>18</v>
      </c>
      <c r="F28" s="129">
        <v>934</v>
      </c>
      <c r="G28" s="130">
        <v>0.17</v>
      </c>
      <c r="H28" s="131">
        <v>0.04</v>
      </c>
      <c r="I28" s="132" t="s">
        <v>27</v>
      </c>
      <c r="J28" s="130"/>
      <c r="K28" s="131"/>
      <c r="L28" s="132"/>
      <c r="M28" s="133"/>
      <c r="N28" s="131"/>
      <c r="O28" s="132"/>
      <c r="Q28" s="134" t="str">
        <f>CONCATENATE(B26,"_",E26,"_",D26,"_",C26)</f>
        <v>LASA_Women_Coding_PEF</v>
      </c>
      <c r="S28" s="135">
        <f>G26</f>
        <v>0.22</v>
      </c>
      <c r="T28" s="134">
        <v>158</v>
      </c>
      <c r="U28" s="141">
        <f>W28/G26*H26</f>
        <v>4.066474709487862E-2</v>
      </c>
      <c r="V28" s="142" t="str">
        <f>I26</f>
        <v>p&lt;0.01 ***</v>
      </c>
      <c r="W28" s="136">
        <f t="shared" si="16"/>
        <v>0.22365610902183242</v>
      </c>
      <c r="X28" s="136">
        <f t="shared" si="17"/>
        <v>7.7032979566880821E-2</v>
      </c>
      <c r="Y28" s="136">
        <f t="shared" si="18"/>
        <v>7.4383553167393063E-2</v>
      </c>
      <c r="Z28" s="136">
        <f t="shared" si="19"/>
        <v>0.14395320471587031</v>
      </c>
      <c r="AA28" s="136">
        <f t="shared" si="20"/>
        <v>0.30335901332779452</v>
      </c>
      <c r="AB28" s="136">
        <f t="shared" si="21"/>
        <v>7.9702904305962094E-2</v>
      </c>
      <c r="AC28" s="143">
        <f t="shared" si="22"/>
        <v>135.25228589685926</v>
      </c>
      <c r="AD28" s="143"/>
      <c r="AE28" s="143">
        <f t="shared" si="23"/>
        <v>604.73325091985964</v>
      </c>
      <c r="AF28" s="144" t="str">
        <f t="shared" si="24"/>
        <v>0.22, (0.14, 0.29)</v>
      </c>
      <c r="AG28" s="143">
        <f t="shared" si="13"/>
        <v>24.591324708519863</v>
      </c>
      <c r="AH28" s="134">
        <f t="shared" si="14"/>
        <v>4.25</v>
      </c>
      <c r="AI28" s="143">
        <f>(Z28/1.96)^2*AE28</f>
        <v>3.2620783007080387</v>
      </c>
      <c r="AJ28" s="145">
        <f t="shared" si="15"/>
        <v>12</v>
      </c>
      <c r="AR28" s="134">
        <v>4</v>
      </c>
      <c r="AS28" s="134">
        <v>0.1535774</v>
      </c>
      <c r="AT28" s="134">
        <v>6.5582600000000005E-2</v>
      </c>
      <c r="AU28" s="134">
        <v>2.34</v>
      </c>
      <c r="AV28" s="134">
        <v>1.9E-2</v>
      </c>
      <c r="AW28" s="134">
        <v>2.5037899999999998E-2</v>
      </c>
      <c r="AX28" s="134">
        <v>0.2821168</v>
      </c>
      <c r="BC28" s="134">
        <v>4</v>
      </c>
      <c r="BD28" s="134">
        <v>9.6504E-3</v>
      </c>
      <c r="BE28" s="134">
        <v>3.07511E-2</v>
      </c>
      <c r="BF28" s="134">
        <v>0.31</v>
      </c>
      <c r="BG28" s="134">
        <v>0.754</v>
      </c>
      <c r="BH28" s="134">
        <v>-5.0620600000000002E-2</v>
      </c>
      <c r="BI28" s="134">
        <v>6.9921399999999995E-2</v>
      </c>
      <c r="BN28" s="134">
        <v>4</v>
      </c>
      <c r="BO28" s="134">
        <v>0.24985089999999999</v>
      </c>
      <c r="BP28" s="134">
        <v>9.58257E-2</v>
      </c>
      <c r="BQ28" s="134">
        <v>2.61</v>
      </c>
      <c r="BR28" s="134">
        <v>8.9999999999999993E-3</v>
      </c>
      <c r="BS28" s="134">
        <v>6.2036000000000001E-2</v>
      </c>
      <c r="BT28" s="134">
        <v>0.4376659</v>
      </c>
    </row>
    <row r="29" spans="1:75" s="134" customFormat="1" ht="25.5" x14ac:dyDescent="0.25">
      <c r="A29" s="128"/>
      <c r="B29" s="129" t="s">
        <v>11</v>
      </c>
      <c r="C29" s="129" t="s">
        <v>12</v>
      </c>
      <c r="D29" s="129" t="s">
        <v>59</v>
      </c>
      <c r="E29" s="129" t="s">
        <v>14</v>
      </c>
      <c r="F29" s="129">
        <v>127</v>
      </c>
      <c r="G29" s="138">
        <v>0.36</v>
      </c>
      <c r="H29" s="139">
        <v>0.12</v>
      </c>
      <c r="I29" s="132" t="s">
        <v>45</v>
      </c>
      <c r="J29" s="138"/>
      <c r="K29" s="139"/>
      <c r="L29" s="132"/>
      <c r="M29" s="138"/>
      <c r="N29" s="140"/>
      <c r="O29" s="132"/>
      <c r="Q29" s="134" t="str">
        <f>CONCATENATE(B29,"_",E29,"_",D29,"_",C29)</f>
        <v>OCTO_Men_Percp_Speed_PEF</v>
      </c>
      <c r="S29" s="135">
        <f>G29</f>
        <v>0.36</v>
      </c>
      <c r="T29" s="136">
        <v>157</v>
      </c>
      <c r="U29" s="141">
        <f>W29/G29*H29</f>
        <v>0.12562863372939664</v>
      </c>
      <c r="V29" s="142" t="str">
        <f>I29</f>
        <v>p&lt;0.01 **</v>
      </c>
      <c r="W29" s="136">
        <f t="shared" si="16"/>
        <v>0.37688590118818999</v>
      </c>
      <c r="X29" s="136">
        <f t="shared" si="17"/>
        <v>0.23008461729783855</v>
      </c>
      <c r="Y29" s="136">
        <f t="shared" si="18"/>
        <v>0.19329524564541611</v>
      </c>
      <c r="Z29" s="136">
        <f t="shared" si="19"/>
        <v>0.13065377907857256</v>
      </c>
      <c r="AA29" s="136">
        <f t="shared" si="20"/>
        <v>0.62311802329780741</v>
      </c>
      <c r="AB29" s="136">
        <f t="shared" si="21"/>
        <v>0.24623212210961742</v>
      </c>
      <c r="AC29" s="143">
        <f t="shared" si="22"/>
        <v>23.879906283642175</v>
      </c>
      <c r="AD29" s="143"/>
      <c r="AE29" s="143">
        <f t="shared" si="23"/>
        <v>63.361102679503659</v>
      </c>
      <c r="AF29" s="144" t="str">
        <f t="shared" si="24"/>
        <v>0.36, (0.13, 0.55)</v>
      </c>
      <c r="AG29" s="143">
        <f t="shared" si="13"/>
        <v>7.9599687612140579</v>
      </c>
      <c r="AH29" s="134">
        <f t="shared" si="14"/>
        <v>3</v>
      </c>
      <c r="AI29" s="143">
        <f>(Z29/1.96)^2*AE29</f>
        <v>0.28154935443565204</v>
      </c>
      <c r="AJ29" s="145">
        <f t="shared" si="15"/>
        <v>4</v>
      </c>
      <c r="AR29" s="134">
        <v>5</v>
      </c>
      <c r="AS29" s="134">
        <v>0.17329220000000001</v>
      </c>
      <c r="AT29" s="134">
        <v>8.5663500000000004E-2</v>
      </c>
      <c r="AU29" s="134">
        <v>2.02</v>
      </c>
      <c r="AV29" s="134">
        <v>4.2999999999999997E-2</v>
      </c>
      <c r="AW29" s="134">
        <v>5.3949000000000002E-3</v>
      </c>
      <c r="AX29" s="134">
        <v>0.34118959999999998</v>
      </c>
      <c r="BC29" s="134">
        <v>5</v>
      </c>
      <c r="BD29" s="134">
        <v>-3.7793000000000002E-3</v>
      </c>
      <c r="BE29" s="134">
        <v>1.88609E-2</v>
      </c>
      <c r="BF29" s="134">
        <v>-0.2</v>
      </c>
      <c r="BG29" s="134">
        <v>0.84099999999999997</v>
      </c>
      <c r="BH29" s="134">
        <v>-4.0745900000000002E-2</v>
      </c>
      <c r="BI29" s="134">
        <v>3.3187300000000003E-2</v>
      </c>
      <c r="BN29" s="134">
        <v>5</v>
      </c>
      <c r="BO29" s="134">
        <v>-9.8622999999999992E-3</v>
      </c>
      <c r="BP29" s="134">
        <v>0.24437139999999999</v>
      </c>
      <c r="BQ29" s="134">
        <v>-0.04</v>
      </c>
      <c r="BR29" s="134">
        <v>0.96799999999999997</v>
      </c>
      <c r="BS29" s="134">
        <v>-0.48882140000000002</v>
      </c>
      <c r="BT29" s="134">
        <v>0.46909679999999998</v>
      </c>
    </row>
    <row r="30" spans="1:75" s="134" customFormat="1" ht="25.5" x14ac:dyDescent="0.25">
      <c r="A30" s="128"/>
      <c r="B30" s="129" t="s">
        <v>11</v>
      </c>
      <c r="C30" s="129" t="s">
        <v>12</v>
      </c>
      <c r="D30" s="129" t="s">
        <v>59</v>
      </c>
      <c r="E30" s="129" t="s">
        <v>18</v>
      </c>
      <c r="F30" s="129">
        <v>254</v>
      </c>
      <c r="G30" s="130">
        <v>0.13</v>
      </c>
      <c r="H30" s="131">
        <v>0.11</v>
      </c>
      <c r="I30" s="132" t="s">
        <v>62</v>
      </c>
      <c r="J30" s="130"/>
      <c r="K30" s="131"/>
      <c r="L30" s="132"/>
      <c r="M30" s="133"/>
      <c r="N30" s="131"/>
      <c r="O30" s="132"/>
      <c r="Q30" s="134" t="str">
        <f>CONCATENATE(B30,"_",E30,"_",D30,"_",C30)</f>
        <v>OCTO_Women_Percp_Speed_PEF</v>
      </c>
      <c r="S30" s="135">
        <f>G30</f>
        <v>0.13</v>
      </c>
      <c r="T30" s="134">
        <v>156</v>
      </c>
      <c r="U30" s="141">
        <f>W30/G30*H30</f>
        <v>0.11062602694751246</v>
      </c>
      <c r="V30" s="142" t="str">
        <f>I30</f>
        <v>p=0.25</v>
      </c>
      <c r="W30" s="136">
        <f t="shared" si="16"/>
        <v>0.13073985002887836</v>
      </c>
      <c r="X30" s="136">
        <f t="shared" si="17"/>
        <v>0.21587512734765563</v>
      </c>
      <c r="Y30" s="136">
        <f t="shared" si="18"/>
        <v>0.20421594976442631</v>
      </c>
      <c r="Z30" s="136">
        <f t="shared" si="19"/>
        <v>-8.6087162788246047E-2</v>
      </c>
      <c r="AA30" s="136">
        <f t="shared" si="20"/>
        <v>0.3475668628460028</v>
      </c>
      <c r="AB30" s="136">
        <f t="shared" si="21"/>
        <v>0.21682701281712441</v>
      </c>
      <c r="AC30" s="143">
        <f t="shared" si="22"/>
        <v>10.683003036698645</v>
      </c>
      <c r="AD30" s="143"/>
      <c r="AE30" s="143">
        <f t="shared" si="23"/>
        <v>81.711911359382313</v>
      </c>
      <c r="AF30" s="144" t="str">
        <f t="shared" si="24"/>
        <v>0.13, (-0.09, 0.33)</v>
      </c>
      <c r="AG30" s="143">
        <f t="shared" si="13"/>
        <v>9.0394641079757783</v>
      </c>
      <c r="AH30" s="134">
        <f t="shared" si="14"/>
        <v>1.1818181818181819</v>
      </c>
      <c r="AI30" s="143">
        <f t="shared" ref="AI30:AI38" si="25">(Z30/1.96)^2*AE30</f>
        <v>0.15763404366637865</v>
      </c>
      <c r="AJ30" s="145">
        <f t="shared" si="15"/>
        <v>4</v>
      </c>
      <c r="AR30" s="134">
        <v>6</v>
      </c>
      <c r="AS30" s="134">
        <v>4.3782799999999997E-2</v>
      </c>
      <c r="AT30" s="134">
        <v>4.6481000000000001E-2</v>
      </c>
      <c r="AU30" s="134">
        <v>0.94</v>
      </c>
      <c r="AV30" s="134">
        <v>0.34599999999999997</v>
      </c>
      <c r="AW30" s="134">
        <v>-4.7318300000000001E-2</v>
      </c>
      <c r="AX30" s="134">
        <v>0.134884</v>
      </c>
      <c r="BC30" s="134">
        <v>6</v>
      </c>
      <c r="BD30" s="134">
        <v>1.1845899999999999E-2</v>
      </c>
      <c r="BE30" s="134">
        <v>1.8583700000000002E-2</v>
      </c>
      <c r="BF30" s="134">
        <v>0.64</v>
      </c>
      <c r="BG30" s="134">
        <v>0.52400000000000002</v>
      </c>
      <c r="BH30" s="134">
        <v>-2.4577499999999999E-2</v>
      </c>
      <c r="BI30" s="134">
        <v>4.8269199999999998E-2</v>
      </c>
      <c r="BN30" s="134">
        <v>6</v>
      </c>
      <c r="BO30" s="134">
        <v>-3.5742299999999998E-2</v>
      </c>
      <c r="BP30" s="134">
        <v>4.8846000000000001E-2</v>
      </c>
      <c r="BQ30" s="134">
        <v>-0.73</v>
      </c>
      <c r="BR30" s="134">
        <v>0.46400000000000002</v>
      </c>
      <c r="BS30" s="134">
        <v>-0.1314786</v>
      </c>
      <c r="BT30" s="134">
        <v>5.9993999999999999E-2</v>
      </c>
    </row>
    <row r="31" spans="1:75" s="134" customFormat="1" x14ac:dyDescent="0.25">
      <c r="A31" s="128"/>
      <c r="B31" s="129" t="s">
        <v>30</v>
      </c>
      <c r="C31" s="129" t="s">
        <v>12</v>
      </c>
      <c r="D31" s="129" t="s">
        <v>64</v>
      </c>
      <c r="E31" s="129" t="s">
        <v>14</v>
      </c>
      <c r="F31" s="129">
        <v>324</v>
      </c>
      <c r="G31" s="138">
        <v>0.4</v>
      </c>
      <c r="H31" s="139">
        <v>0.1</v>
      </c>
      <c r="I31" s="132" t="s">
        <v>27</v>
      </c>
      <c r="J31" s="138"/>
      <c r="K31" s="139"/>
      <c r="L31" s="132"/>
      <c r="M31" s="138"/>
      <c r="N31" s="140"/>
      <c r="O31" s="132"/>
      <c r="Q31" s="134" t="str">
        <f>CONCATENATE(B35,"_",E35,"_",D35,"_",C35)</f>
        <v>OCTO_Men_Symbol_PEF</v>
      </c>
      <c r="S31" s="135">
        <f>G35</f>
        <v>0.31</v>
      </c>
      <c r="T31" s="136">
        <v>155</v>
      </c>
      <c r="U31" s="141">
        <f>W31/G35*H35</f>
        <v>0.11374191942972281</v>
      </c>
      <c r="V31" s="142" t="str">
        <f>I35</f>
        <v>p&lt;0.01 **</v>
      </c>
      <c r="W31" s="136">
        <f>0.5*LN((1+S31)/(1-S31))</f>
        <v>0.32054540930194614</v>
      </c>
      <c r="X31" s="136">
        <f>S31-(EXP(2*Z31)-1)/(EXP(2*Z31)+1)</f>
        <v>0.21269758768359021</v>
      </c>
      <c r="Y31" s="136">
        <f>(EXP(2*AA31)-1)/(EXP(2*AA31)+1)-S31</f>
        <v>0.18561735197371576</v>
      </c>
      <c r="Z31" s="136">
        <f>W31-AB31</f>
        <v>9.7611247219689445E-2</v>
      </c>
      <c r="AA31" s="136">
        <f>W31+AB31</f>
        <v>0.54347957138420289</v>
      </c>
      <c r="AB31" s="136">
        <f>1.96*U31</f>
        <v>0.22293416208225669</v>
      </c>
      <c r="AC31" s="143">
        <f>IF(W31&lt;&gt;"",ABS(W31/U31^2),"")</f>
        <v>24.776984882192668</v>
      </c>
      <c r="AD31" s="143"/>
      <c r="AE31" s="143">
        <f>U31^-2</f>
        <v>77.296333571426501</v>
      </c>
      <c r="AF31" s="144" t="str">
        <f>CONCATENATE(ROUND(S31,2),", (",ROUND(-(X31-S31),2),", ",ROUND(Y31+S31,2),")")</f>
        <v>0.31, (0.1, 0.5)</v>
      </c>
      <c r="AG31" s="143">
        <f t="shared" si="13"/>
        <v>8.7918333452941724</v>
      </c>
      <c r="AH31" s="134">
        <f t="shared" si="14"/>
        <v>4</v>
      </c>
      <c r="AI31" s="143">
        <f t="shared" si="25"/>
        <v>0.19171075412792898</v>
      </c>
      <c r="AJ31" s="145">
        <f t="shared" si="15"/>
        <v>4</v>
      </c>
    </row>
    <row r="32" spans="1:75" s="134" customFormat="1" x14ac:dyDescent="0.25">
      <c r="A32" s="128"/>
      <c r="B32" s="129" t="s">
        <v>30</v>
      </c>
      <c r="C32" s="129" t="s">
        <v>12</v>
      </c>
      <c r="D32" s="129" t="s">
        <v>64</v>
      </c>
      <c r="E32" s="129" t="s">
        <v>18</v>
      </c>
      <c r="F32" s="129">
        <v>545</v>
      </c>
      <c r="G32" s="130">
        <v>0.26</v>
      </c>
      <c r="H32" s="131">
        <v>0.08</v>
      </c>
      <c r="I32" s="132" t="s">
        <v>27</v>
      </c>
      <c r="J32" s="130"/>
      <c r="K32" s="131"/>
      <c r="L32" s="132"/>
      <c r="M32" s="133"/>
      <c r="N32" s="131"/>
      <c r="O32" s="132"/>
      <c r="Q32" s="134" t="str">
        <f>CONCATENATE(B36,"_",E36,"_",D36,"_",C36)</f>
        <v>OCTO_Women_Symbol_PEF</v>
      </c>
      <c r="S32" s="135">
        <f>G36</f>
        <v>0.38</v>
      </c>
      <c r="T32" s="134">
        <v>154</v>
      </c>
      <c r="U32" s="141">
        <f>W32/G36*H36</f>
        <v>8.4223084222327688E-2</v>
      </c>
      <c r="V32" s="142" t="str">
        <f>I36</f>
        <v>p&lt;.001 ***</v>
      </c>
      <c r="W32" s="136">
        <f>0.5*LN((1+S32)/(1-S32))</f>
        <v>0.40005965005605654</v>
      </c>
      <c r="X32" s="136">
        <f>S32-(EXP(2*Z32)-1)/(EXP(2*Z32)+1)</f>
        <v>0.14924914530604513</v>
      </c>
      <c r="Y32" s="136">
        <f>(EXP(2*AA32)-1)/(EXP(2*AA32)+1)-S32</f>
        <v>0.13177884515762628</v>
      </c>
      <c r="Z32" s="136">
        <f>W32-AB32</f>
        <v>0.23498240498029427</v>
      </c>
      <c r="AA32" s="136">
        <f>W32+AB32</f>
        <v>0.56513689513181875</v>
      </c>
      <c r="AB32" s="136">
        <f>1.96*U32</f>
        <v>0.16507724507576227</v>
      </c>
      <c r="AC32" s="143">
        <f>IF(W32&lt;&gt;"",ABS(W32/U32^2),"")</f>
        <v>56.397839664256409</v>
      </c>
      <c r="AD32" s="143"/>
      <c r="AE32" s="143">
        <f>U32^-2</f>
        <v>140.97357645629575</v>
      </c>
      <c r="AF32" s="144" t="str">
        <f>CONCATENATE(ROUND(S32,2),", (",ROUND(-(X32-S32),2),", ",ROUND(Y32+S32,2),")")</f>
        <v>0.38, (0.23, 0.51)</v>
      </c>
      <c r="AG32" s="143">
        <f t="shared" si="13"/>
        <v>11.873229403001348</v>
      </c>
      <c r="AH32" s="134">
        <f t="shared" si="14"/>
        <v>3.25</v>
      </c>
      <c r="AI32" s="143">
        <f t="shared" si="25"/>
        <v>2.0262650978758856</v>
      </c>
      <c r="AJ32" s="145">
        <f t="shared" si="15"/>
        <v>6</v>
      </c>
      <c r="AR32" s="134" t="s">
        <v>229</v>
      </c>
      <c r="AS32" s="134">
        <v>6.9566799999999998E-2</v>
      </c>
      <c r="AT32" s="134">
        <v>5.4420299999999998E-2</v>
      </c>
      <c r="AU32" s="134">
        <v>1.28</v>
      </c>
      <c r="AV32" s="134">
        <v>0.20100000000000001</v>
      </c>
      <c r="AW32" s="134">
        <v>-3.7095000000000003E-2</v>
      </c>
      <c r="AX32" s="134">
        <v>0.17622860000000001</v>
      </c>
      <c r="BC32" s="134" t="s">
        <v>240</v>
      </c>
      <c r="BN32" s="134" t="s">
        <v>240</v>
      </c>
    </row>
    <row r="33" spans="1:73" s="134" customFormat="1" x14ac:dyDescent="0.25">
      <c r="A33" s="128"/>
      <c r="B33" s="129" t="s">
        <v>21</v>
      </c>
      <c r="C33" s="129" t="s">
        <v>471</v>
      </c>
      <c r="D33" s="129" t="s">
        <v>64</v>
      </c>
      <c r="E33" s="129" t="s">
        <v>14</v>
      </c>
      <c r="F33" s="129">
        <v>321</v>
      </c>
      <c r="G33" s="138">
        <v>0.16</v>
      </c>
      <c r="H33" s="139">
        <v>7.0000000000000007E-2</v>
      </c>
      <c r="I33" s="132" t="s">
        <v>66</v>
      </c>
      <c r="J33" s="138"/>
      <c r="K33" s="139"/>
      <c r="L33" s="132"/>
      <c r="M33" s="138"/>
      <c r="N33" s="140"/>
      <c r="O33" s="132"/>
      <c r="Q33" s="134" t="str">
        <f>CONCATENATE(B27,"_",E27,"_",D27,"_",C27)</f>
        <v>MAP_Men_Num_Comp_FEV1</v>
      </c>
      <c r="S33" s="135">
        <f>G27</f>
        <v>0.02</v>
      </c>
      <c r="T33" s="136">
        <v>153</v>
      </c>
      <c r="U33" s="141">
        <f>W33/G27*H27</f>
        <v>7.0009335573973625E-2</v>
      </c>
      <c r="V33" s="142" t="str">
        <f>I27</f>
        <v>p=0.77</v>
      </c>
      <c r="W33" s="136">
        <f>0.5*LN((1+S33)/(1-S33))</f>
        <v>2.0002667306849603E-2</v>
      </c>
      <c r="X33" s="136">
        <f>S33-(EXP(2*Z33)-1)/(EXP(2*Z33)+1)</f>
        <v>0.13668173619478999</v>
      </c>
      <c r="Y33" s="136">
        <f>(EXP(2*AA33)-1)/(EXP(2*AA33)+1)-S33</f>
        <v>0.13593822787143228</v>
      </c>
      <c r="Z33" s="136">
        <f>W33-AB33</f>
        <v>-0.11721563041813871</v>
      </c>
      <c r="AA33" s="136">
        <f>W33+AB33</f>
        <v>0.15722096503183791</v>
      </c>
      <c r="AB33" s="136">
        <f>1.96*U33</f>
        <v>0.13721829772498831</v>
      </c>
      <c r="AC33" s="143">
        <f>IF(W33&lt;&gt;"",ABS(W33/U33^2),"")</f>
        <v>4.0810883773120912</v>
      </c>
      <c r="AD33" s="143"/>
      <c r="AE33" s="143">
        <f>U33^-2</f>
        <v>204.02720870704007</v>
      </c>
      <c r="AF33" s="144" t="str">
        <f>CONCATENATE(ROUND(S33,2),", (",ROUND(-(X33-S33),2),", ",ROUND(Y33+S33,2),")")</f>
        <v>0.02, (-0.12, 0.16)</v>
      </c>
      <c r="AG33" s="143">
        <f t="shared" si="13"/>
        <v>14.28380932059232</v>
      </c>
      <c r="AH33" s="134">
        <f t="shared" si="14"/>
        <v>2.2857142857142856</v>
      </c>
      <c r="AI33" s="143">
        <f t="shared" si="25"/>
        <v>0.72970445987641219</v>
      </c>
      <c r="AJ33" s="145">
        <f t="shared" si="15"/>
        <v>7</v>
      </c>
      <c r="AQ33" s="134" t="s">
        <v>217</v>
      </c>
      <c r="BC33" s="134" t="s">
        <v>18</v>
      </c>
      <c r="BD33" s="134">
        <v>1.23304E-2</v>
      </c>
      <c r="BE33" s="134">
        <v>1.22352E-2</v>
      </c>
      <c r="BF33" s="134">
        <v>1.01</v>
      </c>
      <c r="BG33" s="134">
        <v>0.314</v>
      </c>
      <c r="BH33" s="134">
        <v>-1.1650199999999999E-2</v>
      </c>
      <c r="BI33" s="134">
        <v>3.63109E-2</v>
      </c>
      <c r="BN33" s="134" t="s">
        <v>18</v>
      </c>
      <c r="BO33" s="134">
        <v>-0.1200398</v>
      </c>
      <c r="BP33" s="134">
        <v>0.1022904</v>
      </c>
      <c r="BQ33" s="134">
        <v>-1.17</v>
      </c>
      <c r="BR33" s="134">
        <v>0.24099999999999999</v>
      </c>
      <c r="BS33" s="134">
        <v>-0.32052530000000001</v>
      </c>
      <c r="BT33" s="134">
        <v>8.0445699999999995E-2</v>
      </c>
    </row>
    <row r="34" spans="1:73" s="134" customFormat="1" x14ac:dyDescent="0.25">
      <c r="A34" s="128"/>
      <c r="B34" s="129" t="s">
        <v>21</v>
      </c>
      <c r="C34" s="129" t="s">
        <v>471</v>
      </c>
      <c r="D34" s="129" t="s">
        <v>64</v>
      </c>
      <c r="E34" s="129" t="s">
        <v>18</v>
      </c>
      <c r="F34" s="129">
        <v>934</v>
      </c>
      <c r="G34" s="130">
        <v>0.19</v>
      </c>
      <c r="H34" s="131">
        <v>0.04</v>
      </c>
      <c r="I34" s="132" t="s">
        <v>27</v>
      </c>
      <c r="J34" s="130"/>
      <c r="K34" s="131"/>
      <c r="L34" s="132"/>
      <c r="M34" s="133"/>
      <c r="N34" s="131"/>
      <c r="O34" s="132"/>
      <c r="Q34" s="134" t="str">
        <f>CONCATENATE(B28,"_",E28,"_",D28,"_",C28)</f>
        <v>MAP_Women_Num_Comp_FEV1</v>
      </c>
      <c r="S34" s="135">
        <f>G28</f>
        <v>0.17</v>
      </c>
      <c r="T34" s="134">
        <v>152</v>
      </c>
      <c r="U34" s="141">
        <f>W34/G28*H28</f>
        <v>4.0392156117783316E-2</v>
      </c>
      <c r="V34" s="142" t="str">
        <f>I28</f>
        <v>p&lt;0.01 ***</v>
      </c>
      <c r="W34" s="136">
        <f>0.5*LN((1+S34)/(1-S34))</f>
        <v>0.1716666635005791</v>
      </c>
      <c r="X34" s="136">
        <f>S34-(EXP(2*Z34)-1)/(EXP(2*Z34)+1)</f>
        <v>7.7764863702831186E-2</v>
      </c>
      <c r="Y34" s="136">
        <f>(EXP(2*AA34)-1)/(EXP(2*AA34)+1)-S34</f>
        <v>7.570368614756115E-2</v>
      </c>
      <c r="Z34" s="136">
        <f>W34-AB34</f>
        <v>9.249803750972381E-2</v>
      </c>
      <c r="AA34" s="136">
        <f>W34+AB34</f>
        <v>0.25083528949143441</v>
      </c>
      <c r="AB34" s="136">
        <f>1.96*U34</f>
        <v>7.9168625990855293E-2</v>
      </c>
      <c r="AC34" s="143">
        <f>IF(W34&lt;&gt;"",ABS(W34/U34^2),"")</f>
        <v>105.21844854250965</v>
      </c>
      <c r="AD34" s="143"/>
      <c r="AE34" s="143">
        <f>U34^-2</f>
        <v>612.92301252278207</v>
      </c>
      <c r="AF34" s="144" t="str">
        <f>CONCATENATE(ROUND(S34,2),", (",ROUND(-(X34-S34),2),", ",ROUND(Y34+S34,2),")")</f>
        <v>0.17, (0.09, 0.25)</v>
      </c>
      <c r="AG34" s="143">
        <f t="shared" si="13"/>
        <v>24.757282010002271</v>
      </c>
      <c r="AH34" s="134">
        <f t="shared" si="14"/>
        <v>4.75</v>
      </c>
      <c r="AI34" s="143">
        <f t="shared" si="25"/>
        <v>1.3650822573927539</v>
      </c>
      <c r="AJ34" s="145">
        <f t="shared" si="15"/>
        <v>12</v>
      </c>
      <c r="BC34" s="134" t="s">
        <v>229</v>
      </c>
      <c r="BD34" s="134">
        <v>-3.2986000000000001E-3</v>
      </c>
      <c r="BE34" s="134">
        <v>1.1767E-2</v>
      </c>
      <c r="BF34" s="134">
        <v>-0.28000000000000003</v>
      </c>
      <c r="BG34" s="134">
        <v>0.77900000000000003</v>
      </c>
      <c r="BH34" s="134">
        <v>-2.63614E-2</v>
      </c>
      <c r="BI34" s="134">
        <v>1.9764199999999999E-2</v>
      </c>
      <c r="BN34" s="134" t="s">
        <v>229</v>
      </c>
      <c r="BO34" s="134">
        <v>7.6218900000000006E-2</v>
      </c>
      <c r="BP34" s="134">
        <v>9.7541900000000001E-2</v>
      </c>
      <c r="BQ34" s="134">
        <v>0.78</v>
      </c>
      <c r="BR34" s="134">
        <v>0.435</v>
      </c>
      <c r="BS34" s="134">
        <v>-0.1149596</v>
      </c>
      <c r="BT34" s="134">
        <v>0.26739750000000001</v>
      </c>
    </row>
    <row r="35" spans="1:73" s="134" customFormat="1" x14ac:dyDescent="0.25">
      <c r="A35" s="128"/>
      <c r="B35" s="129" t="s">
        <v>11</v>
      </c>
      <c r="C35" s="129" t="s">
        <v>12</v>
      </c>
      <c r="D35" s="129" t="s">
        <v>64</v>
      </c>
      <c r="E35" s="129" t="s">
        <v>14</v>
      </c>
      <c r="F35" s="129">
        <v>133</v>
      </c>
      <c r="G35" s="138">
        <v>0.31</v>
      </c>
      <c r="H35" s="139">
        <v>0.11</v>
      </c>
      <c r="I35" s="132" t="s">
        <v>45</v>
      </c>
      <c r="J35" s="138"/>
      <c r="K35" s="139"/>
      <c r="L35" s="132"/>
      <c r="M35" s="138"/>
      <c r="N35" s="140"/>
      <c r="O35" s="132"/>
      <c r="Q35" s="134" t="str">
        <f>CONCATENATE(B33,"_",E33,"_",D33,"_",C33)</f>
        <v>MAP_Men_Symbol_FEV1</v>
      </c>
      <c r="S35" s="135">
        <f>G33</f>
        <v>0.16</v>
      </c>
      <c r="T35" s="136">
        <v>151</v>
      </c>
      <c r="U35" s="141">
        <f>W35/G33*H33</f>
        <v>7.0606679557542421E-2</v>
      </c>
      <c r="V35" s="142" t="str">
        <f>I33</f>
        <v>p=0.02 *</v>
      </c>
      <c r="W35" s="136">
        <f t="shared" si="16"/>
        <v>0.16138669613152551</v>
      </c>
      <c r="X35" s="136">
        <f t="shared" si="17"/>
        <v>0.13700644934312883</v>
      </c>
      <c r="Y35" s="136">
        <f t="shared" si="18"/>
        <v>0.13110741442272941</v>
      </c>
      <c r="Z35" s="136">
        <f t="shared" si="19"/>
        <v>2.2997604198742361E-2</v>
      </c>
      <c r="AA35" s="136">
        <f t="shared" si="20"/>
        <v>0.29977578806430866</v>
      </c>
      <c r="AB35" s="136">
        <f t="shared" si="21"/>
        <v>0.13838909193278315</v>
      </c>
      <c r="AC35" s="143">
        <f t="shared" si="22"/>
        <v>32.372493651276912</v>
      </c>
      <c r="AD35" s="143"/>
      <c r="AE35" s="143">
        <f t="shared" si="23"/>
        <v>200.58960513631348</v>
      </c>
      <c r="AF35" s="144" t="str">
        <f t="shared" si="24"/>
        <v>0.16, (0.02, 0.29)</v>
      </c>
      <c r="AG35" s="143">
        <f t="shared" si="13"/>
        <v>14.16296597243365</v>
      </c>
      <c r="AH35" s="134">
        <f t="shared" si="14"/>
        <v>2.8181818181818183</v>
      </c>
      <c r="AI35" s="143">
        <f t="shared" si="25"/>
        <v>2.7616044335268403E-2</v>
      </c>
      <c r="AJ35" s="145">
        <f t="shared" si="15"/>
        <v>7</v>
      </c>
      <c r="AQ35" s="134" t="s">
        <v>217</v>
      </c>
      <c r="BB35" s="134" t="s">
        <v>217</v>
      </c>
      <c r="BM35" s="134" t="s">
        <v>217</v>
      </c>
    </row>
    <row r="36" spans="1:73" s="134" customFormat="1" x14ac:dyDescent="0.25">
      <c r="A36" s="128"/>
      <c r="B36" s="129" t="s">
        <v>11</v>
      </c>
      <c r="C36" s="129" t="s">
        <v>12</v>
      </c>
      <c r="D36" s="129" t="s">
        <v>64</v>
      </c>
      <c r="E36" s="129" t="s">
        <v>18</v>
      </c>
      <c r="F36" s="129">
        <v>264</v>
      </c>
      <c r="G36" s="130">
        <v>0.38</v>
      </c>
      <c r="H36" s="131">
        <v>0.08</v>
      </c>
      <c r="I36" s="132" t="s">
        <v>72</v>
      </c>
      <c r="J36" s="130"/>
      <c r="K36" s="131"/>
      <c r="L36" s="132"/>
      <c r="M36" s="133"/>
      <c r="N36" s="131"/>
      <c r="O36" s="132"/>
      <c r="Q36" s="134" t="str">
        <f>CONCATENATE(B34,"_",E34,"_",D34,"_",C34)</f>
        <v>MAP_Women_Symbol_FEV1</v>
      </c>
      <c r="S36" s="135">
        <f>G34</f>
        <v>0.19</v>
      </c>
      <c r="T36" s="134">
        <v>150</v>
      </c>
      <c r="U36" s="141">
        <f>W36/G34*H34</f>
        <v>4.0492035625167427E-2</v>
      </c>
      <c r="V36" s="142" t="str">
        <f>I34</f>
        <v>p&lt;0.01 ***</v>
      </c>
      <c r="W36" s="136">
        <f t="shared" si="16"/>
        <v>0.19233716921954527</v>
      </c>
      <c r="X36" s="136">
        <f t="shared" si="17"/>
        <v>7.7505397763413753E-2</v>
      </c>
      <c r="Y36" s="136">
        <f t="shared" si="18"/>
        <v>7.5207428038889745E-2</v>
      </c>
      <c r="Z36" s="136">
        <f t="shared" si="19"/>
        <v>0.11297277939421711</v>
      </c>
      <c r="AA36" s="136">
        <f t="shared" si="20"/>
        <v>0.27170155904487342</v>
      </c>
      <c r="AB36" s="136">
        <f t="shared" si="21"/>
        <v>7.936438982532816E-2</v>
      </c>
      <c r="AC36" s="143">
        <f t="shared" si="22"/>
        <v>117.30701918694558</v>
      </c>
      <c r="AD36" s="143"/>
      <c r="AE36" s="143">
        <f t="shared" si="23"/>
        <v>609.90301387374723</v>
      </c>
      <c r="AF36" s="144" t="str">
        <f t="shared" si="24"/>
        <v>0.19, (0.11, 0.27)</v>
      </c>
      <c r="AG36" s="143">
        <f t="shared" si="13"/>
        <v>24.696214565672754</v>
      </c>
      <c r="AH36" s="134">
        <f t="shared" si="14"/>
        <v>4.75</v>
      </c>
      <c r="AI36" s="143">
        <f t="shared" si="25"/>
        <v>2.0262650978758847</v>
      </c>
      <c r="AJ36" s="145">
        <f t="shared" si="15"/>
        <v>12</v>
      </c>
      <c r="AR36" s="134" t="s">
        <v>218</v>
      </c>
    </row>
    <row r="37" spans="1:73" s="134" customFormat="1" x14ac:dyDescent="0.25">
      <c r="A37" s="128"/>
      <c r="B37" s="147" t="s">
        <v>46</v>
      </c>
      <c r="C37" s="129" t="s">
        <v>471</v>
      </c>
      <c r="D37" s="147" t="s">
        <v>64</v>
      </c>
      <c r="E37" s="129" t="s">
        <v>14</v>
      </c>
      <c r="F37" s="147">
        <v>299</v>
      </c>
      <c r="G37" s="138">
        <v>0.2</v>
      </c>
      <c r="H37" s="139">
        <v>0.08</v>
      </c>
      <c r="I37" s="132" t="s">
        <v>75</v>
      </c>
      <c r="J37" s="138"/>
      <c r="K37" s="139"/>
      <c r="L37" s="132"/>
      <c r="M37" s="138"/>
      <c r="N37" s="140"/>
      <c r="O37" s="132"/>
      <c r="Q37" s="134" t="str">
        <f>CONCATENATE(B37,"_",E37,"_",D37,"_",C37)</f>
        <v>SATSA_Men_Symbol_FEV1</v>
      </c>
      <c r="S37" s="135">
        <f>G37</f>
        <v>0.2</v>
      </c>
      <c r="T37" s="136">
        <v>149</v>
      </c>
      <c r="U37" s="141">
        <f>W37/G37*H37</f>
        <v>8.109302162163283E-2</v>
      </c>
      <c r="V37" s="142" t="str">
        <f>I37</f>
        <v>p=0.01 *</v>
      </c>
      <c r="W37" s="136">
        <f t="shared" si="16"/>
        <v>0.20273255405408211</v>
      </c>
      <c r="X37" s="136">
        <f t="shared" si="17"/>
        <v>0.15623773735955496</v>
      </c>
      <c r="Y37" s="136">
        <f t="shared" si="18"/>
        <v>0.14668845709564332</v>
      </c>
      <c r="Z37" s="136">
        <f t="shared" si="19"/>
        <v>4.3790231675681773E-2</v>
      </c>
      <c r="AA37" s="136">
        <f t="shared" si="20"/>
        <v>0.36167487643248242</v>
      </c>
      <c r="AB37" s="136">
        <f t="shared" si="21"/>
        <v>0.15894232237840034</v>
      </c>
      <c r="AC37" s="143">
        <f t="shared" si="22"/>
        <v>30.828793279705419</v>
      </c>
      <c r="AD37" s="143"/>
      <c r="AE37" s="143">
        <f t="shared" si="23"/>
        <v>152.06631921324956</v>
      </c>
      <c r="AF37" s="144" t="str">
        <f t="shared" si="24"/>
        <v>0.2, (0.04, 0.35)</v>
      </c>
      <c r="AG37" s="143">
        <f t="shared" si="13"/>
        <v>12.331517311882166</v>
      </c>
      <c r="AH37" s="134">
        <f t="shared" si="14"/>
        <v>2.5</v>
      </c>
      <c r="AI37" s="143">
        <f t="shared" si="25"/>
        <v>7.5905872553103049E-2</v>
      </c>
      <c r="AJ37" s="145">
        <f t="shared" si="15"/>
        <v>6</v>
      </c>
      <c r="AR37" s="134" t="s">
        <v>230</v>
      </c>
      <c r="AS37" s="134" t="s">
        <v>231</v>
      </c>
      <c r="AT37" s="134" t="s">
        <v>232</v>
      </c>
      <c r="AU37" s="134" t="s">
        <v>221</v>
      </c>
      <c r="AV37" s="134" t="s">
        <v>211</v>
      </c>
      <c r="AW37" s="134" t="s">
        <v>224</v>
      </c>
      <c r="AX37" s="134" t="s">
        <v>225</v>
      </c>
      <c r="AY37" s="134" t="s">
        <v>226</v>
      </c>
      <c r="BB37" s="134" t="s">
        <v>217</v>
      </c>
      <c r="BM37" s="134" t="s">
        <v>217</v>
      </c>
    </row>
    <row r="38" spans="1:73" s="134" customFormat="1" x14ac:dyDescent="0.25">
      <c r="A38" s="128"/>
      <c r="B38" s="129" t="s">
        <v>46</v>
      </c>
      <c r="C38" s="129" t="s">
        <v>471</v>
      </c>
      <c r="D38" s="129" t="s">
        <v>64</v>
      </c>
      <c r="E38" s="129" t="s">
        <v>18</v>
      </c>
      <c r="F38" s="129">
        <v>408</v>
      </c>
      <c r="G38" s="130">
        <v>0.1</v>
      </c>
      <c r="H38" s="131">
        <v>0.08</v>
      </c>
      <c r="I38" s="132" t="s">
        <v>77</v>
      </c>
      <c r="J38" s="130"/>
      <c r="K38" s="131"/>
      <c r="L38" s="132"/>
      <c r="M38" s="133"/>
      <c r="N38" s="131"/>
      <c r="O38" s="132"/>
      <c r="Q38" s="134" t="str">
        <f>CONCATENATE(B38,"_",E38,"_",D38,"_",C38)</f>
        <v>SATSA_Women_Symbol_FEV1</v>
      </c>
      <c r="S38" s="135">
        <f>G38</f>
        <v>0.1</v>
      </c>
      <c r="T38" s="134">
        <v>148</v>
      </c>
      <c r="U38" s="141">
        <f>W38/G38*H38</f>
        <v>8.02682781848605E-2</v>
      </c>
      <c r="V38" s="142" t="str">
        <f>I38</f>
        <v>p=0.22</v>
      </c>
      <c r="W38" s="136">
        <f t="shared" si="16"/>
        <v>0.10033534773107562</v>
      </c>
      <c r="X38" s="136">
        <f t="shared" si="17"/>
        <v>0.15692885749802502</v>
      </c>
      <c r="Y38" s="136">
        <f t="shared" si="18"/>
        <v>0.15210665084451389</v>
      </c>
      <c r="Z38" s="136">
        <f t="shared" si="19"/>
        <v>-5.6990477511250956E-2</v>
      </c>
      <c r="AA38" s="136">
        <f t="shared" si="20"/>
        <v>0.25766117297340219</v>
      </c>
      <c r="AB38" s="136">
        <f t="shared" si="21"/>
        <v>0.15732582524232658</v>
      </c>
      <c r="AC38" s="143">
        <f t="shared" si="22"/>
        <v>15.572777045512408</v>
      </c>
      <c r="AD38" s="143"/>
      <c r="AE38" s="143">
        <f t="shared" si="23"/>
        <v>155.20728634191244</v>
      </c>
      <c r="AF38" s="144" t="str">
        <f t="shared" si="24"/>
        <v>0.1, (-0.06, 0.25)</v>
      </c>
      <c r="AG38" s="143">
        <f t="shared" si="13"/>
        <v>12.458221636409927</v>
      </c>
      <c r="AH38" s="134">
        <f t="shared" si="14"/>
        <v>1.25</v>
      </c>
      <c r="AI38" s="143">
        <f t="shared" si="25"/>
        <v>0.13122136609745941</v>
      </c>
      <c r="AJ38" s="145">
        <f t="shared" si="15"/>
        <v>6</v>
      </c>
      <c r="AQ38" s="134" t="s">
        <v>233</v>
      </c>
      <c r="BC38" s="134" t="s">
        <v>218</v>
      </c>
      <c r="BN38" s="134" t="s">
        <v>218</v>
      </c>
    </row>
    <row r="39" spans="1:73" s="134" customFormat="1" x14ac:dyDescent="0.25">
      <c r="A39" s="128"/>
      <c r="B39" s="129"/>
      <c r="C39" s="129"/>
      <c r="D39" s="129"/>
      <c r="E39" s="129"/>
      <c r="F39" s="129"/>
      <c r="G39" s="130"/>
      <c r="H39" s="131"/>
      <c r="I39" s="132"/>
      <c r="J39" s="130"/>
      <c r="K39" s="131"/>
      <c r="L39" s="132"/>
      <c r="M39" s="133"/>
      <c r="N39" s="131"/>
      <c r="O39" s="132"/>
      <c r="S39" s="135"/>
      <c r="T39" s="136">
        <v>147</v>
      </c>
      <c r="U39" s="141"/>
      <c r="W39" s="136"/>
      <c r="X39" s="136"/>
      <c r="Y39" s="136"/>
      <c r="Z39" s="136"/>
      <c r="AA39" s="136"/>
      <c r="AB39" s="136"/>
      <c r="AC39" s="143"/>
      <c r="AD39" s="143"/>
      <c r="AE39" s="143"/>
      <c r="AF39" s="144"/>
      <c r="AG39" s="143"/>
      <c r="AH39" s="131"/>
      <c r="AI39" s="143"/>
      <c r="AJ39" s="145"/>
    </row>
    <row r="40" spans="1:73" s="134" customFormat="1" x14ac:dyDescent="0.25">
      <c r="A40" s="128"/>
      <c r="B40" s="129"/>
      <c r="C40" s="129"/>
      <c r="D40" s="129"/>
      <c r="E40" s="129"/>
      <c r="F40" s="129"/>
      <c r="G40" s="130"/>
      <c r="H40" s="131"/>
      <c r="I40" s="132"/>
      <c r="J40" s="130"/>
      <c r="K40" s="131"/>
      <c r="L40" s="132"/>
      <c r="M40" s="133"/>
      <c r="N40" s="131"/>
      <c r="O40" s="132"/>
      <c r="Q40" s="134" t="s">
        <v>323</v>
      </c>
      <c r="S40" s="148">
        <f>(EXP(2*AD40)-1)/(EXP(2*AD40)+1)</f>
        <v>0.17856768573084411</v>
      </c>
      <c r="T40" s="134">
        <v>146</v>
      </c>
      <c r="U40" s="149">
        <f>1/SQRT(AD40*AE40)</f>
        <v>6.288846146367752E-2</v>
      </c>
      <c r="V40" s="150">
        <f>1/SQRT(AE40)</f>
        <v>2.6718553943292794E-2</v>
      </c>
      <c r="W40" s="136">
        <f>0.5*LN((1+S40)/(1-S40))</f>
        <v>0.18050280664878071</v>
      </c>
      <c r="X40" s="136">
        <f>S40-(EXP(2*Z40)-1)/(EXP(2*Z40)+1)</f>
        <v>0.1213887004279478</v>
      </c>
      <c r="Y40" s="136">
        <f>(EXP(2*AA40)-1)/(EXP(2*AA40)+1)-S40</f>
        <v>0.11618588768444507</v>
      </c>
      <c r="Z40" s="136">
        <f>W40-AB40</f>
        <v>5.7241422179972773E-2</v>
      </c>
      <c r="AA40" s="136">
        <f>W40+AB40</f>
        <v>0.30376419111758868</v>
      </c>
      <c r="AB40" s="136">
        <f>1.96*U40</f>
        <v>0.12326138446880794</v>
      </c>
      <c r="AC40" s="143">
        <f>SUM(AC33,AC29,AC25,AC35,AC37,AC31,AC27)</f>
        <v>252.84714831776733</v>
      </c>
      <c r="AD40" s="143">
        <f>AC40/AE40</f>
        <v>0.18050280664878068</v>
      </c>
      <c r="AE40" s="143">
        <f>SUM(AE33,AE29,AE25,AE35,AE37,AE31,AE27)</f>
        <v>1400.7934447786902</v>
      </c>
      <c r="AF40" s="144" t="str">
        <f>CONCATENATE(ROUND(S40,2),", (",ROUND(-(X40-S40),2),", ",ROUND(Y40+S40,2),")")</f>
        <v>0.18, (0.06, 0.29)</v>
      </c>
      <c r="AG40" s="143">
        <f>SUM(AG33,AG29,AG25,AG35,AG37,AG31,AG27)</f>
        <v>91.757065172325895</v>
      </c>
      <c r="AH40" s="131"/>
      <c r="AI40" s="143">
        <f>SUM(AI33,AI29,AI25,AI35,AI37,AI31,AI27)</f>
        <v>3.473083736473721</v>
      </c>
      <c r="AJ40" s="151"/>
      <c r="AK40" s="152">
        <f>AK44-AK42</f>
        <v>7</v>
      </c>
      <c r="AL40" s="151">
        <f>CHIDIST(AI40,AK40-1)</f>
        <v>0.74754727681059085</v>
      </c>
      <c r="AM40" s="153">
        <f>IF((AI40-AK40+1)/AI40&lt;0,0,(AI40-AK40+1)/AI40)</f>
        <v>0</v>
      </c>
      <c r="AN40" s="136"/>
      <c r="AO40" s="142">
        <f>S40-Y40</f>
        <v>6.238179804639904E-2</v>
      </c>
      <c r="AP40" s="151">
        <f>S40+Z40</f>
        <v>0.23580910791081688</v>
      </c>
    </row>
    <row r="41" spans="1:73" s="134" customFormat="1" x14ac:dyDescent="0.25">
      <c r="A41" s="128"/>
      <c r="B41" s="129"/>
      <c r="C41" s="129"/>
      <c r="D41" s="129"/>
      <c r="E41" s="129"/>
      <c r="F41" s="129"/>
      <c r="G41" s="130"/>
      <c r="H41" s="131"/>
      <c r="I41" s="132"/>
      <c r="J41" s="130"/>
      <c r="K41" s="131"/>
      <c r="L41" s="132"/>
      <c r="M41" s="133"/>
      <c r="N41" s="131"/>
      <c r="O41" s="132"/>
      <c r="S41" s="135"/>
      <c r="T41" s="136">
        <v>145</v>
      </c>
      <c r="U41" s="135"/>
      <c r="AH41" s="131"/>
    </row>
    <row r="42" spans="1:73" s="134" customFormat="1" x14ac:dyDescent="0.25">
      <c r="A42" s="128"/>
      <c r="B42" s="129"/>
      <c r="C42" s="129"/>
      <c r="D42" s="129"/>
      <c r="E42" s="129"/>
      <c r="F42" s="129"/>
      <c r="G42" s="130"/>
      <c r="H42" s="131"/>
      <c r="I42" s="132"/>
      <c r="J42" s="130"/>
      <c r="K42" s="131"/>
      <c r="L42" s="132"/>
      <c r="M42" s="133"/>
      <c r="N42" s="131"/>
      <c r="O42" s="132"/>
      <c r="Q42" s="134" t="s">
        <v>322</v>
      </c>
      <c r="S42" s="148">
        <f>(EXP(2*AD42)-1)/(EXP(2*AD42)+1)</f>
        <v>0.20112808429847409</v>
      </c>
      <c r="T42" s="134">
        <v>144</v>
      </c>
      <c r="U42" s="149">
        <f>1/SQRT(AD42*AE42)</f>
        <v>4.5637659412304292E-2</v>
      </c>
      <c r="V42" s="150">
        <f>1/SQRT(AE42)</f>
        <v>2.0608216527967543E-2</v>
      </c>
      <c r="W42" s="136">
        <f>0.5*LN((1+S42)/(1-S42))</f>
        <v>0.20390791863743254</v>
      </c>
      <c r="X42" s="136">
        <f>S42-(EXP(2*Z42)-1)/(EXP(2*Z42)+1)</f>
        <v>8.7167198211657915E-2</v>
      </c>
      <c r="Y42" s="136">
        <f>(EXP(2*AA42)-1)/(EXP(2*AA42)+1)-S42</f>
        <v>8.4094247374576964E-2</v>
      </c>
      <c r="Z42" s="136">
        <f>W42-AB42</f>
        <v>0.11445810618931614</v>
      </c>
      <c r="AA42" s="136">
        <f>W42+AB42</f>
        <v>0.29335773108554897</v>
      </c>
      <c r="AB42" s="136">
        <f>1.96*U42</f>
        <v>8.9449812448116409E-2</v>
      </c>
      <c r="AC42" s="143">
        <f>SUM(AC34,AC30,AC26,AC36,AC32,AC38,AC28)</f>
        <v>480.12384353594734</v>
      </c>
      <c r="AD42" s="143">
        <f>AC42/AE42</f>
        <v>0.20390791863743257</v>
      </c>
      <c r="AE42" s="143">
        <f>SUM(AE34,AE30,AE26,AE36,AE32,AE38,AE28)</f>
        <v>2354.6110751571773</v>
      </c>
      <c r="AF42" s="144" t="str">
        <f>CONCATENATE(ROUND(S42,2),", (",ROUND(-(X42-S42),2),", ",ROUND(Y42+S42,2),")")</f>
        <v>0.2, (0.11, 0.29)</v>
      </c>
      <c r="AG42" s="143">
        <f>SUM(AG34,AG30,AG26,AG36,AG32,AG38,AG28)</f>
        <v>119.62880417409438</v>
      </c>
      <c r="AH42" s="131"/>
      <c r="AI42" s="143">
        <f>SUM(AI34,AI30,AI26,AI36,AI32,AI38,AI28)</f>
        <v>9.4017250474148177</v>
      </c>
      <c r="AJ42" s="151"/>
      <c r="AK42" s="152">
        <f>COUNT(AI28,AI34,AI30,AI26,AI36,AI32,AI38)</f>
        <v>7</v>
      </c>
      <c r="AL42" s="151">
        <f>CHIDIST(AI42,AK42-1)</f>
        <v>0.15221378969821692</v>
      </c>
      <c r="AM42" s="153">
        <f>IF((AI42-AK42+1)/AI42&lt;0,0,(AI42-AK42+1)/AI42)</f>
        <v>0.36181924383655384</v>
      </c>
      <c r="AN42" s="136"/>
      <c r="AO42" s="142">
        <f>S42-Y42</f>
        <v>0.11703383692389713</v>
      </c>
      <c r="AP42" s="151">
        <f>S42+Z42</f>
        <v>0.31558619048779024</v>
      </c>
    </row>
    <row r="43" spans="1:73" s="134" customFormat="1" x14ac:dyDescent="0.25">
      <c r="A43" s="128"/>
      <c r="B43" s="129"/>
      <c r="C43" s="129"/>
      <c r="D43" s="129"/>
      <c r="E43" s="129"/>
      <c r="F43" s="129"/>
      <c r="G43" s="130"/>
      <c r="H43" s="131"/>
      <c r="I43" s="132"/>
      <c r="J43" s="130"/>
      <c r="K43" s="131"/>
      <c r="L43" s="132"/>
      <c r="M43" s="133"/>
      <c r="N43" s="131"/>
      <c r="O43" s="132"/>
      <c r="S43" s="135"/>
      <c r="T43" s="136">
        <v>143</v>
      </c>
      <c r="U43" s="141"/>
      <c r="V43" s="142"/>
      <c r="W43" s="136"/>
      <c r="X43" s="136"/>
      <c r="Y43" s="136"/>
      <c r="Z43" s="136"/>
      <c r="AA43" s="136"/>
      <c r="AB43" s="136"/>
      <c r="AF43" s="144"/>
      <c r="AG43" s="143"/>
      <c r="AH43" s="131"/>
      <c r="AI43" s="143"/>
      <c r="AJ43" s="145"/>
      <c r="AQ43" s="134" t="s">
        <v>234</v>
      </c>
      <c r="AR43" s="134" t="s">
        <v>235</v>
      </c>
      <c r="BC43" s="134" t="s">
        <v>230</v>
      </c>
      <c r="BD43" s="134" t="s">
        <v>231</v>
      </c>
      <c r="BE43" s="134" t="s">
        <v>232</v>
      </c>
      <c r="BF43" s="134" t="s">
        <v>221</v>
      </c>
      <c r="BG43" s="134" t="s">
        <v>211</v>
      </c>
      <c r="BH43" s="134" t="s">
        <v>224</v>
      </c>
      <c r="BI43" s="134" t="s">
        <v>225</v>
      </c>
      <c r="BJ43" s="134" t="s">
        <v>226</v>
      </c>
      <c r="BN43" s="134" t="s">
        <v>230</v>
      </c>
      <c r="BO43" s="134" t="s">
        <v>231</v>
      </c>
      <c r="BP43" s="134" t="s">
        <v>232</v>
      </c>
      <c r="BQ43" s="134" t="s">
        <v>221</v>
      </c>
      <c r="BR43" s="134" t="s">
        <v>211</v>
      </c>
      <c r="BS43" s="134" t="s">
        <v>224</v>
      </c>
      <c r="BT43" s="134" t="s">
        <v>225</v>
      </c>
      <c r="BU43" s="134" t="s">
        <v>226</v>
      </c>
    </row>
    <row r="44" spans="1:73" s="134" customFormat="1" x14ac:dyDescent="0.25">
      <c r="A44" s="128"/>
      <c r="B44" s="129"/>
      <c r="C44" s="129"/>
      <c r="D44" s="129"/>
      <c r="E44" s="129"/>
      <c r="F44" s="129"/>
      <c r="G44" s="130"/>
      <c r="H44" s="131"/>
      <c r="I44" s="132"/>
      <c r="J44" s="130"/>
      <c r="K44" s="131"/>
      <c r="L44" s="132"/>
      <c r="M44" s="133"/>
      <c r="N44" s="131"/>
      <c r="O44" s="132"/>
      <c r="Q44" s="134" t="s">
        <v>185</v>
      </c>
      <c r="S44" s="148">
        <f>(EXP(2*AD44)-1)/(EXP(2*AD44)+1)</f>
        <v>0.19273644569943427</v>
      </c>
      <c r="T44" s="134">
        <v>142</v>
      </c>
      <c r="U44" s="149">
        <f>1/SQRT(AD44*AE44)</f>
        <v>3.6936573639055788E-2</v>
      </c>
      <c r="V44" s="150">
        <f>1/SQRT(AE44)</f>
        <v>1.6318176930587572E-2</v>
      </c>
      <c r="W44" s="136">
        <f>0.5*LN((1+S44)/(1-S44))</f>
        <v>0.19517764010845687</v>
      </c>
      <c r="X44" s="136">
        <f>S44-(EXP(2*Z44)-1)/(EXP(2*Z44)+1)</f>
        <v>7.056778795476093E-2</v>
      </c>
      <c r="Y44" s="136">
        <f>(EXP(2*AA44)-1)/(EXP(2*AA44)+1)-S44</f>
        <v>6.8628922424224081E-2</v>
      </c>
      <c r="Z44" s="136">
        <f>W44-AB44</f>
        <v>0.12278195577590753</v>
      </c>
      <c r="AA44" s="136">
        <f>W44+AB44</f>
        <v>0.26757332444100623</v>
      </c>
      <c r="AB44" s="136">
        <f>1.96*U44</f>
        <v>7.2395684332549337E-2</v>
      </c>
      <c r="AC44" s="143">
        <f>SUM(AC25:AC38)</f>
        <v>732.97099185371485</v>
      </c>
      <c r="AD44" s="143">
        <f>AC44/AE44</f>
        <v>0.19517764010845684</v>
      </c>
      <c r="AE44" s="143">
        <f>SUM(AE25:AE38)</f>
        <v>3755.4045199358675</v>
      </c>
      <c r="AF44" s="144" t="str">
        <f>CONCATENATE(ROUND(S44,2),", (",ROUND(-(X44-S44),2),", ",ROUND(Y44+S44,2),")")</f>
        <v>0.19, (0.12, 0.26)</v>
      </c>
      <c r="AG44" s="143">
        <f>SUM(AG25:AG38)</f>
        <v>211.38586934642024</v>
      </c>
      <c r="AH44" s="131"/>
      <c r="AI44" s="143">
        <f>SUM(AI25:AI38)</f>
        <v>12.874808783888538</v>
      </c>
      <c r="AJ44" s="151"/>
      <c r="AK44" s="152">
        <f>COUNT(AI25:AI38)</f>
        <v>14</v>
      </c>
      <c r="AL44" s="151">
        <f>CHIDIST(AI44,AK44-1)</f>
        <v>0.45752771614168986</v>
      </c>
      <c r="AM44" s="153">
        <f>IF((AI44-AK44+1)/AI44&lt;0,0,(AI44-AK44+1)/AI44)</f>
        <v>0</v>
      </c>
      <c r="AN44" s="136"/>
      <c r="AR44" s="134" t="s">
        <v>236</v>
      </c>
      <c r="AS44" s="146">
        <v>5.6800000000000004E-25</v>
      </c>
      <c r="AT44" s="146">
        <v>7.9700000000000001E-23</v>
      </c>
      <c r="AU44" s="146">
        <v>2.6000000000000001E-144</v>
      </c>
      <c r="AV44" s="146">
        <v>1.24E+95</v>
      </c>
      <c r="BB44" s="134" t="s">
        <v>233</v>
      </c>
      <c r="BM44" s="134" t="s">
        <v>233</v>
      </c>
    </row>
    <row r="45" spans="1:73" s="134" customFormat="1" x14ac:dyDescent="0.25">
      <c r="A45" s="128" t="s">
        <v>78</v>
      </c>
      <c r="B45" s="129"/>
      <c r="C45" s="129"/>
      <c r="D45" s="129"/>
      <c r="E45" s="129"/>
      <c r="F45" s="129"/>
      <c r="G45" s="130"/>
      <c r="H45" s="131"/>
      <c r="I45" s="132"/>
      <c r="J45" s="130"/>
      <c r="K45" s="131"/>
      <c r="L45" s="132"/>
      <c r="M45" s="133"/>
      <c r="N45" s="131"/>
      <c r="O45" s="132"/>
      <c r="S45" s="135"/>
      <c r="T45" s="136">
        <v>141</v>
      </c>
      <c r="U45" s="135"/>
      <c r="AH45" s="131"/>
      <c r="AQ45" s="134" t="s">
        <v>233</v>
      </c>
      <c r="BB45" s="134" t="s">
        <v>234</v>
      </c>
      <c r="BC45" s="134" t="s">
        <v>235</v>
      </c>
      <c r="BM45" s="134" t="s">
        <v>234</v>
      </c>
      <c r="BN45" s="134" t="s">
        <v>235</v>
      </c>
    </row>
    <row r="46" spans="1:73" x14ac:dyDescent="0.25">
      <c r="A46" s="10"/>
      <c r="B46" s="11"/>
      <c r="C46" s="11"/>
      <c r="D46" s="11"/>
      <c r="E46" s="11"/>
      <c r="F46" s="11"/>
      <c r="G46" s="17"/>
      <c r="H46" s="18"/>
      <c r="I46" s="14"/>
      <c r="J46" s="17"/>
      <c r="K46" s="18"/>
      <c r="L46" s="14"/>
      <c r="M46" s="19"/>
      <c r="N46" s="18"/>
      <c r="O46" s="14"/>
      <c r="Q46" s="1" t="s">
        <v>78</v>
      </c>
      <c r="T46" s="2">
        <v>140</v>
      </c>
      <c r="U46" s="75"/>
      <c r="AH46" s="18"/>
    </row>
    <row r="47" spans="1:73" x14ac:dyDescent="0.25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0.16</v>
      </c>
      <c r="H47" s="13">
        <v>7.0000000000000007E-2</v>
      </c>
      <c r="I47" s="14" t="s">
        <v>19</v>
      </c>
      <c r="J47" s="12"/>
      <c r="K47" s="13"/>
      <c r="L47" s="14"/>
      <c r="M47" s="12"/>
      <c r="N47" s="16"/>
      <c r="O47" s="14"/>
      <c r="Q47" s="2" t="str">
        <f>CONCATENATE(B63,"_",E63,"_",D63,"_",C63)</f>
        <v>EAS_Men_Digit_Tot_PEF</v>
      </c>
      <c r="S47" s="75">
        <f>G63</f>
        <v>0.01</v>
      </c>
      <c r="T47" s="74">
        <v>139</v>
      </c>
      <c r="U47" s="102">
        <f>W47/G63*H63</f>
        <v>0.12000400024001662</v>
      </c>
      <c r="V47" s="76" t="str">
        <f>I63</f>
        <v>p=0.92</v>
      </c>
      <c r="W47" s="74">
        <f t="shared" ref="W47:W56" si="26">0.5*LN((1+S47)/(1-S47))</f>
        <v>1.0000333353334718E-2</v>
      </c>
      <c r="X47" s="74">
        <f t="shared" ref="X47:X56" si="27">S47-(EXP(2*Z47)-1)/(EXP(2*Z47)+1)</f>
        <v>0.23147580553982872</v>
      </c>
      <c r="Y47" s="74">
        <f t="shared" ref="Y47:Y56" si="28">(EXP(2*AA47)-1)/(EXP(2*AA47)+1)-S47</f>
        <v>0.23040901660648272</v>
      </c>
      <c r="Z47" s="74">
        <f t="shared" ref="Z47:Z56" si="29">W47-AB47</f>
        <v>-0.22520750711709783</v>
      </c>
      <c r="AA47" s="74">
        <f t="shared" ref="AA47:AA56" si="30">W47+AB47</f>
        <v>0.24520817382376728</v>
      </c>
      <c r="AB47" s="74">
        <f t="shared" ref="AB47:AB56" si="31">1.96*U47</f>
        <v>0.23520784047043256</v>
      </c>
      <c r="AC47" s="78">
        <f t="shared" ref="AC47:AC56" si="32">IF(W47&lt;&gt;"",ABS(W47/U47^2),"")</f>
        <v>0.69442129567898303</v>
      </c>
      <c r="AD47" s="78"/>
      <c r="AE47" s="78">
        <f t="shared" ref="AE47:AE56" si="33">U47^-2</f>
        <v>69.439814768516769</v>
      </c>
      <c r="AF47" s="79" t="str">
        <f t="shared" ref="AF47:AF56" si="34">CONCATENATE(ROUND(S47,2),", (",ROUND(-(X47-S47),2),", ",ROUND(Y47+S47,2),")")</f>
        <v>0.01, (-0.22, 0.24)</v>
      </c>
      <c r="AG47" s="78">
        <f t="shared" ref="AG47:AG67" si="35">1.96/AB47</f>
        <v>8.3330555481477973</v>
      </c>
      <c r="AH47" s="2">
        <f t="shared" ref="AH47:AH68" si="36">G47/H47</f>
        <v>2.2857142857142856</v>
      </c>
      <c r="AI47" s="78">
        <f t="shared" ref="AI47:AI67" si="37">(Z47/1.96)^2*AE47</f>
        <v>0.91677368226202027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x14ac:dyDescent="0.25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7">
        <v>0.12</v>
      </c>
      <c r="H48" s="18">
        <v>0.04</v>
      </c>
      <c r="I48" s="14" t="s">
        <v>39</v>
      </c>
      <c r="J48" s="17"/>
      <c r="K48" s="18"/>
      <c r="L48" s="14"/>
      <c r="M48" s="19"/>
      <c r="N48" s="18"/>
      <c r="O48" s="14"/>
      <c r="Q48" s="2" t="str">
        <f>CONCATENATE(B64,"_",E64,"_",D64,"_",C64)</f>
        <v>EAS_Women_Digit_Tot_PEF</v>
      </c>
      <c r="S48" s="75">
        <f>G64</f>
        <v>0.13</v>
      </c>
      <c r="T48" s="2">
        <v>138</v>
      </c>
      <c r="U48" s="102">
        <f>W48/G64*H64</f>
        <v>9.0512203866146557E-2</v>
      </c>
      <c r="V48" s="76" t="str">
        <f>I64</f>
        <v>p=0.15</v>
      </c>
      <c r="W48" s="74">
        <f t="shared" si="26"/>
        <v>0.13073985002887836</v>
      </c>
      <c r="X48" s="74">
        <f t="shared" si="27"/>
        <v>0.17663022813723273</v>
      </c>
      <c r="Y48" s="74">
        <f t="shared" si="28"/>
        <v>0.16874747432697096</v>
      </c>
      <c r="Z48" s="74">
        <f t="shared" si="29"/>
        <v>-4.6664069548768894E-2</v>
      </c>
      <c r="AA48" s="74">
        <f t="shared" si="30"/>
        <v>0.30814376960652562</v>
      </c>
      <c r="AB48" s="74">
        <f t="shared" si="31"/>
        <v>0.17740391957764726</v>
      </c>
      <c r="AC48" s="78">
        <f t="shared" si="32"/>
        <v>15.95856009185847</v>
      </c>
      <c r="AD48" s="78"/>
      <c r="AE48" s="78">
        <f t="shared" si="33"/>
        <v>122.06347252450938</v>
      </c>
      <c r="AF48" s="79" t="str">
        <f t="shared" si="34"/>
        <v>0.13, (-0.05, 0.3)</v>
      </c>
      <c r="AG48" s="78">
        <f t="shared" si="35"/>
        <v>11.048233909748172</v>
      </c>
      <c r="AH48" s="2">
        <f t="shared" si="36"/>
        <v>3</v>
      </c>
      <c r="AI48" s="78">
        <f t="shared" si="37"/>
        <v>6.9189278129997298E-2</v>
      </c>
      <c r="AJ48" s="85">
        <f>ROUND(AG48/AG$74*100,0)+1</f>
        <v>4</v>
      </c>
      <c r="AQ48" s="2" t="s">
        <v>217</v>
      </c>
      <c r="BB48" s="2" t="s">
        <v>233</v>
      </c>
      <c r="BM48" s="2" t="s">
        <v>233</v>
      </c>
    </row>
    <row r="49" spans="1:72" x14ac:dyDescent="0.25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0.03</v>
      </c>
      <c r="H49" s="13">
        <v>0.05</v>
      </c>
      <c r="I49" s="14" t="s">
        <v>58</v>
      </c>
      <c r="J49" s="12"/>
      <c r="K49" s="13"/>
      <c r="L49" s="14"/>
      <c r="M49" s="12"/>
      <c r="N49" s="16"/>
      <c r="O49" s="14"/>
      <c r="Q49" s="2" t="str">
        <f>CONCATENATE(B67,"_",E67,"_",D67,"_",C67)</f>
        <v>EAS_Men_TrailsB_PEF</v>
      </c>
      <c r="S49" s="75">
        <f>G67</f>
        <v>-0.42</v>
      </c>
      <c r="T49" s="74">
        <v>137</v>
      </c>
      <c r="U49" s="102">
        <f>W49/G67*H67</f>
        <v>0.11725267282861015</v>
      </c>
      <c r="V49" s="76" t="str">
        <f>I67</f>
        <v>p&lt;0.01 ***</v>
      </c>
      <c r="W49" s="74">
        <f t="shared" si="26"/>
        <v>-0.4476920235274206</v>
      </c>
      <c r="X49" s="74">
        <f t="shared" si="27"/>
        <v>0.16989646500350758</v>
      </c>
      <c r="Y49" s="74">
        <f t="shared" si="28"/>
        <v>0.20550654494210452</v>
      </c>
      <c r="Z49" s="74">
        <f t="shared" si="29"/>
        <v>-0.67750726227149649</v>
      </c>
      <c r="AA49" s="74">
        <f t="shared" si="30"/>
        <v>-0.21787678478334471</v>
      </c>
      <c r="AB49" s="74">
        <f t="shared" si="31"/>
        <v>0.22981523874407589</v>
      </c>
      <c r="AC49" s="78">
        <f t="shared" si="32"/>
        <v>32.563708153270902</v>
      </c>
      <c r="AD49" s="78"/>
      <c r="AE49" s="78">
        <f t="shared" si="33"/>
        <v>72.736851321802504</v>
      </c>
      <c r="AF49" s="79" t="str">
        <f t="shared" si="34"/>
        <v>-0.42, (-0.59, -0.21)</v>
      </c>
      <c r="AG49" s="78">
        <f t="shared" si="35"/>
        <v>8.5285902306185708</v>
      </c>
      <c r="AH49" s="2">
        <f t="shared" si="36"/>
        <v>0.6</v>
      </c>
      <c r="AI49" s="78">
        <f t="shared" si="37"/>
        <v>8.691010288412885</v>
      </c>
      <c r="AJ49" s="85">
        <f>ROUND(AG49/AG$74*100,0)</f>
        <v>3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x14ac:dyDescent="0.25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0.31</v>
      </c>
      <c r="H50" s="13">
        <v>0.13</v>
      </c>
      <c r="I50" s="14" t="s">
        <v>66</v>
      </c>
      <c r="J50" s="12"/>
      <c r="K50" s="13"/>
      <c r="L50" s="14"/>
      <c r="M50" s="12"/>
      <c r="N50" s="16"/>
      <c r="O50" s="14"/>
      <c r="Q50" s="2" t="str">
        <f>CONCATENATE(B68,"_",E68,"_",D68,"_",C68)</f>
        <v>EAS_Women_TrailsB_PEF</v>
      </c>
      <c r="S50" s="75">
        <f>G68</f>
        <v>-0.13</v>
      </c>
      <c r="T50" s="2">
        <v>136</v>
      </c>
      <c r="U50" s="102">
        <f>W50/G68*H68</f>
        <v>9.0512203866146557E-2</v>
      </c>
      <c r="V50" s="76" t="str">
        <f>I68</f>
        <v>p=0.12</v>
      </c>
      <c r="W50" s="74">
        <f t="shared" si="26"/>
        <v>-0.13073985002887836</v>
      </c>
      <c r="X50" s="74">
        <f t="shared" si="27"/>
        <v>0.16874747432697096</v>
      </c>
      <c r="Y50" s="74">
        <f t="shared" si="28"/>
        <v>0.17663022813723281</v>
      </c>
      <c r="Z50" s="74">
        <f t="shared" si="29"/>
        <v>-0.30814376960652562</v>
      </c>
      <c r="AA50" s="74">
        <f t="shared" si="30"/>
        <v>4.6664069548768894E-2</v>
      </c>
      <c r="AB50" s="74">
        <f t="shared" si="31"/>
        <v>0.17740391957764726</v>
      </c>
      <c r="AC50" s="78">
        <f t="shared" si="32"/>
        <v>15.95856009185847</v>
      </c>
      <c r="AD50" s="78"/>
      <c r="AE50" s="78">
        <f t="shared" si="33"/>
        <v>122.06347252450938</v>
      </c>
      <c r="AF50" s="79" t="str">
        <f t="shared" si="34"/>
        <v>-0.13, (-0.3, 0.05)</v>
      </c>
      <c r="AG50" s="78">
        <f t="shared" si="35"/>
        <v>11.048233909748172</v>
      </c>
      <c r="AH50" s="2">
        <f t="shared" si="36"/>
        <v>2.3846153846153846</v>
      </c>
      <c r="AI50" s="78">
        <f t="shared" si="37"/>
        <v>3.0170350831186594</v>
      </c>
      <c r="AJ50" s="85">
        <f>ROUND(AG50/AG$74*100,0)</f>
        <v>3</v>
      </c>
    </row>
    <row r="51" spans="1:72" x14ac:dyDescent="0.25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7">
        <v>0.18</v>
      </c>
      <c r="H51" s="18">
        <v>0.13</v>
      </c>
      <c r="I51" s="14" t="s">
        <v>84</v>
      </c>
      <c r="J51" s="17"/>
      <c r="K51" s="18"/>
      <c r="L51" s="14"/>
      <c r="M51" s="19"/>
      <c r="N51" s="18"/>
      <c r="O51" s="14"/>
      <c r="Q51" s="2" t="str">
        <f>CONCATENATE(B65,"_",E65,"_",D65,"_",C65)</f>
        <v>HRS_Men_Serial7_PEF</v>
      </c>
      <c r="S51" s="75">
        <f>G65</f>
        <v>0.16</v>
      </c>
      <c r="T51" s="74">
        <v>135</v>
      </c>
      <c r="U51" s="102">
        <f>W51/G65*H65</f>
        <v>4.0346674032881377E-2</v>
      </c>
      <c r="V51" s="76" t="str">
        <f>I65</f>
        <v>p&lt;0.01 ***</v>
      </c>
      <c r="W51" s="74">
        <f t="shared" si="26"/>
        <v>0.16138669613152551</v>
      </c>
      <c r="X51" s="74">
        <f t="shared" si="27"/>
        <v>7.7878145496918696E-2</v>
      </c>
      <c r="Y51" s="74">
        <f t="shared" si="28"/>
        <v>7.5936025035130916E-2</v>
      </c>
      <c r="Z51" s="74">
        <f t="shared" si="29"/>
        <v>8.230721502707801E-2</v>
      </c>
      <c r="AA51" s="74">
        <f t="shared" si="30"/>
        <v>0.24046617723597302</v>
      </c>
      <c r="AB51" s="74">
        <f t="shared" si="31"/>
        <v>7.9079481104447499E-2</v>
      </c>
      <c r="AC51" s="78">
        <f t="shared" si="32"/>
        <v>99.140761807035574</v>
      </c>
      <c r="AD51" s="78"/>
      <c r="AE51" s="78">
        <f t="shared" si="33"/>
        <v>614.30566572996031</v>
      </c>
      <c r="AF51" s="79" t="str">
        <f t="shared" si="34"/>
        <v>0.16, (0.08, 0.24)</v>
      </c>
      <c r="AG51" s="78">
        <f t="shared" si="35"/>
        <v>24.785190451758893</v>
      </c>
      <c r="AH51" s="2">
        <f t="shared" si="36"/>
        <v>1.3846153846153846</v>
      </c>
      <c r="AI51" s="78">
        <f t="shared" si="37"/>
        <v>1.0832986255726784</v>
      </c>
      <c r="AJ51" s="85">
        <f t="shared" ref="AJ51:AJ68" si="38">ROUND(AG51/AG$74*100,0)+1</f>
        <v>9</v>
      </c>
    </row>
    <row r="52" spans="1:72" x14ac:dyDescent="0.25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0.2</v>
      </c>
      <c r="H52" s="13">
        <v>0.09</v>
      </c>
      <c r="I52" s="14" t="s">
        <v>19</v>
      </c>
      <c r="J52" s="12"/>
      <c r="K52" s="13"/>
      <c r="L52" s="14"/>
      <c r="M52" s="12"/>
      <c r="N52" s="16"/>
      <c r="O52" s="14"/>
      <c r="Q52" s="2" t="str">
        <f>CONCATENATE(B66,"_",E66,"_",D66,"_",C66)</f>
        <v>HRS_Women_Serial7_PEF</v>
      </c>
      <c r="S52" s="75">
        <f>G66</f>
        <v>0.13</v>
      </c>
      <c r="T52" s="2">
        <v>134</v>
      </c>
      <c r="U52" s="102">
        <f>W52/G66*H66</f>
        <v>3.0170734622048851E-2</v>
      </c>
      <c r="V52" s="76" t="str">
        <f>I66</f>
        <v>p&lt;0.01 ***</v>
      </c>
      <c r="W52" s="74">
        <f t="shared" si="26"/>
        <v>0.13073985002887836</v>
      </c>
      <c r="X52" s="74">
        <f t="shared" si="27"/>
        <v>5.8516919967868522E-2</v>
      </c>
      <c r="Y52" s="74">
        <f t="shared" si="28"/>
        <v>5.762511696414771E-2</v>
      </c>
      <c r="Z52" s="74">
        <f t="shared" si="29"/>
        <v>7.160521016966262E-2</v>
      </c>
      <c r="AA52" s="74">
        <f t="shared" si="30"/>
        <v>0.18987448988809411</v>
      </c>
      <c r="AB52" s="74">
        <f t="shared" si="31"/>
        <v>5.913463985921575E-2</v>
      </c>
      <c r="AC52" s="78">
        <f t="shared" si="32"/>
        <v>143.62704082672627</v>
      </c>
      <c r="AD52" s="78"/>
      <c r="AE52" s="78">
        <f t="shared" si="33"/>
        <v>1098.5712527205847</v>
      </c>
      <c r="AF52" s="79" t="str">
        <f t="shared" si="34"/>
        <v>0.13, (0.07, 0.19)</v>
      </c>
      <c r="AG52" s="78">
        <f t="shared" si="35"/>
        <v>33.144701729244517</v>
      </c>
      <c r="AH52" s="2">
        <f t="shared" si="36"/>
        <v>2.2222222222222223</v>
      </c>
      <c r="AI52" s="78">
        <f t="shared" si="37"/>
        <v>1.466240918135963</v>
      </c>
      <c r="AJ52" s="85">
        <f t="shared" si="38"/>
        <v>11</v>
      </c>
      <c r="AQ52" s="2" t="s">
        <v>186</v>
      </c>
      <c r="BB52" s="2" t="s">
        <v>186</v>
      </c>
      <c r="BM52" s="2" t="s">
        <v>186</v>
      </c>
    </row>
    <row r="53" spans="1:72" x14ac:dyDescent="0.25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7">
        <v>0.09</v>
      </c>
      <c r="H53" s="18">
        <v>0.1</v>
      </c>
      <c r="I53" s="14" t="s">
        <v>87</v>
      </c>
      <c r="J53" s="17"/>
      <c r="K53" s="18"/>
      <c r="L53" s="14"/>
      <c r="M53" s="19"/>
      <c r="N53" s="18"/>
      <c r="O53" s="14"/>
      <c r="Q53" s="2" t="str">
        <f>CONCATENATE(B50,"_",E50,"_",D50,"_",C50)</f>
        <v>OCTO_Men_Digit_B_PEF</v>
      </c>
      <c r="S53" s="75">
        <f>G50</f>
        <v>0.31</v>
      </c>
      <c r="T53" s="74">
        <v>133</v>
      </c>
      <c r="U53" s="102">
        <f>W53/G50*H50</f>
        <v>0.13442226841694516</v>
      </c>
      <c r="V53" s="76" t="str">
        <f>I50</f>
        <v>p=0.02 *</v>
      </c>
      <c r="W53" s="74">
        <f t="shared" si="26"/>
        <v>0.32054540930194614</v>
      </c>
      <c r="X53" s="74">
        <f t="shared" si="27"/>
        <v>0.25298414012478609</v>
      </c>
      <c r="Y53" s="74">
        <f t="shared" si="28"/>
        <v>0.21557608134247025</v>
      </c>
      <c r="Z53" s="74">
        <f t="shared" si="29"/>
        <v>5.7077763204733623E-2</v>
      </c>
      <c r="AA53" s="74">
        <f t="shared" si="30"/>
        <v>0.58401305539915871</v>
      </c>
      <c r="AB53" s="74">
        <f t="shared" si="31"/>
        <v>0.26346764609721252</v>
      </c>
      <c r="AC53" s="78">
        <f t="shared" si="32"/>
        <v>17.73973473813794</v>
      </c>
      <c r="AD53" s="78"/>
      <c r="AE53" s="78">
        <f t="shared" si="33"/>
        <v>55.342345338121923</v>
      </c>
      <c r="AF53" s="79" t="str">
        <f t="shared" si="34"/>
        <v>0.31, (0.06, 0.53)</v>
      </c>
      <c r="AG53" s="78">
        <f t="shared" si="35"/>
        <v>7.4392435998642972</v>
      </c>
      <c r="AH53" s="2">
        <f t="shared" si="36"/>
        <v>0.89999999999999991</v>
      </c>
      <c r="AI53" s="78">
        <f t="shared" si="37"/>
        <v>4.6933107260534922E-2</v>
      </c>
      <c r="AJ53" s="85">
        <f t="shared" si="38"/>
        <v>3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x14ac:dyDescent="0.25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0.04</v>
      </c>
      <c r="H54" s="13">
        <v>0.05</v>
      </c>
      <c r="I54" s="14" t="s">
        <v>44</v>
      </c>
      <c r="J54" s="12"/>
      <c r="K54" s="13"/>
      <c r="L54" s="14"/>
      <c r="M54" s="12"/>
      <c r="N54" s="16"/>
      <c r="O54" s="14"/>
      <c r="Q54" s="2" t="str">
        <f>CONCATENATE(B51,"_",E51,"_",D51,"_",C51)</f>
        <v>OCTO_Women_Digit_B_PEF</v>
      </c>
      <c r="S54" s="75">
        <f>G51</f>
        <v>0.18</v>
      </c>
      <c r="T54" s="2">
        <v>132</v>
      </c>
      <c r="U54" s="102">
        <f>W54/G51*H51</f>
        <v>0.13143194176717637</v>
      </c>
      <c r="V54" s="76" t="str">
        <f>I51</f>
        <v>p=0.16</v>
      </c>
      <c r="W54" s="74">
        <f t="shared" si="26"/>
        <v>0.18198268860070574</v>
      </c>
      <c r="X54" s="74">
        <f t="shared" si="27"/>
        <v>0.25548008247810572</v>
      </c>
      <c r="Y54" s="74">
        <f t="shared" si="28"/>
        <v>0.23330395125141612</v>
      </c>
      <c r="Z54" s="74">
        <f t="shared" si="29"/>
        <v>-7.5623917262959944E-2</v>
      </c>
      <c r="AA54" s="74">
        <f t="shared" si="30"/>
        <v>0.43958929446437145</v>
      </c>
      <c r="AB54" s="74">
        <f t="shared" si="31"/>
        <v>0.25760660586366568</v>
      </c>
      <c r="AC54" s="78">
        <f t="shared" si="32"/>
        <v>10.534846902499133</v>
      </c>
      <c r="AD54" s="78"/>
      <c r="AE54" s="78">
        <f t="shared" si="33"/>
        <v>57.889280477738133</v>
      </c>
      <c r="AF54" s="79" t="str">
        <f t="shared" si="34"/>
        <v>0.18, (-0.08, 0.41)</v>
      </c>
      <c r="AG54" s="78">
        <f t="shared" si="35"/>
        <v>7.6085005406938198</v>
      </c>
      <c r="AH54" s="2">
        <f t="shared" si="36"/>
        <v>0.79999999999999993</v>
      </c>
      <c r="AI54" s="78">
        <f t="shared" si="37"/>
        <v>8.6179575078431325E-2</v>
      </c>
      <c r="AJ54" s="85">
        <f t="shared" si="38"/>
        <v>3</v>
      </c>
      <c r="AQ54" s="2" t="s">
        <v>294</v>
      </c>
      <c r="BB54" s="2" t="s">
        <v>294</v>
      </c>
      <c r="BM54" s="2" t="s">
        <v>294</v>
      </c>
    </row>
    <row r="55" spans="1:72" x14ac:dyDescent="0.25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0.08</v>
      </c>
      <c r="H55" s="13">
        <v>7.0000000000000007E-2</v>
      </c>
      <c r="I55" s="14" t="s">
        <v>92</v>
      </c>
      <c r="J55" s="12"/>
      <c r="K55" s="13"/>
      <c r="L55" s="14"/>
      <c r="M55" s="12"/>
      <c r="N55" s="16"/>
      <c r="O55" s="14"/>
      <c r="Q55" s="2" t="str">
        <f>CONCATENATE(B57,"_",E57,"_",D57,"_",C57)</f>
        <v>OCTO_Men_Digit_F_PEF</v>
      </c>
      <c r="S55" s="75">
        <f>G57</f>
        <v>-0.09</v>
      </c>
      <c r="T55" s="74">
        <v>131</v>
      </c>
      <c r="U55" s="102">
        <f>W55/G57*H57</f>
        <v>0.14037984777622842</v>
      </c>
      <c r="V55" s="76" t="str">
        <f>I57</f>
        <v>p=0.52</v>
      </c>
      <c r="W55" s="74">
        <f t="shared" si="26"/>
        <v>-9.0244187856146837E-2</v>
      </c>
      <c r="X55" s="74">
        <f t="shared" si="27"/>
        <v>0.2599516797297422</v>
      </c>
      <c r="Y55" s="74">
        <f t="shared" si="28"/>
        <v>0.27282160429316882</v>
      </c>
      <c r="Z55" s="74">
        <f t="shared" si="29"/>
        <v>-0.36538868949755454</v>
      </c>
      <c r="AA55" s="74">
        <f t="shared" si="30"/>
        <v>0.18490031378526084</v>
      </c>
      <c r="AB55" s="74">
        <f t="shared" si="31"/>
        <v>0.27514450164140769</v>
      </c>
      <c r="AC55" s="78">
        <f t="shared" si="32"/>
        <v>4.5794118816960472</v>
      </c>
      <c r="AD55" s="78"/>
      <c r="AE55" s="78">
        <f t="shared" si="33"/>
        <v>50.744673873023594</v>
      </c>
      <c r="AF55" s="79" t="str">
        <f t="shared" si="34"/>
        <v>-0.09, (-0.35, 0.18)</v>
      </c>
      <c r="AG55" s="78">
        <f t="shared" si="35"/>
        <v>7.1235295937494065</v>
      </c>
      <c r="AH55" s="2">
        <f t="shared" si="36"/>
        <v>1.1428571428571428</v>
      </c>
      <c r="AI55" s="78">
        <f t="shared" si="37"/>
        <v>1.7635530263750654</v>
      </c>
      <c r="AJ55" s="85">
        <f t="shared" si="38"/>
        <v>3</v>
      </c>
    </row>
    <row r="56" spans="1:72" x14ac:dyDescent="0.25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7">
        <v>0.13</v>
      </c>
      <c r="H56" s="18">
        <v>0.04</v>
      </c>
      <c r="I56" s="14" t="s">
        <v>45</v>
      </c>
      <c r="J56" s="17"/>
      <c r="K56" s="18"/>
      <c r="L56" s="14"/>
      <c r="M56" s="19"/>
      <c r="N56" s="18"/>
      <c r="O56" s="14"/>
      <c r="Q56" s="2" t="str">
        <f>CONCATENATE(B58,"_",E58,"_",D58,"_",C58)</f>
        <v>OCTO_Women_Digit_F_PEF</v>
      </c>
      <c r="S56" s="75">
        <f>G58</f>
        <v>9.9999999999999994E-12</v>
      </c>
      <c r="T56" s="2">
        <v>130</v>
      </c>
      <c r="U56" s="108">
        <f>W56/G58*H58</f>
        <v>0.10000000827303711</v>
      </c>
      <c r="V56" s="76" t="str">
        <f>I58</f>
        <v>p=0.99</v>
      </c>
      <c r="W56" s="74">
        <f t="shared" si="26"/>
        <v>1.000000082730371E-11</v>
      </c>
      <c r="X56" s="74">
        <f t="shared" si="27"/>
        <v>0.1935281470591117</v>
      </c>
      <c r="Y56" s="74">
        <f t="shared" si="28"/>
        <v>0.19352814705836263</v>
      </c>
      <c r="Z56" s="74">
        <f t="shared" si="29"/>
        <v>-0.19600001620515273</v>
      </c>
      <c r="AA56" s="74">
        <f t="shared" si="30"/>
        <v>0.19600001622515273</v>
      </c>
      <c r="AB56" s="74">
        <f t="shared" si="31"/>
        <v>0.19600001621515273</v>
      </c>
      <c r="AC56" s="78">
        <f t="shared" si="32"/>
        <v>9.9999991726963574E-10</v>
      </c>
      <c r="AD56" s="78"/>
      <c r="AE56" s="78">
        <f t="shared" si="33"/>
        <v>99.99998345392784</v>
      </c>
      <c r="AF56" s="79" t="str">
        <f t="shared" si="34"/>
        <v>0, (-0.19, 0.19)</v>
      </c>
      <c r="AG56" s="78">
        <f t="shared" si="35"/>
        <v>9.9999991726963575</v>
      </c>
      <c r="AH56" s="2">
        <f t="shared" si="36"/>
        <v>3.25</v>
      </c>
      <c r="AI56" s="78">
        <f t="shared" si="37"/>
        <v>0.99999999989795918</v>
      </c>
      <c r="AJ56" s="85">
        <f t="shared" si="38"/>
        <v>4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x14ac:dyDescent="0.25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-0.09</v>
      </c>
      <c r="H57" s="13">
        <v>0.14000000000000001</v>
      </c>
      <c r="I57" s="14" t="s">
        <v>44</v>
      </c>
      <c r="J57" s="12"/>
      <c r="K57" s="13"/>
      <c r="L57" s="14"/>
      <c r="M57" s="12"/>
      <c r="N57" s="16"/>
      <c r="O57" s="14"/>
      <c r="Q57" s="2" t="str">
        <f>CONCATENATE(B47,"_",E47,"_",D47,"_",C47)</f>
        <v>MAP_Men_Digit_B_FEV1</v>
      </c>
      <c r="S57" s="75">
        <f>G47</f>
        <v>0.16</v>
      </c>
      <c r="T57" s="74">
        <v>129</v>
      </c>
      <c r="U57" s="102">
        <f>W57/G47*H47</f>
        <v>7.0606679557542421E-2</v>
      </c>
      <c r="V57" s="76" t="str">
        <f>I47</f>
        <v>p=0.03 *</v>
      </c>
      <c r="W57" s="74">
        <f t="shared" ref="W57:W68" si="39">0.5*LN((1+S57)/(1-S57))</f>
        <v>0.16138669613152551</v>
      </c>
      <c r="X57" s="74">
        <f t="shared" ref="X57:X68" si="40">S57-(EXP(2*Z57)-1)/(EXP(2*Z57)+1)</f>
        <v>0.13700644934312883</v>
      </c>
      <c r="Y57" s="74">
        <f t="shared" ref="Y57:Y68" si="41">(EXP(2*AA57)-1)/(EXP(2*AA57)+1)-S57</f>
        <v>0.13110741442272941</v>
      </c>
      <c r="Z57" s="74">
        <f t="shared" ref="Z57:Z68" si="42">W57-AB57</f>
        <v>2.2997604198742361E-2</v>
      </c>
      <c r="AA57" s="74">
        <f t="shared" ref="AA57:AA68" si="43">W57+AB57</f>
        <v>0.29977578806430866</v>
      </c>
      <c r="AB57" s="74">
        <f t="shared" ref="AB57:AB68" si="44">1.96*U57</f>
        <v>0.13838909193278315</v>
      </c>
      <c r="AC57" s="78">
        <f t="shared" ref="AC57:AC68" si="45">IF(W57&lt;&gt;"",ABS(W57/U57^2),"")</f>
        <v>32.372493651276912</v>
      </c>
      <c r="AD57" s="78"/>
      <c r="AE57" s="78">
        <f t="shared" ref="AE57:AE68" si="46">U57^-2</f>
        <v>200.58960513631348</v>
      </c>
      <c r="AF57" s="79" t="str">
        <f t="shared" ref="AF57:AF68" si="47">CONCATENATE(ROUND(S57,2),", (",ROUND(-(X57-S57),2),", ",ROUND(Y57+S57,2),")")</f>
        <v>0.16, (0.02, 0.29)</v>
      </c>
      <c r="AG57" s="78">
        <f t="shared" si="35"/>
        <v>14.16296597243365</v>
      </c>
      <c r="AH57" s="2">
        <f t="shared" si="36"/>
        <v>-0.64285714285714279</v>
      </c>
      <c r="AI57" s="78">
        <f t="shared" si="37"/>
        <v>2.7616044335268403E-2</v>
      </c>
      <c r="AJ57" s="85">
        <f t="shared" si="38"/>
        <v>5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x14ac:dyDescent="0.25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7">
        <v>9.9999999999999994E-12</v>
      </c>
      <c r="H58" s="18">
        <v>0.1</v>
      </c>
      <c r="I58" s="14" t="s">
        <v>95</v>
      </c>
      <c r="J58" s="17"/>
      <c r="K58" s="18"/>
      <c r="L58" s="14"/>
      <c r="M58" s="19"/>
      <c r="N58" s="18"/>
      <c r="O58" s="14"/>
      <c r="Q58" s="2" t="str">
        <f>CONCATENATE(B48,"_",E48,"_",D48,"_",C48)</f>
        <v>MAP_Women_Digit_B_FEV1</v>
      </c>
      <c r="S58" s="75">
        <f>G48</f>
        <v>0.12</v>
      </c>
      <c r="T58" s="2">
        <v>128</v>
      </c>
      <c r="U58" s="102">
        <f>W58/G48*H48</f>
        <v>4.0193676136148042E-2</v>
      </c>
      <c r="V58" s="76" t="str">
        <f>I48</f>
        <v>p=0.01 **</v>
      </c>
      <c r="W58" s="74">
        <f t="shared" si="39"/>
        <v>0.12058102840844412</v>
      </c>
      <c r="X58" s="74">
        <f t="shared" si="40"/>
        <v>7.8222907177057099E-2</v>
      </c>
      <c r="Y58" s="74">
        <f t="shared" si="41"/>
        <v>7.6760784198837195E-2</v>
      </c>
      <c r="Z58" s="74">
        <f t="shared" si="42"/>
        <v>4.1801423181593952E-2</v>
      </c>
      <c r="AA58" s="74">
        <f t="shared" si="43"/>
        <v>0.19936063363529427</v>
      </c>
      <c r="AB58" s="74">
        <f t="shared" si="44"/>
        <v>7.8779605226850166E-2</v>
      </c>
      <c r="AC58" s="78">
        <f t="shared" si="45"/>
        <v>74.638607074359157</v>
      </c>
      <c r="AD58" s="78"/>
      <c r="AE58" s="78">
        <f t="shared" si="46"/>
        <v>618.99129622228634</v>
      </c>
      <c r="AF58" s="79" t="str">
        <f t="shared" si="47"/>
        <v>0.12, (0.04, 0.2)</v>
      </c>
      <c r="AG58" s="78">
        <f t="shared" si="35"/>
        <v>24.87953569145305</v>
      </c>
      <c r="AH58" s="2">
        <f t="shared" si="36"/>
        <v>9.9999999999999991E-11</v>
      </c>
      <c r="AI58" s="78">
        <f t="shared" si="37"/>
        <v>0.28154935443565166</v>
      </c>
      <c r="AJ58" s="85">
        <f t="shared" si="38"/>
        <v>9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x14ac:dyDescent="0.25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0.15</v>
      </c>
      <c r="H59" s="13">
        <v>0.09</v>
      </c>
      <c r="I59" s="14" t="s">
        <v>97</v>
      </c>
      <c r="J59" s="12"/>
      <c r="K59" s="13"/>
      <c r="L59" s="14"/>
      <c r="M59" s="12"/>
      <c r="N59" s="16"/>
      <c r="O59" s="14"/>
      <c r="Q59" s="2" t="str">
        <f>CONCATENATE(B55,"_",E55,"_",D55,"_",C55)</f>
        <v>MAP_Men_Digit_F_FEV1</v>
      </c>
      <c r="S59" s="75">
        <f>G55</f>
        <v>0.08</v>
      </c>
      <c r="T59" s="74">
        <v>127</v>
      </c>
      <c r="U59" s="102">
        <f>W59/G55*H55</f>
        <v>7.0149909407891037E-2</v>
      </c>
      <c r="V59" s="76" t="str">
        <f>I55</f>
        <v>p=0.27</v>
      </c>
      <c r="W59" s="74">
        <f>0.5*LN((1+S59)/(1-S59))</f>
        <v>8.0171325037589738E-2</v>
      </c>
      <c r="X59" s="74">
        <f>S59-(EXP(2*Z59)-1)/(EXP(2*Z59)+1)</f>
        <v>0.13725979507972685</v>
      </c>
      <c r="Y59" s="74">
        <f>(EXP(2*AA59)-1)/(EXP(2*AA59)+1)-S59</f>
        <v>0.13429154548012284</v>
      </c>
      <c r="Z59" s="74">
        <f>W59-AB59</f>
        <v>-5.7322497401876685E-2</v>
      </c>
      <c r="AA59" s="74">
        <f>W59+AB59</f>
        <v>0.21766514747705618</v>
      </c>
      <c r="AB59" s="74">
        <f>1.96*U59</f>
        <v>0.13749382243946642</v>
      </c>
      <c r="AC59" s="78">
        <f>IF(W59&lt;&gt;"",ABS(W59/U59^2),"")</f>
        <v>16.291641037081437</v>
      </c>
      <c r="AD59" s="78"/>
      <c r="AE59" s="78">
        <f>U59^-2</f>
        <v>203.21032525585443</v>
      </c>
      <c r="AF59" s="79" t="str">
        <f>CONCATENATE(ROUND(S59,2),", (",ROUND(-(X59-S59),2),", ",ROUND(Y59+S59,2),")")</f>
        <v>0.08, (-0.06, 0.21)</v>
      </c>
      <c r="AG59" s="78">
        <f t="shared" si="35"/>
        <v>14.255185907446259</v>
      </c>
      <c r="AH59" s="2">
        <f t="shared" si="36"/>
        <v>1.6666666666666667</v>
      </c>
      <c r="AI59" s="78">
        <f t="shared" si="37"/>
        <v>0.17381363207507083</v>
      </c>
      <c r="AJ59" s="85">
        <f t="shared" si="38"/>
        <v>6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x14ac:dyDescent="0.25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7">
        <v>0.31</v>
      </c>
      <c r="H60" s="18">
        <v>0.1</v>
      </c>
      <c r="I60" s="14" t="s">
        <v>27</v>
      </c>
      <c r="J60" s="17"/>
      <c r="K60" s="18"/>
      <c r="L60" s="14"/>
      <c r="M60" s="19"/>
      <c r="N60" s="18"/>
      <c r="O60" s="14"/>
      <c r="Q60" s="2" t="str">
        <f>CONCATENATE(B56,"_",E56,"_",D56,"_",C56)</f>
        <v>MAP_Women_Digit_F_FEV1</v>
      </c>
      <c r="S60" s="75">
        <f>G56</f>
        <v>0.13</v>
      </c>
      <c r="T60" s="2">
        <v>126</v>
      </c>
      <c r="U60" s="102">
        <f>W60/G56*H56</f>
        <v>4.0227646162731806E-2</v>
      </c>
      <c r="V60" s="76" t="str">
        <f>I56</f>
        <v>p&lt;0.01 **</v>
      </c>
      <c r="W60" s="74">
        <f>0.5*LN((1+S60)/(1-S60))</f>
        <v>0.13073985002887836</v>
      </c>
      <c r="X60" s="74">
        <f>S60-(EXP(2*Z60)-1)/(EXP(2*Z60)+1)</f>
        <v>7.8152868714209678E-2</v>
      </c>
      <c r="Y60" s="74">
        <f>(EXP(2*AA60)-1)/(EXP(2*AA60)+1)-S60</f>
        <v>7.6570234490106637E-2</v>
      </c>
      <c r="Z60" s="74">
        <f>W60-AB60</f>
        <v>5.189366354992403E-2</v>
      </c>
      <c r="AA60" s="74">
        <f>W60+AB60</f>
        <v>0.2095860365078327</v>
      </c>
      <c r="AB60" s="74">
        <f>1.96*U60</f>
        <v>7.8846186478954333E-2</v>
      </c>
      <c r="AC60" s="78">
        <f>IF(W60&lt;&gt;"",ABS(W60/U60^2),"")</f>
        <v>80.790210465033496</v>
      </c>
      <c r="AD60" s="78"/>
      <c r="AE60" s="78">
        <f>U60^-2</f>
        <v>617.94632965532867</v>
      </c>
      <c r="AF60" s="79" t="str">
        <f>CONCATENATE(ROUND(S60,2),", (",ROUND(-(X60-S60),2),", ",ROUND(Y60+S60,2),")")</f>
        <v>0.13, (0.05, 0.21)</v>
      </c>
      <c r="AG60" s="78">
        <f t="shared" si="35"/>
        <v>24.858526296933388</v>
      </c>
      <c r="AH60" s="2">
        <f t="shared" si="36"/>
        <v>3.0999999999999996</v>
      </c>
      <c r="AI60" s="78">
        <f t="shared" si="37"/>
        <v>0.43317888379841746</v>
      </c>
      <c r="AJ60" s="85">
        <f t="shared" si="38"/>
        <v>9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x14ac:dyDescent="0.25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-0.02</v>
      </c>
      <c r="H61" s="13">
        <v>0.08</v>
      </c>
      <c r="I61" s="14" t="s">
        <v>16</v>
      </c>
      <c r="J61" s="12"/>
      <c r="K61" s="13"/>
      <c r="L61" s="14"/>
      <c r="M61" s="12"/>
      <c r="N61" s="16"/>
      <c r="O61" s="14"/>
      <c r="Q61" s="2" t="str">
        <f>CONCATENATE(B61,"_",E61,"_",D61,"_",C61)</f>
        <v>MAP_Men_Digit_Ord_FEV1</v>
      </c>
      <c r="S61" s="75">
        <f>G61</f>
        <v>-0.02</v>
      </c>
      <c r="T61" s="74">
        <v>125</v>
      </c>
      <c r="U61" s="102">
        <f>W61/G61*H61</f>
        <v>8.0010669227398495E-2</v>
      </c>
      <c r="V61" s="76" t="str">
        <f>I61</f>
        <v>p=0.74</v>
      </c>
      <c r="W61" s="74">
        <f>0.5*LN((1+S61)/(1-S61))</f>
        <v>-2.0002667306849624E-2</v>
      </c>
      <c r="X61" s="74">
        <f>S61-(EXP(2*Z61)-1)/(EXP(2*Z61)+1)</f>
        <v>0.15500344987819586</v>
      </c>
      <c r="Y61" s="74">
        <f>(EXP(2*AA61)-1)/(EXP(2*AA61)+1)-S61</f>
        <v>0.15597087781504498</v>
      </c>
      <c r="Z61" s="74">
        <f>W61-AB61</f>
        <v>-0.17682357899255069</v>
      </c>
      <c r="AA61" s="74">
        <f>W61+AB61</f>
        <v>0.13681824437885143</v>
      </c>
      <c r="AB61" s="74">
        <f>1.96*U61</f>
        <v>0.15682091168570106</v>
      </c>
      <c r="AC61" s="78">
        <f>IF(W61&lt;&gt;"",ABS(W61/U61^2),"")</f>
        <v>3.1245832888795677</v>
      </c>
      <c r="AD61" s="78"/>
      <c r="AE61" s="78">
        <f>U61^-2</f>
        <v>156.2083316663273</v>
      </c>
      <c r="AF61" s="79" t="str">
        <f>CONCATENATE(ROUND(S61,2),", (",ROUND(-(X61-S61),2),", ",ROUND(Y61+S61,2),")")</f>
        <v>-0.02, (-0.18, 0.14)</v>
      </c>
      <c r="AG61" s="78">
        <f t="shared" si="35"/>
        <v>12.498333155518269</v>
      </c>
      <c r="AH61" s="2">
        <f t="shared" si="36"/>
        <v>-0.25</v>
      </c>
      <c r="AI61" s="78">
        <f t="shared" si="37"/>
        <v>1.2713713036234904</v>
      </c>
      <c r="AJ61" s="85">
        <f t="shared" si="38"/>
        <v>5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x14ac:dyDescent="0.25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7">
        <v>0.18</v>
      </c>
      <c r="H62" s="18">
        <v>0.05</v>
      </c>
      <c r="I62" s="14" t="s">
        <v>72</v>
      </c>
      <c r="J62" s="17"/>
      <c r="K62" s="18"/>
      <c r="L62" s="14"/>
      <c r="M62" s="19"/>
      <c r="N62" s="18"/>
      <c r="O62" s="14"/>
      <c r="Q62" s="2" t="str">
        <f>CONCATENATE(B62,"_",E62,"_",D62,"_",C62)</f>
        <v>MAP_Women_Digit_Ord_FEV1</v>
      </c>
      <c r="S62" s="75">
        <f>G62</f>
        <v>0.18</v>
      </c>
      <c r="T62" s="2">
        <v>124</v>
      </c>
      <c r="U62" s="102">
        <f>W62/G62*H62</f>
        <v>5.0550746833529371E-2</v>
      </c>
      <c r="V62" s="76" t="str">
        <f>I62</f>
        <v>p&lt;.001 ***</v>
      </c>
      <c r="W62" s="74">
        <f>0.5*LN((1+S62)/(1-S62))</f>
        <v>0.18198268860070574</v>
      </c>
      <c r="X62" s="74">
        <f>S62-(EXP(2*Z62)-1)/(EXP(2*Z62)+1)</f>
        <v>9.728618425025097E-2</v>
      </c>
      <c r="Y62" s="74">
        <f>(EXP(2*AA62)-1)/(EXP(2*AA62)+1)-S62</f>
        <v>9.3887841599950728E-2</v>
      </c>
      <c r="Z62" s="74">
        <f>W62-AB62</f>
        <v>8.2903224806988168E-2</v>
      </c>
      <c r="AA62" s="74">
        <f>W62+AB62</f>
        <v>0.28106215239442334</v>
      </c>
      <c r="AB62" s="74">
        <f>1.96*U62</f>
        <v>9.907946379371757E-2</v>
      </c>
      <c r="AC62" s="78">
        <f>IF(W62&lt;&gt;"",ABS(W62/U62^2),"")</f>
        <v>71.21556506089415</v>
      </c>
      <c r="AD62" s="78"/>
      <c r="AE62" s="78">
        <f>U62^-2</f>
        <v>391.33153602950983</v>
      </c>
      <c r="AF62" s="79" t="str">
        <f>CONCATENATE(ROUND(S62,2),", (",ROUND(-(X62-S62),2),", ",ROUND(Y62+S62,2),")")</f>
        <v>0.18, (0.08, 0.27)</v>
      </c>
      <c r="AG62" s="78">
        <f t="shared" si="35"/>
        <v>19.782101405803932</v>
      </c>
      <c r="AH62" s="2">
        <f t="shared" si="36"/>
        <v>3.5999999999999996</v>
      </c>
      <c r="AI62" s="78">
        <f t="shared" si="37"/>
        <v>0.70012494793835889</v>
      </c>
      <c r="AJ62" s="85">
        <f t="shared" si="38"/>
        <v>7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x14ac:dyDescent="0.25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0.01</v>
      </c>
      <c r="H63" s="13">
        <v>0.12</v>
      </c>
      <c r="I63" s="14" t="s">
        <v>35</v>
      </c>
      <c r="J63" s="12"/>
      <c r="K63" s="13"/>
      <c r="L63" s="14"/>
      <c r="M63" s="12"/>
      <c r="N63" s="16"/>
      <c r="O63" s="14"/>
      <c r="Q63" s="2" t="str">
        <f>CONCATENATE(B49,"_",E49,"_",D49,"_",C49)</f>
        <v>NAS_Men_Digit_B_FEV1</v>
      </c>
      <c r="S63" s="75">
        <f>G49</f>
        <v>0.03</v>
      </c>
      <c r="T63" s="74">
        <v>123</v>
      </c>
      <c r="U63" s="102">
        <f>W63/G49*H49</f>
        <v>5.0015008105210791E-2</v>
      </c>
      <c r="V63" s="76" t="str">
        <f>I49</f>
        <v>p=0.59</v>
      </c>
      <c r="W63" s="74">
        <f t="shared" si="39"/>
        <v>3.0009004863126475E-2</v>
      </c>
      <c r="X63" s="74">
        <f t="shared" si="40"/>
        <v>9.7915699733533978E-2</v>
      </c>
      <c r="Y63" s="74">
        <f t="shared" si="41"/>
        <v>9.7343298341990042E-2</v>
      </c>
      <c r="Z63" s="74">
        <f t="shared" si="42"/>
        <v>-6.8020411023086674E-2</v>
      </c>
      <c r="AA63" s="74">
        <f t="shared" si="43"/>
        <v>0.12803842074933963</v>
      </c>
      <c r="AB63" s="74">
        <f t="shared" si="44"/>
        <v>9.8029415886213153E-2</v>
      </c>
      <c r="AC63" s="78">
        <f t="shared" si="45"/>
        <v>11.99639913559245</v>
      </c>
      <c r="AD63" s="78"/>
      <c r="AE63" s="78">
        <f t="shared" si="46"/>
        <v>399.75997839012012</v>
      </c>
      <c r="AF63" s="79" t="str">
        <f t="shared" si="47"/>
        <v>0.03, (-0.07, 0.13)</v>
      </c>
      <c r="AG63" s="78">
        <f t="shared" si="35"/>
        <v>19.993998559320744</v>
      </c>
      <c r="AH63" s="2">
        <f t="shared" si="36"/>
        <v>8.3333333333333343E-2</v>
      </c>
      <c r="AI63" s="78">
        <f t="shared" si="37"/>
        <v>0.48146605581007929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x14ac:dyDescent="0.25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7">
        <v>0.13</v>
      </c>
      <c r="H64" s="18">
        <v>0.09</v>
      </c>
      <c r="I64" s="14" t="s">
        <v>105</v>
      </c>
      <c r="J64" s="17"/>
      <c r="K64" s="18"/>
      <c r="L64" s="14"/>
      <c r="M64" s="19"/>
      <c r="N64" s="18"/>
      <c r="O64" s="14"/>
      <c r="Q64" s="2" t="str">
        <f>CONCATENATE(B54,"_",E54,"_",D54,"_",C54)</f>
        <v>NAS_Men_Digit_B_Span_FEV1</v>
      </c>
      <c r="S64" s="75">
        <f>G54</f>
        <v>0.04</v>
      </c>
      <c r="T64" s="2">
        <v>122</v>
      </c>
      <c r="U64" s="102">
        <f>W64/G54*H54</f>
        <v>5.0026692295960351E-2</v>
      </c>
      <c r="V64" s="76" t="str">
        <f>I54</f>
        <v>p=0.52</v>
      </c>
      <c r="W64" s="74">
        <f>0.5*LN((1+S64)/(1-S64))</f>
        <v>4.0021353836768282E-2</v>
      </c>
      <c r="X64" s="74">
        <f>S64-(EXP(2*Z64)-1)/(EXP(2*Z64)+1)</f>
        <v>9.7965909143257326E-2</v>
      </c>
      <c r="Y64" s="74">
        <f>(EXP(2*AA64)-1)/(EXP(2*AA64)+1)-S64</f>
        <v>9.7202882798330864E-2</v>
      </c>
      <c r="Z64" s="74">
        <f>W64-AB64</f>
        <v>-5.8030963063314005E-2</v>
      </c>
      <c r="AA64" s="74">
        <f>W64+AB64</f>
        <v>0.13807367073685056</v>
      </c>
      <c r="AB64" s="74">
        <f>1.96*U64</f>
        <v>9.8052316900082287E-2</v>
      </c>
      <c r="AC64" s="78">
        <f>IF(W64&lt;&gt;"",ABS(W64/U64^2),"")</f>
        <v>15.99146302272317</v>
      </c>
      <c r="AD64" s="78"/>
      <c r="AE64" s="78">
        <f>U64^-2</f>
        <v>399.57326501112885</v>
      </c>
      <c r="AF64" s="79" t="str">
        <f>CONCATENATE(ROUND(S64,2),", (",ROUND(-(X64-S64),2),", ",ROUND(Y64+S64,2),")")</f>
        <v>0.04, (-0.06, 0.14)</v>
      </c>
      <c r="AG64" s="78">
        <f t="shared" si="35"/>
        <v>19.989328778403962</v>
      </c>
      <c r="AH64" s="2">
        <f t="shared" si="36"/>
        <v>1.4444444444444446</v>
      </c>
      <c r="AI64" s="78">
        <f t="shared" si="37"/>
        <v>0.3502707205331112</v>
      </c>
      <c r="AJ64" s="85">
        <f t="shared" si="38"/>
        <v>7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.1" customHeight="1" x14ac:dyDescent="0.25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0.16</v>
      </c>
      <c r="H65" s="13">
        <v>0.04</v>
      </c>
      <c r="I65" s="14" t="s">
        <v>27</v>
      </c>
      <c r="J65" s="12"/>
      <c r="K65" s="13"/>
      <c r="L65" s="14"/>
      <c r="M65" s="12"/>
      <c r="N65" s="16"/>
      <c r="O65" s="14"/>
      <c r="Q65" s="2" t="str">
        <f>CONCATENATE(B52,"_",E52,"_",D52,"_",C52)</f>
        <v>SATSA_Men_Digit_B_FEV1</v>
      </c>
      <c r="S65" s="75">
        <f>G52</f>
        <v>0.2</v>
      </c>
      <c r="T65" s="74">
        <v>121</v>
      </c>
      <c r="U65" s="102">
        <f>W65/G52*H52</f>
        <v>9.1229649324336928E-2</v>
      </c>
      <c r="V65" s="76" t="str">
        <f>I52</f>
        <v>p=0.03 *</v>
      </c>
      <c r="W65" s="74">
        <f t="shared" si="39"/>
        <v>0.20273255405408211</v>
      </c>
      <c r="X65" s="74">
        <f t="shared" si="40"/>
        <v>0.17608212104766782</v>
      </c>
      <c r="Y65" s="74">
        <f t="shared" si="41"/>
        <v>0.16404643588867274</v>
      </c>
      <c r="Z65" s="74">
        <f t="shared" si="42"/>
        <v>2.3922441378381731E-2</v>
      </c>
      <c r="AA65" s="74">
        <f t="shared" si="43"/>
        <v>0.38154266672978249</v>
      </c>
      <c r="AB65" s="74">
        <f t="shared" si="44"/>
        <v>0.17881011267570038</v>
      </c>
      <c r="AC65" s="78">
        <f t="shared" si="45"/>
        <v>24.358552714828974</v>
      </c>
      <c r="AD65" s="78"/>
      <c r="AE65" s="78">
        <f t="shared" si="46"/>
        <v>120.1511657981231</v>
      </c>
      <c r="AF65" s="79" t="str">
        <f t="shared" si="47"/>
        <v>0.2, (0.02, 0.36)</v>
      </c>
      <c r="AG65" s="78">
        <f t="shared" si="35"/>
        <v>10.961348721673037</v>
      </c>
      <c r="AH65" s="2">
        <f t="shared" si="36"/>
        <v>4</v>
      </c>
      <c r="AI65" s="78">
        <f t="shared" si="37"/>
        <v>1.7898920717190955E-2</v>
      </c>
      <c r="AJ65" s="85">
        <f t="shared" si="38"/>
        <v>4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.1" customHeight="1" x14ac:dyDescent="0.25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7">
        <v>0.13</v>
      </c>
      <c r="H66" s="18">
        <v>0.03</v>
      </c>
      <c r="I66" s="14" t="s">
        <v>27</v>
      </c>
      <c r="J66" s="17"/>
      <c r="K66" s="18"/>
      <c r="L66" s="14"/>
      <c r="M66" s="19"/>
      <c r="N66" s="18"/>
      <c r="O66" s="14"/>
      <c r="Q66" s="2" t="str">
        <f>CONCATENATE(B53,"_",E53,"_",D53,"_",C53)</f>
        <v>SATSA_Women_Digit_B_FEV1</v>
      </c>
      <c r="S66" s="75">
        <f>G53</f>
        <v>0.09</v>
      </c>
      <c r="T66" s="2">
        <v>120</v>
      </c>
      <c r="U66" s="102">
        <f>W66/G53*H53</f>
        <v>0.10027131984016313</v>
      </c>
      <c r="V66" s="76" t="str">
        <f>I53</f>
        <v>p=0.37</v>
      </c>
      <c r="W66" s="74">
        <f t="shared" si="39"/>
        <v>9.024418785614681E-2</v>
      </c>
      <c r="X66" s="74">
        <f t="shared" si="40"/>
        <v>0.19588915386476796</v>
      </c>
      <c r="Y66" s="74">
        <f t="shared" si="41"/>
        <v>0.18916472866557019</v>
      </c>
      <c r="Z66" s="74">
        <f t="shared" si="42"/>
        <v>-0.10628759903057293</v>
      </c>
      <c r="AA66" s="74">
        <f t="shared" si="43"/>
        <v>0.28677597474286654</v>
      </c>
      <c r="AB66" s="74">
        <f t="shared" si="44"/>
        <v>0.19653178688671974</v>
      </c>
      <c r="AC66" s="78">
        <f t="shared" si="45"/>
        <v>8.9756472881242537</v>
      </c>
      <c r="AD66" s="78"/>
      <c r="AE66" s="78">
        <f t="shared" si="46"/>
        <v>99.459560791126293</v>
      </c>
      <c r="AF66" s="79" t="str">
        <f t="shared" si="47"/>
        <v>0.09, (-0.11, 0.28)</v>
      </c>
      <c r="AG66" s="78">
        <f t="shared" si="35"/>
        <v>9.972941431249172</v>
      </c>
      <c r="AH66" s="2">
        <f t="shared" si="36"/>
        <v>4.3333333333333339</v>
      </c>
      <c r="AI66" s="78">
        <f t="shared" si="37"/>
        <v>0.29248229904206591</v>
      </c>
      <c r="AJ66" s="85">
        <f t="shared" si="38"/>
        <v>4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5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-0.42</v>
      </c>
      <c r="H67" s="13">
        <v>0.11</v>
      </c>
      <c r="I67" s="14" t="s">
        <v>27</v>
      </c>
      <c r="J67" s="12"/>
      <c r="K67" s="13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0.15</v>
      </c>
      <c r="T67" s="74">
        <v>119</v>
      </c>
      <c r="U67" s="102">
        <f>W67/G59*H59</f>
        <v>9.0684261561880058E-2</v>
      </c>
      <c r="V67" s="76" t="str">
        <f>I59</f>
        <v>p=0.11</v>
      </c>
      <c r="W67" s="74">
        <f t="shared" si="39"/>
        <v>0.15114043593646675</v>
      </c>
      <c r="X67" s="74">
        <f t="shared" si="40"/>
        <v>0.17659444429435003</v>
      </c>
      <c r="Y67" s="74">
        <f t="shared" si="41"/>
        <v>0.16751547676590647</v>
      </c>
      <c r="Z67" s="74">
        <f t="shared" si="42"/>
        <v>-2.6600716724818146E-2</v>
      </c>
      <c r="AA67" s="74">
        <f t="shared" si="43"/>
        <v>0.32888158859775163</v>
      </c>
      <c r="AB67" s="74">
        <f t="shared" si="44"/>
        <v>0.1777411526612849</v>
      </c>
      <c r="AC67" s="78">
        <f t="shared" si="45"/>
        <v>18.37878632919546</v>
      </c>
      <c r="AD67" s="78"/>
      <c r="AE67" s="78">
        <f t="shared" si="46"/>
        <v>121.6007232963199</v>
      </c>
      <c r="AF67" s="79" t="str">
        <f t="shared" si="47"/>
        <v>0.15, (-0.03, 0.32)</v>
      </c>
      <c r="AG67" s="78">
        <f t="shared" si="35"/>
        <v>11.027271797517278</v>
      </c>
      <c r="AH67" s="2">
        <f t="shared" si="36"/>
        <v>-3.8181818181818179</v>
      </c>
      <c r="AI67" s="78">
        <f t="shared" si="37"/>
        <v>2.2398074876208977E-2</v>
      </c>
      <c r="AJ67" s="85">
        <f t="shared" si="38"/>
        <v>4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5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7">
        <v>-0.13</v>
      </c>
      <c r="H68" s="18">
        <v>0.09</v>
      </c>
      <c r="I68" s="14" t="s">
        <v>70</v>
      </c>
      <c r="J68" s="17"/>
      <c r="K68" s="18"/>
      <c r="L68" s="14"/>
      <c r="M68" s="19"/>
      <c r="N68" s="18"/>
      <c r="O68" s="14"/>
      <c r="Q68" s="2" t="str">
        <f>CONCATENATE(B60,"_",E60,"_",D60,"_",C60)</f>
        <v>SATSA_Women_Digit_F_FEV1</v>
      </c>
      <c r="S68" s="75">
        <f>G60</f>
        <v>0.31</v>
      </c>
      <c r="T68" s="2">
        <v>118</v>
      </c>
      <c r="U68" s="102">
        <f>W68/G60*H60</f>
        <v>0.10340174493611165</v>
      </c>
      <c r="V68" s="76" t="str">
        <f>I60</f>
        <v>p&lt;0.01 ***</v>
      </c>
      <c r="W68" s="74">
        <f t="shared" si="39"/>
        <v>0.32054540930194614</v>
      </c>
      <c r="X68" s="74">
        <f t="shared" si="40"/>
        <v>0.19266497334988306</v>
      </c>
      <c r="Y68" s="74">
        <f t="shared" si="41"/>
        <v>0.17017587415671781</v>
      </c>
      <c r="Z68" s="74">
        <f t="shared" si="42"/>
        <v>0.1178779892271673</v>
      </c>
      <c r="AA68" s="74">
        <f t="shared" si="43"/>
        <v>0.52321282937672497</v>
      </c>
      <c r="AB68" s="74">
        <f t="shared" si="44"/>
        <v>0.20266742007477884</v>
      </c>
      <c r="AC68" s="78">
        <f t="shared" si="45"/>
        <v>29.980151707453125</v>
      </c>
      <c r="AD68" s="78"/>
      <c r="AE68" s="78">
        <f t="shared" si="46"/>
        <v>93.528563621426059</v>
      </c>
      <c r="AF68" s="79" t="str">
        <f t="shared" si="47"/>
        <v>0.31, (0.12, 0.48)</v>
      </c>
      <c r="AG68" s="78">
        <f t="shared" ref="AG68" si="48">1/AB68</f>
        <v>4.9341921835834635</v>
      </c>
      <c r="AH68" s="2">
        <f t="shared" si="36"/>
        <v>-1.4444444444444446</v>
      </c>
      <c r="AI68" s="78">
        <f>(Z68/1.96)^2*AE68</f>
        <v>0.33829654310703888</v>
      </c>
      <c r="AJ68" s="85">
        <f t="shared" si="38"/>
        <v>3</v>
      </c>
    </row>
    <row r="69" spans="1:75" x14ac:dyDescent="0.25">
      <c r="A69" s="22"/>
      <c r="B69" s="11"/>
      <c r="C69" s="11"/>
      <c r="D69" s="11"/>
      <c r="E69" s="11"/>
      <c r="F69" s="11"/>
      <c r="G69" s="17"/>
      <c r="H69" s="18"/>
      <c r="I69" s="14"/>
      <c r="J69" s="17"/>
      <c r="K69" s="18"/>
      <c r="L69" s="14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18"/>
      <c r="AI69" s="78"/>
      <c r="AJ69" s="85"/>
    </row>
    <row r="70" spans="1:75" x14ac:dyDescent="0.25">
      <c r="A70" s="22"/>
      <c r="B70" s="11"/>
      <c r="C70" s="11"/>
      <c r="D70" s="11"/>
      <c r="E70" s="11"/>
      <c r="F70" s="11"/>
      <c r="G70" s="17"/>
      <c r="H70" s="18"/>
      <c r="I70" s="14"/>
      <c r="J70" s="17"/>
      <c r="K70" s="18"/>
      <c r="L70" s="14"/>
      <c r="M70" s="19"/>
      <c r="N70" s="18"/>
      <c r="O70" s="14"/>
      <c r="Q70" s="2" t="s">
        <v>323</v>
      </c>
      <c r="S70" s="84">
        <f>(EXP(2*AD70)-1)/(EXP(2*AD70)+1)</f>
        <v>0.11205579657958432</v>
      </c>
      <c r="T70" s="2">
        <v>116</v>
      </c>
      <c r="U70" s="103">
        <f>1/SQRT(AD70*AE70)</f>
        <v>6.0059035654062343E-2</v>
      </c>
      <c r="V70" s="80">
        <f>1/SQRT(AE70)</f>
        <v>2.0146952932073074E-2</v>
      </c>
      <c r="W70" s="74">
        <f>0.5*LN((1+S70)/(1-S70))</f>
        <v>0.1125283716499514</v>
      </c>
      <c r="X70" s="74">
        <f>S70-(EXP(2*Z70)-1)/(EXP(2*Z70)+1)</f>
        <v>0.1172430882843038</v>
      </c>
      <c r="Y70" s="74">
        <f>(EXP(2*AA70)-1)/(EXP(2*AA70)+1)-S70</f>
        <v>0.11420415461275905</v>
      </c>
      <c r="Z70" s="74">
        <f>W70-AB70</f>
        <v>-5.1873382320107853E-3</v>
      </c>
      <c r="AA70" s="74">
        <f>W70+AB70</f>
        <v>0.23024408153191359</v>
      </c>
      <c r="AB70" s="74">
        <f>1.96*U70</f>
        <v>0.11771570988196219</v>
      </c>
      <c r="AC70" s="78">
        <f>SUM(AC55,AC67,AC61,AC47,AC49,AC51,AC59,AC53,AC64,AC63,AC57,AC65)</f>
        <v>277.2319570553974</v>
      </c>
      <c r="AD70" s="78">
        <f>AC70/AE70</f>
        <v>0.11252837164995139</v>
      </c>
      <c r="AE70" s="78">
        <f>SUM(AE55,AE67,AE61,AE47,AE49,AE51,AE59,AE53,AE64,AE63,AE57,AE65)</f>
        <v>2463.6627455856124</v>
      </c>
      <c r="AF70" s="79" t="str">
        <f>CONCATENATE(ROUND(S70,2),", (",ROUND(-(X70-S70),2),", ",ROUND(Y70+S70,2),")")</f>
        <v>0.11, (-0.01, 0.23)</v>
      </c>
      <c r="AG70" s="78">
        <f>SUM(AG55,AG67,AG61,AG47,AG49,AG51,AG59,AG53,AG64,AG63,AG57,AG65)</f>
        <v>159.09804231645214</v>
      </c>
      <c r="AH70" s="18"/>
      <c r="AI70" s="78">
        <f>SUM(AI55,AI67,AI61,AI47,AI49,AI51,AI59,AI53,AI64,AI63,AI57,AI65)</f>
        <v>14.846403481853603</v>
      </c>
      <c r="AJ70"/>
      <c r="AK70" s="81">
        <f>AK74-AK72</f>
        <v>12</v>
      </c>
      <c r="AL70">
        <f>CHIDIST(AI70,AK70-1)</f>
        <v>0.18963720193793171</v>
      </c>
      <c r="AM70" s="82">
        <f>IF((AI70-AK70+1)/AI70&lt;0,0,(AI70-AK70+1)/AI70)</f>
        <v>0.25907981596721175</v>
      </c>
      <c r="AN70" s="74"/>
      <c r="AO70" s="77">
        <f>S70-Y70</f>
        <v>-2.1483580331747298E-3</v>
      </c>
      <c r="AP70">
        <f>S70+Z70</f>
        <v>0.10686845834757354</v>
      </c>
    </row>
    <row r="71" spans="1:75" x14ac:dyDescent="0.25">
      <c r="A71" s="22"/>
      <c r="B71" s="11"/>
      <c r="C71" s="11"/>
      <c r="D71" s="11"/>
      <c r="E71" s="11"/>
      <c r="F71" s="11"/>
      <c r="G71" s="17"/>
      <c r="H71" s="18"/>
      <c r="I71" s="14"/>
      <c r="J71" s="17"/>
      <c r="K71" s="18"/>
      <c r="L71" s="14"/>
      <c r="M71" s="19"/>
      <c r="N71" s="18"/>
      <c r="O71" s="14"/>
      <c r="T71" s="74">
        <v>115</v>
      </c>
      <c r="U71" s="75"/>
      <c r="AH71" s="18"/>
    </row>
    <row r="72" spans="1:75" x14ac:dyDescent="0.25">
      <c r="A72" s="22"/>
      <c r="B72" s="11"/>
      <c r="C72" s="11"/>
      <c r="D72" s="11"/>
      <c r="E72" s="11"/>
      <c r="F72" s="11"/>
      <c r="G72" s="17"/>
      <c r="H72" s="18"/>
      <c r="I72" s="14"/>
      <c r="J72" s="17"/>
      <c r="K72" s="18"/>
      <c r="L72" s="14"/>
      <c r="M72" s="19"/>
      <c r="N72" s="18"/>
      <c r="O72" s="14"/>
      <c r="Q72" s="2" t="s">
        <v>322</v>
      </c>
      <c r="S72" s="84">
        <f>(EXP(2*AD72)-1)/(EXP(2*AD72)+1)</f>
        <v>0.13514057224681461</v>
      </c>
      <c r="T72" s="2">
        <v>114</v>
      </c>
      <c r="U72" s="103">
        <f>1/SQRT(AD72*AE72)</f>
        <v>4.7052744407454133E-2</v>
      </c>
      <c r="V72" s="80">
        <f>1/SQRT(AE72)</f>
        <v>1.7350433673774014E-2</v>
      </c>
      <c r="W72" s="74">
        <f>0.5*LN((1+S72)/(1-S72))</f>
        <v>0.13597239599439531</v>
      </c>
      <c r="X72" s="74">
        <f>S72-(EXP(2*Z72)-1)/(EXP(2*Z72)+1)</f>
        <v>9.1419445468658864E-2</v>
      </c>
      <c r="Y72" s="74">
        <f>(EXP(2*AA72)-1)/(EXP(2*AA72)+1)-S72</f>
        <v>8.9175034172711304E-2</v>
      </c>
      <c r="Z72" s="74">
        <f>W72-AB72</f>
        <v>4.3749016955785217E-2</v>
      </c>
      <c r="AA72" s="74">
        <f>W72+AB72</f>
        <v>0.22819577503300542</v>
      </c>
      <c r="AB72" s="74">
        <f>1.96*U72</f>
        <v>9.2223379038610095E-2</v>
      </c>
      <c r="AC72" s="78">
        <f>SUM(AC56,AC68,AC62,AC48,AC52,AC50,AC60,AC58,AC54,AC66)</f>
        <v>451.67918950980652</v>
      </c>
      <c r="AD72" s="78">
        <f>AC72/AE72</f>
        <v>0.13597239599439531</v>
      </c>
      <c r="AE72" s="78">
        <f>SUM(AE56,AE68,AE62,AE48,AE52,AE50,AE60,AE58,AE54,AE66)</f>
        <v>3321.844748020947</v>
      </c>
      <c r="AF72" s="79" t="str">
        <f>CONCATENATE(ROUND(S72,2),", (",ROUND(-(X72-S72),2),", ",ROUND(Y72+S72,2),")")</f>
        <v>0.14, (0.04, 0.22)</v>
      </c>
      <c r="AG72" s="78">
        <f>SUM(AG56,AG68,AG62,AG48,AG52,AG50,AG60,AG58,AG54,AG66)</f>
        <v>157.27696627115407</v>
      </c>
      <c r="AH72" s="18"/>
      <c r="AI72" s="78">
        <f>SUM(AI56,AI68,AI62,AI48,AI52,AI50,AI60,AI58,AI54,AI66)</f>
        <v>7.6842768826825427</v>
      </c>
      <c r="AJ72"/>
      <c r="AK72" s="81">
        <f>COUNT(AI56,AI68,AI62,AI48,AI52,AI50,AI60,AI58,AI54,AI66)</f>
        <v>10</v>
      </c>
      <c r="AL72">
        <f>CHIDIST(AI72,AK72-1)</f>
        <v>0.56624966818063105</v>
      </c>
      <c r="AM72" s="82">
        <f>IF((AI72-AK72+1)/AI72&lt;0,0,(AI72-AK72+1)/AI72)</f>
        <v>0</v>
      </c>
      <c r="AN72" s="74"/>
      <c r="AO72" s="77">
        <f>S72-Y72</f>
        <v>4.5965538074103307E-2</v>
      </c>
      <c r="AP72">
        <f>S72+Z72</f>
        <v>0.17888958920259984</v>
      </c>
    </row>
    <row r="73" spans="1:75" x14ac:dyDescent="0.25">
      <c r="A73" s="22"/>
      <c r="B73" s="11"/>
      <c r="C73" s="11"/>
      <c r="D73" s="11"/>
      <c r="E73" s="11"/>
      <c r="F73" s="11"/>
      <c r="G73" s="17"/>
      <c r="H73" s="18"/>
      <c r="I73" s="14"/>
      <c r="J73" s="17"/>
      <c r="K73" s="18"/>
      <c r="L73" s="14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1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5">
      <c r="A74" s="22"/>
      <c r="B74" s="11"/>
      <c r="C74" s="11"/>
      <c r="D74" s="11"/>
      <c r="E74" s="11"/>
      <c r="F74" s="11"/>
      <c r="G74" s="17"/>
      <c r="H74" s="18"/>
      <c r="I74" s="14"/>
      <c r="J74" s="17"/>
      <c r="K74" s="18"/>
      <c r="L74" s="14"/>
      <c r="M74" s="19"/>
      <c r="N74" s="18"/>
      <c r="O74" s="14"/>
      <c r="Q74" s="2" t="s">
        <v>185</v>
      </c>
      <c r="S74" s="84">
        <f>(EXP(2*AD74)-1)/(EXP(2*AD74)+1)</f>
        <v>0.1253267315611756</v>
      </c>
      <c r="T74" s="2">
        <v>112</v>
      </c>
      <c r="U74" s="103">
        <f>1/SQRT(AD74*AE74)</f>
        <v>3.703929435446781E-2</v>
      </c>
      <c r="V74" s="80">
        <f>1/SQRT(AE74)</f>
        <v>1.3147078914976537E-2</v>
      </c>
      <c r="W74" s="74">
        <f>0.5*LN((1+S74)/(1-S74))</f>
        <v>0.12598914570082365</v>
      </c>
      <c r="X74" s="74">
        <f>S74-(EXP(2*Z74)-1)/(EXP(2*Z74)+1)</f>
        <v>7.1985280334926988E-2</v>
      </c>
      <c r="Y74" s="74">
        <f>(EXP(2*AA74)-1)/(EXP(2*AA74)+1)-S74</f>
        <v>7.068945181509545E-2</v>
      </c>
      <c r="Z74" s="74">
        <f>W74-AB74</f>
        <v>5.3392128766066735E-2</v>
      </c>
      <c r="AA74" s="74">
        <f>W74+AB74</f>
        <v>0.19858616263558054</v>
      </c>
      <c r="AB74" s="74">
        <f>1.96*U74</f>
        <v>7.2597016934756911E-2</v>
      </c>
      <c r="AC74" s="78">
        <f>SUM(AC47:AC68)</f>
        <v>728.91114656520392</v>
      </c>
      <c r="AD74" s="78">
        <f>AC74/AE74</f>
        <v>0.12598914570082367</v>
      </c>
      <c r="AE74" s="78">
        <f>SUM(AE47:AE68)</f>
        <v>5785.5074936065594</v>
      </c>
      <c r="AF74" s="79" t="str">
        <f>CONCATENATE(ROUND(S74,2),", (",ROUND(-(X74-S74),2),", ",ROUND(Y74+S74,2),")")</f>
        <v>0.13, (0.05, 0.2)</v>
      </c>
      <c r="AG74" s="78">
        <f>SUM(AG47:AG68)</f>
        <v>316.37500858760626</v>
      </c>
      <c r="AH74" s="18"/>
      <c r="AI74" s="78">
        <f>SUM(AI47:AI68)</f>
        <v>22.530680364536142</v>
      </c>
      <c r="AJ74"/>
      <c r="AK74" s="81">
        <f>COUNT(AI47:AI68)</f>
        <v>22</v>
      </c>
      <c r="AL74">
        <f>CHIDIST(AI74,AK74-1)</f>
        <v>0.3695021872902855</v>
      </c>
      <c r="AM74" s="82">
        <f>IF((AI74-AK74+1)/AI74&lt;0,0,(AI74-AK74+1)/AI74)</f>
        <v>6.7937600630359626E-2</v>
      </c>
      <c r="AN74" s="74"/>
    </row>
    <row r="75" spans="1:75" x14ac:dyDescent="0.25">
      <c r="A75" s="22" t="s">
        <v>110</v>
      </c>
      <c r="B75" s="11"/>
      <c r="C75" s="11"/>
      <c r="D75" s="11"/>
      <c r="E75" s="11"/>
      <c r="F75" s="11"/>
      <c r="G75" s="17"/>
      <c r="H75" s="18"/>
      <c r="I75" s="14"/>
      <c r="J75" s="17"/>
      <c r="K75" s="18"/>
      <c r="L75" s="14"/>
      <c r="M75" s="19"/>
      <c r="N75" s="18"/>
      <c r="O75" s="14"/>
      <c r="T75" s="74">
        <v>111</v>
      </c>
      <c r="U75" s="75"/>
      <c r="AH75" s="18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5">
      <c r="A76" s="22"/>
      <c r="B76" s="11"/>
      <c r="C76" s="11"/>
      <c r="D76" s="11"/>
      <c r="E76" s="11"/>
      <c r="F76" s="11"/>
      <c r="G76" s="17"/>
      <c r="H76" s="18"/>
      <c r="I76" s="14"/>
      <c r="J76" s="17"/>
      <c r="K76" s="18"/>
      <c r="L76" s="14"/>
      <c r="M76" s="19"/>
      <c r="N76" s="18"/>
      <c r="O76" s="14"/>
      <c r="Q76" s="1" t="s">
        <v>110</v>
      </c>
      <c r="T76" s="2">
        <v>110</v>
      </c>
      <c r="U76" s="75"/>
      <c r="AH76" s="18"/>
    </row>
    <row r="77" spans="1:75" x14ac:dyDescent="0.25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0.31</v>
      </c>
      <c r="H77" s="13">
        <v>0.11</v>
      </c>
      <c r="I77" s="14" t="s">
        <v>45</v>
      </c>
      <c r="J77" s="12"/>
      <c r="K77" s="13"/>
      <c r="L77" s="14"/>
      <c r="M77" s="12"/>
      <c r="N77" s="16"/>
      <c r="O77" s="14"/>
      <c r="Q77" s="2" t="str">
        <f>CONCATENATE(B77,"_",E77,"_",D77,"_",C77)</f>
        <v>EAS_Men_Block_PEF</v>
      </c>
      <c r="S77" s="75">
        <f t="shared" ref="S77:S78" si="49">G77</f>
        <v>0.31</v>
      </c>
      <c r="T77" s="74">
        <v>109</v>
      </c>
      <c r="U77" s="102">
        <f>W77/G77*H77</f>
        <v>0.11374191942972281</v>
      </c>
      <c r="V77" s="76" t="str">
        <f t="shared" ref="V77:V78" si="50">I77</f>
        <v>p&lt;0.01 **</v>
      </c>
      <c r="W77" s="74">
        <f t="shared" ref="W77:W94" si="51">0.5*LN((1+S77)/(1-S77))</f>
        <v>0.32054540930194614</v>
      </c>
      <c r="X77" s="74">
        <f t="shared" ref="X77:X94" si="52">S77-(EXP(2*Z77)-1)/(EXP(2*Z77)+1)</f>
        <v>0.21269758768359021</v>
      </c>
      <c r="Y77" s="74">
        <f t="shared" ref="Y77:Y94" si="53">(EXP(2*AA77)-1)/(EXP(2*AA77)+1)-S77</f>
        <v>0.18561735197371576</v>
      </c>
      <c r="Z77" s="74">
        <f t="shared" ref="Z77:Z94" si="54">W77-AB77</f>
        <v>9.7611247219689445E-2</v>
      </c>
      <c r="AA77" s="74">
        <f t="shared" ref="AA77:AA94" si="55">W77+AB77</f>
        <v>0.54347957138420289</v>
      </c>
      <c r="AB77" s="74">
        <f t="shared" ref="AB77:AB94" si="56">1.96*U77</f>
        <v>0.22293416208225669</v>
      </c>
      <c r="AC77" s="78">
        <f t="shared" ref="AC77:AC94" si="57">IF(W77&lt;&gt;"",ABS(W77/U77^2),"")</f>
        <v>24.776984882192668</v>
      </c>
      <c r="AD77" s="78"/>
      <c r="AE77" s="78">
        <f t="shared" ref="AE77:AE94" si="58">U77^-2</f>
        <v>77.296333571426501</v>
      </c>
      <c r="AF77" s="79" t="str">
        <f t="shared" ref="AF77:AF94" si="59">CONCATENATE(ROUND(S77,2),", (",ROUND(-(X77-S77),2),", ",ROUND(Y77+S77,2),")")</f>
        <v>0.31, (0.1, 0.5)</v>
      </c>
      <c r="AG77" s="78">
        <f>1.96/AB77</f>
        <v>8.7918333452941724</v>
      </c>
      <c r="AH77" s="2">
        <f t="shared" ref="AH77:AH94" si="60">G77/H77</f>
        <v>2.8181818181818183</v>
      </c>
      <c r="AI77" s="78">
        <f t="shared" ref="AI77:AI94" si="61">(Z77/1.96)^2*AE77</f>
        <v>0.19171075412792898</v>
      </c>
      <c r="AJ77" s="85">
        <f t="shared" ref="AJ77:AJ94" si="62">ROUND(AG77/AG$100*100,0)+1</f>
        <v>5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5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7">
        <v>0.25</v>
      </c>
      <c r="H78" s="18">
        <v>0.1</v>
      </c>
      <c r="I78" s="14" t="s">
        <v>39</v>
      </c>
      <c r="J78" s="17"/>
      <c r="K78" s="18"/>
      <c r="L78" s="14"/>
      <c r="M78" s="19"/>
      <c r="N78" s="18"/>
      <c r="O78" s="14"/>
      <c r="Q78" s="2" t="str">
        <f>CONCATENATE(B78,"_",E78,"_",D78,"_",C78)</f>
        <v>EAS_Women_Block_PEF</v>
      </c>
      <c r="S78" s="75">
        <f t="shared" si="49"/>
        <v>0.25</v>
      </c>
      <c r="T78" s="2">
        <v>108</v>
      </c>
      <c r="U78" s="102">
        <f>W78/G78*H78</f>
        <v>0.10216512475319815</v>
      </c>
      <c r="V78" s="76" t="str">
        <f t="shared" si="50"/>
        <v>p=0.01 **</v>
      </c>
      <c r="W78" s="74">
        <f t="shared" si="51"/>
        <v>0.25541281188299536</v>
      </c>
      <c r="X78" s="74">
        <f t="shared" si="52"/>
        <v>0.1948867362143748</v>
      </c>
      <c r="Y78" s="74">
        <f t="shared" si="53"/>
        <v>0.17653750034180987</v>
      </c>
      <c r="Z78" s="74">
        <f t="shared" si="54"/>
        <v>5.5169167366726973E-2</v>
      </c>
      <c r="AA78" s="74">
        <f t="shared" si="55"/>
        <v>0.45565645639926378</v>
      </c>
      <c r="AB78" s="74">
        <f t="shared" si="56"/>
        <v>0.20024364451626839</v>
      </c>
      <c r="AC78" s="78">
        <f t="shared" si="57"/>
        <v>24.470189862140217</v>
      </c>
      <c r="AD78" s="78"/>
      <c r="AE78" s="78">
        <f t="shared" si="58"/>
        <v>95.80643070227039</v>
      </c>
      <c r="AF78" s="79" t="str">
        <f t="shared" si="59"/>
        <v>0.25, (0.06, 0.43)</v>
      </c>
      <c r="AG78" s="78">
        <f t="shared" ref="AG78:AG94" si="63">1.96/AB78</f>
        <v>9.7880759448560859</v>
      </c>
      <c r="AH78" s="2">
        <f t="shared" si="60"/>
        <v>2.5</v>
      </c>
      <c r="AI78" s="78">
        <f t="shared" si="61"/>
        <v>7.5905872553102813E-2</v>
      </c>
      <c r="AJ78" s="85">
        <f t="shared" si="62"/>
        <v>5</v>
      </c>
    </row>
    <row r="79" spans="1:75" x14ac:dyDescent="0.25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0.3</v>
      </c>
      <c r="H79" s="13">
        <v>0.12</v>
      </c>
      <c r="I79" s="14" t="s">
        <v>39</v>
      </c>
      <c r="J79" s="12"/>
      <c r="K79" s="13"/>
      <c r="L79" s="14"/>
      <c r="M79" s="12"/>
      <c r="N79" s="16"/>
      <c r="O79" s="14"/>
      <c r="Q79" s="2" t="str">
        <f>CONCATENATE(B89,"_",E89,"_",D89,"_",C89)</f>
        <v>LASA_Men_Raven_PEF</v>
      </c>
      <c r="S79" s="75">
        <f>G89</f>
        <v>0.18</v>
      </c>
      <c r="T79" s="74">
        <v>107</v>
      </c>
      <c r="U79" s="102">
        <f>W79/G89*H89</f>
        <v>5.0550746833529371E-2</v>
      </c>
      <c r="V79" s="76" t="str">
        <f>I89</f>
        <v>p&lt;0.01 ***</v>
      </c>
      <c r="W79" s="74">
        <f>0.5*LN((1+S79)/(1-S79))</f>
        <v>0.18198268860070574</v>
      </c>
      <c r="X79" s="74">
        <f>S79-(EXP(2*Z79)-1)/(EXP(2*Z79)+1)</f>
        <v>9.728618425025097E-2</v>
      </c>
      <c r="Y79" s="74">
        <f>(EXP(2*AA79)-1)/(EXP(2*AA79)+1)-S79</f>
        <v>9.3887841599950728E-2</v>
      </c>
      <c r="Z79" s="74">
        <f>W79-AB79</f>
        <v>8.2903224806988168E-2</v>
      </c>
      <c r="AA79" s="74">
        <f>W79+AB79</f>
        <v>0.28106215239442334</v>
      </c>
      <c r="AB79" s="74">
        <f>1.96*U79</f>
        <v>9.907946379371757E-2</v>
      </c>
      <c r="AC79" s="78">
        <f>IF(W79&lt;&gt;"",ABS(W79/U79^2),"")</f>
        <v>71.21556506089415</v>
      </c>
      <c r="AD79" s="78"/>
      <c r="AE79" s="78">
        <f>U79^-2</f>
        <v>391.33153602950983</v>
      </c>
      <c r="AF79" s="79" t="str">
        <f>CONCATENATE(ROUND(S79,2),", (",ROUND(-(X79-S79),2),", ",ROUND(Y79+S79,2),")")</f>
        <v>0.18, (0.08, 0.27)</v>
      </c>
      <c r="AG79" s="78">
        <f t="shared" si="63"/>
        <v>19.782101405803932</v>
      </c>
      <c r="AH79" s="2">
        <f t="shared" si="60"/>
        <v>2.5</v>
      </c>
      <c r="AI79" s="78">
        <f t="shared" si="61"/>
        <v>0.70012494793835889</v>
      </c>
      <c r="AJ79" s="85">
        <f t="shared" si="62"/>
        <v>9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5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7">
        <v>0.24</v>
      </c>
      <c r="H80" s="18">
        <v>0.09</v>
      </c>
      <c r="I80" s="14" t="s">
        <v>39</v>
      </c>
      <c r="J80" s="17"/>
      <c r="K80" s="18"/>
      <c r="L80" s="14"/>
      <c r="M80" s="19"/>
      <c r="N80" s="18"/>
      <c r="O80" s="14"/>
      <c r="Q80" s="2" t="str">
        <f>CONCATENATE(B90,"_",E90,"_",D90,"_",C90)</f>
        <v>LASA_Women_Raven_PEF</v>
      </c>
      <c r="S80" s="75">
        <f>G90</f>
        <v>0.28999999999999998</v>
      </c>
      <c r="T80" s="2">
        <v>106</v>
      </c>
      <c r="U80" s="102">
        <f>W80/G90*H90</f>
        <v>5.1476942010375594E-2</v>
      </c>
      <c r="V80" s="76" t="str">
        <f>I90</f>
        <v>p&lt;0.01 ***</v>
      </c>
      <c r="W80" s="74">
        <f>0.5*LN((1+S80)/(1-S80))</f>
        <v>0.29856626366017841</v>
      </c>
      <c r="X80" s="74">
        <f>S80-(EXP(2*Z80)-1)/(EXP(2*Z80)+1)</f>
        <v>9.4863534302465302E-2</v>
      </c>
      <c r="Y80" s="74">
        <f>(EXP(2*AA80)-1)/(EXP(2*AA80)+1)-S80</f>
        <v>8.9487738446430376E-2</v>
      </c>
      <c r="Z80" s="74">
        <f>W80-AB80</f>
        <v>0.19767145731984226</v>
      </c>
      <c r="AA80" s="74">
        <f>W80+AB80</f>
        <v>0.39946107000051456</v>
      </c>
      <c r="AB80" s="74">
        <f>1.96*U80</f>
        <v>0.10089480634033617</v>
      </c>
      <c r="AC80" s="78">
        <f>IF(W80&lt;&gt;"",ABS(W80/U80^2),"")</f>
        <v>112.67180554025455</v>
      </c>
      <c r="AD80" s="78"/>
      <c r="AE80" s="78">
        <f>U80^-2</f>
        <v>377.37621176281033</v>
      </c>
      <c r="AF80" s="79" t="str">
        <f>CONCATENATE(ROUND(S80,2),", (",ROUND(-(X80-S80),2),", ",ROUND(Y80+S80,2),")")</f>
        <v>0.29, (0.2, 0.38)</v>
      </c>
      <c r="AG80" s="78">
        <f t="shared" si="63"/>
        <v>19.426173369009408</v>
      </c>
      <c r="AH80" s="2">
        <f t="shared" si="60"/>
        <v>2.6666666666666665</v>
      </c>
      <c r="AI80" s="78">
        <f t="shared" si="61"/>
        <v>3.8384006663890031</v>
      </c>
      <c r="AJ80" s="85">
        <f t="shared" si="62"/>
        <v>9</v>
      </c>
    </row>
    <row r="81" spans="1:72" x14ac:dyDescent="0.25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0.2</v>
      </c>
      <c r="H81" s="13">
        <v>0.08</v>
      </c>
      <c r="I81" s="14" t="s">
        <v>39</v>
      </c>
      <c r="J81" s="12"/>
      <c r="K81" s="13"/>
      <c r="L81" s="14"/>
      <c r="M81" s="12"/>
      <c r="N81" s="16"/>
      <c r="O81" s="14"/>
      <c r="Q81" s="2" t="str">
        <f>CONCATENATE(B79,"_",E79,"_",D79,"_",C79)</f>
        <v>OCTO_Men_Block_PEF</v>
      </c>
      <c r="S81" s="75">
        <f>G79</f>
        <v>0.3</v>
      </c>
      <c r="T81" s="74">
        <v>105</v>
      </c>
      <c r="U81" s="102">
        <f>W81/G79*H79</f>
        <v>0.12380784168124473</v>
      </c>
      <c r="V81" s="76" t="str">
        <f>I79</f>
        <v>p=0.01 **</v>
      </c>
      <c r="W81" s="74">
        <f t="shared" si="51"/>
        <v>0.30951960420311181</v>
      </c>
      <c r="X81" s="74">
        <f t="shared" si="52"/>
        <v>0.2332431980739948</v>
      </c>
      <c r="Y81" s="74">
        <f t="shared" si="53"/>
        <v>0.20215451714022176</v>
      </c>
      <c r="Z81" s="74">
        <f t="shared" si="54"/>
        <v>6.6856234507872148E-2</v>
      </c>
      <c r="AA81" s="74">
        <f t="shared" si="55"/>
        <v>0.55218297389835147</v>
      </c>
      <c r="AB81" s="74">
        <f t="shared" si="56"/>
        <v>0.24266336969523966</v>
      </c>
      <c r="AC81" s="78">
        <f t="shared" si="57"/>
        <v>20.192582037222586</v>
      </c>
      <c r="AD81" s="78"/>
      <c r="AE81" s="78">
        <f t="shared" si="58"/>
        <v>65.238459092794272</v>
      </c>
      <c r="AF81" s="79" t="str">
        <f t="shared" si="59"/>
        <v>0.3, (0.07, 0.5)</v>
      </c>
      <c r="AG81" s="78">
        <f t="shared" si="63"/>
        <v>8.0770328148890336</v>
      </c>
      <c r="AH81" s="2">
        <f t="shared" si="60"/>
        <v>2.5</v>
      </c>
      <c r="AI81" s="78">
        <f t="shared" si="61"/>
        <v>7.5905872553102868E-2</v>
      </c>
      <c r="AJ81" s="85">
        <f t="shared" si="62"/>
        <v>4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x14ac:dyDescent="0.25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7">
        <v>0.24</v>
      </c>
      <c r="H82" s="18">
        <v>0.09</v>
      </c>
      <c r="I82" s="14" t="s">
        <v>45</v>
      </c>
      <c r="J82" s="17"/>
      <c r="K82" s="18"/>
      <c r="L82" s="14"/>
      <c r="M82" s="19"/>
      <c r="N82" s="18"/>
      <c r="O82" s="14"/>
      <c r="Q82" s="2" t="str">
        <f>CONCATENATE(B80,"_",E80,"_",D80,"_",C80)</f>
        <v>OCTO_Women_Block_PEF</v>
      </c>
      <c r="S82" s="75">
        <f>G80</f>
        <v>0.24</v>
      </c>
      <c r="T82" s="2">
        <v>104</v>
      </c>
      <c r="U82" s="102">
        <f>W82/G80*H80</f>
        <v>9.1790292247257321E-2</v>
      </c>
      <c r="V82" s="76" t="str">
        <f>I80</f>
        <v>p=0.01 **</v>
      </c>
      <c r="W82" s="74">
        <f t="shared" si="51"/>
        <v>0.24477411265935289</v>
      </c>
      <c r="X82" s="74">
        <f t="shared" si="52"/>
        <v>0.17522568036231034</v>
      </c>
      <c r="Y82" s="74">
        <f t="shared" si="53"/>
        <v>0.16086833092196229</v>
      </c>
      <c r="Z82" s="74">
        <f t="shared" si="54"/>
        <v>6.4865139854728554E-2</v>
      </c>
      <c r="AA82" s="74">
        <f t="shared" si="55"/>
        <v>0.42468308546397726</v>
      </c>
      <c r="AB82" s="74">
        <f t="shared" si="56"/>
        <v>0.17990897280462434</v>
      </c>
      <c r="AC82" s="78">
        <f t="shared" si="57"/>
        <v>29.051728689166982</v>
      </c>
      <c r="AD82" s="78"/>
      <c r="AE82" s="78">
        <f t="shared" si="58"/>
        <v>118.68791341344857</v>
      </c>
      <c r="AF82" s="79" t="str">
        <f t="shared" si="59"/>
        <v>0.24, (0.06, 0.4)</v>
      </c>
      <c r="AG82" s="78">
        <f t="shared" si="63"/>
        <v>10.894398258437617</v>
      </c>
      <c r="AH82" s="2">
        <f t="shared" si="60"/>
        <v>2.6666666666666665</v>
      </c>
      <c r="AI82" s="78">
        <f t="shared" si="61"/>
        <v>0.12999213290758499</v>
      </c>
      <c r="AJ82" s="85">
        <f t="shared" si="62"/>
        <v>6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x14ac:dyDescent="0.25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0.19</v>
      </c>
      <c r="H83" s="13">
        <v>0.06</v>
      </c>
      <c r="I83" s="14" t="s">
        <v>27</v>
      </c>
      <c r="J83" s="12"/>
      <c r="K83" s="13"/>
      <c r="L83" s="14"/>
      <c r="M83" s="12"/>
      <c r="N83" s="16"/>
      <c r="O83" s="14"/>
      <c r="Q83" s="2" t="str">
        <f>CONCATENATE(B84,"_",E84,"_",D84,"_",C84)</f>
        <v>OCTO_Men_Fig_Reason_PEF</v>
      </c>
      <c r="S83" s="75">
        <f>G84</f>
        <v>0.28999999999999998</v>
      </c>
      <c r="T83" s="74">
        <v>103</v>
      </c>
      <c r="U83" s="102">
        <f>W83/G84*H84</f>
        <v>0.13384004922697654</v>
      </c>
      <c r="V83" s="76" t="str">
        <f>I84</f>
        <v>p=0.03 *</v>
      </c>
      <c r="W83" s="74">
        <f>0.5*LN((1+S83)/(1-S83))</f>
        <v>0.29856626366017841</v>
      </c>
      <c r="X83" s="74">
        <f>S83-(EXP(2*Z83)-1)/(EXP(2*Z83)+1)</f>
        <v>0.25377608930732132</v>
      </c>
      <c r="Y83" s="74">
        <f>(EXP(2*AA83)-1)/(EXP(2*AA83)+1)-S83</f>
        <v>0.21863952382231983</v>
      </c>
      <c r="Z83" s="74">
        <f>W83-AB83</f>
        <v>3.6239767175304416E-2</v>
      </c>
      <c r="AA83" s="74">
        <f>W83+AB83</f>
        <v>0.5608927601450524</v>
      </c>
      <c r="AB83" s="74">
        <f>1.96*U83</f>
        <v>0.26232649648487399</v>
      </c>
      <c r="AC83" s="78">
        <f>IF(W83&lt;&gt;"",ABS(W83/U83^2),"")</f>
        <v>16.667426855067244</v>
      </c>
      <c r="AD83" s="78"/>
      <c r="AE83" s="78">
        <f>U83^-2</f>
        <v>55.824883396865438</v>
      </c>
      <c r="AF83" s="79" t="str">
        <f>CONCATENATE(ROUND(S83,2),", (",ROUND(-(X83-S83),2),", ",ROUND(Y83+S83,2),")")</f>
        <v>0.29, (0.04, 0.51)</v>
      </c>
      <c r="AG83" s="78">
        <f t="shared" si="63"/>
        <v>7.4716051419266964</v>
      </c>
      <c r="AH83" s="2">
        <f t="shared" si="60"/>
        <v>3.166666666666667</v>
      </c>
      <c r="AI83" s="78">
        <f t="shared" si="61"/>
        <v>1.9084750190379255E-2</v>
      </c>
      <c r="AJ83" s="85">
        <f t="shared" si="62"/>
        <v>4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x14ac:dyDescent="0.25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0.28999999999999998</v>
      </c>
      <c r="H84" s="13">
        <v>0.13</v>
      </c>
      <c r="I84" s="14" t="s">
        <v>19</v>
      </c>
      <c r="J84" s="12"/>
      <c r="K84" s="13"/>
      <c r="L84" s="14"/>
      <c r="M84" s="12"/>
      <c r="N84" s="16"/>
      <c r="O84" s="14"/>
      <c r="Q84" s="2" t="str">
        <f>CONCATENATE(B85,"_",E85,"_",D85,"_",C85)</f>
        <v>OCTO_Women_Fig_Reason_PEF</v>
      </c>
      <c r="S84" s="75">
        <f>G85</f>
        <v>0.2</v>
      </c>
      <c r="T84" s="2">
        <v>102</v>
      </c>
      <c r="U84" s="102">
        <f>W84/G85*H85</f>
        <v>0.12163953243244924</v>
      </c>
      <c r="V84" s="76" t="str">
        <f>I85</f>
        <v>p=0.10^</v>
      </c>
      <c r="W84" s="74">
        <f>0.5*LN((1+S84)/(1-S84))</f>
        <v>0.20273255405408211</v>
      </c>
      <c r="X84" s="74">
        <f>S84-(EXP(2*Z84)-1)/(EXP(2*Z84)+1)</f>
        <v>0.23566579508186672</v>
      </c>
      <c r="Y84" s="74">
        <f>(EXP(2*AA84)-1)/(EXP(2*AA84)+1)-S84</f>
        <v>0.21459394026810275</v>
      </c>
      <c r="Z84" s="74">
        <f>W84-AB84</f>
        <v>-3.5680929513518395E-2</v>
      </c>
      <c r="AA84" s="74">
        <f>W84+AB84</f>
        <v>0.44114603762168259</v>
      </c>
      <c r="AB84" s="74">
        <f>1.96*U84</f>
        <v>0.2384134835676005</v>
      </c>
      <c r="AC84" s="78">
        <f>IF(W84&lt;&gt;"",ABS(W84/U84^2),"")</f>
        <v>13.701685902091299</v>
      </c>
      <c r="AD84" s="78"/>
      <c r="AE84" s="78">
        <f>U84^-2</f>
        <v>67.585030761444244</v>
      </c>
      <c r="AF84" s="79" t="str">
        <f>CONCATENATE(ROUND(S84,2),", (",ROUND(-(X84-S84),2),", ",ROUND(Y84+S84,2),")")</f>
        <v>0.2, (-0.04, 0.41)</v>
      </c>
      <c r="AG84" s="78">
        <f t="shared" si="63"/>
        <v>8.2210115412547768</v>
      </c>
      <c r="AH84" s="2">
        <f t="shared" si="60"/>
        <v>2.2307692307692304</v>
      </c>
      <c r="AI84" s="78">
        <f t="shared" si="61"/>
        <v>2.2398074876208929E-2</v>
      </c>
      <c r="AJ84" s="85">
        <f t="shared" si="62"/>
        <v>4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x14ac:dyDescent="0.25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7">
        <v>0.2</v>
      </c>
      <c r="H85" s="18">
        <v>0.12</v>
      </c>
      <c r="I85" s="14" t="s">
        <v>120</v>
      </c>
      <c r="J85" s="17"/>
      <c r="K85" s="18"/>
      <c r="L85" s="14"/>
      <c r="M85" s="19"/>
      <c r="N85" s="18"/>
      <c r="O85" s="14"/>
      <c r="Q85" s="2" t="str">
        <f>CONCATENATE(B81,"_",E81,"_",D81,"_",C81)</f>
        <v>SATSA_Men_Block_FEV1</v>
      </c>
      <c r="S85" s="75">
        <f>G81</f>
        <v>0.2</v>
      </c>
      <c r="T85" s="74">
        <v>101</v>
      </c>
      <c r="U85" s="102">
        <f>W85/G81*H81</f>
        <v>8.109302162163283E-2</v>
      </c>
      <c r="V85" s="76" t="str">
        <f>I81</f>
        <v>p=0.01 **</v>
      </c>
      <c r="W85" s="74">
        <f t="shared" si="51"/>
        <v>0.20273255405408211</v>
      </c>
      <c r="X85" s="74">
        <f t="shared" si="52"/>
        <v>0.15623773735955496</v>
      </c>
      <c r="Y85" s="74">
        <f t="shared" si="53"/>
        <v>0.14668845709564332</v>
      </c>
      <c r="Z85" s="74">
        <f t="shared" si="54"/>
        <v>4.3790231675681773E-2</v>
      </c>
      <c r="AA85" s="74">
        <f t="shared" si="55"/>
        <v>0.36167487643248242</v>
      </c>
      <c r="AB85" s="74">
        <f t="shared" si="56"/>
        <v>0.15894232237840034</v>
      </c>
      <c r="AC85" s="78">
        <f t="shared" si="57"/>
        <v>30.828793279705419</v>
      </c>
      <c r="AD85" s="78"/>
      <c r="AE85" s="78">
        <f t="shared" si="58"/>
        <v>152.06631921324956</v>
      </c>
      <c r="AF85" s="79" t="str">
        <f t="shared" si="59"/>
        <v>0.2, (0.04, 0.35)</v>
      </c>
      <c r="AG85" s="78">
        <f t="shared" si="63"/>
        <v>12.331517311882166</v>
      </c>
      <c r="AH85" s="2">
        <f t="shared" si="60"/>
        <v>1.6666666666666667</v>
      </c>
      <c r="AI85" s="78">
        <f t="shared" si="61"/>
        <v>7.5905872553103049E-2</v>
      </c>
      <c r="AJ85" s="85">
        <f t="shared" si="62"/>
        <v>6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x14ac:dyDescent="0.25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0.15</v>
      </c>
      <c r="H86" s="13">
        <v>0.08</v>
      </c>
      <c r="I86" s="14" t="s">
        <v>65</v>
      </c>
      <c r="J86" s="12"/>
      <c r="K86" s="13"/>
      <c r="L86" s="14"/>
      <c r="M86" s="12"/>
      <c r="N86" s="16"/>
      <c r="O86" s="14"/>
      <c r="Q86" s="2" t="str">
        <f>CONCATENATE(B82,"_",E82,"_",D82,"_",C82)</f>
        <v>SATSA_Women_Block_FEV1</v>
      </c>
      <c r="S86" s="75">
        <f>G82</f>
        <v>0.24</v>
      </c>
      <c r="T86" s="2">
        <v>100</v>
      </c>
      <c r="U86" s="102">
        <f>W86/G82*H82</f>
        <v>9.1790292247257321E-2</v>
      </c>
      <c r="V86" s="76" t="str">
        <f>I82</f>
        <v>p&lt;0.01 **</v>
      </c>
      <c r="W86" s="74">
        <f t="shared" si="51"/>
        <v>0.24477411265935289</v>
      </c>
      <c r="X86" s="74">
        <f t="shared" si="52"/>
        <v>0.17522568036231034</v>
      </c>
      <c r="Y86" s="74">
        <f t="shared" si="53"/>
        <v>0.16086833092196229</v>
      </c>
      <c r="Z86" s="74">
        <f t="shared" si="54"/>
        <v>6.4865139854728554E-2</v>
      </c>
      <c r="AA86" s="74">
        <f t="shared" si="55"/>
        <v>0.42468308546397726</v>
      </c>
      <c r="AB86" s="74">
        <f t="shared" si="56"/>
        <v>0.17990897280462434</v>
      </c>
      <c r="AC86" s="78">
        <f t="shared" si="57"/>
        <v>29.051728689166982</v>
      </c>
      <c r="AD86" s="78"/>
      <c r="AE86" s="78">
        <f t="shared" si="58"/>
        <v>118.68791341344857</v>
      </c>
      <c r="AF86" s="79" t="str">
        <f t="shared" si="59"/>
        <v>0.24, (0.06, 0.4)</v>
      </c>
      <c r="AG86" s="78">
        <f t="shared" si="63"/>
        <v>10.894398258437617</v>
      </c>
      <c r="AH86" s="2">
        <f t="shared" si="60"/>
        <v>1.875</v>
      </c>
      <c r="AI86" s="78">
        <f t="shared" si="61"/>
        <v>0.12999213290758499</v>
      </c>
      <c r="AJ86" s="85">
        <f t="shared" si="62"/>
        <v>6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x14ac:dyDescent="0.25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7">
        <v>0.14000000000000001</v>
      </c>
      <c r="H87" s="18">
        <v>0.05</v>
      </c>
      <c r="I87" s="14" t="s">
        <v>45</v>
      </c>
      <c r="J87" s="17"/>
      <c r="K87" s="18"/>
      <c r="L87" s="14"/>
      <c r="M87" s="19"/>
      <c r="N87" s="18"/>
      <c r="O87" s="14"/>
      <c r="Q87" s="2" t="str">
        <f>CONCATENATE(B83,"_",E83,"_",D83,"_",C83)</f>
        <v>NAS_Men_Fig_Copy_FEV1</v>
      </c>
      <c r="S87" s="75">
        <f>G83</f>
        <v>0.19</v>
      </c>
      <c r="T87" s="74">
        <v>99</v>
      </c>
      <c r="U87" s="102">
        <f>W87/G83*H83</f>
        <v>6.0738053437751141E-2</v>
      </c>
      <c r="V87" s="76" t="str">
        <f>I83</f>
        <v>p&lt;0.01 ***</v>
      </c>
      <c r="W87" s="74">
        <f t="shared" si="51"/>
        <v>0.19233716921954527</v>
      </c>
      <c r="X87" s="74">
        <f t="shared" si="52"/>
        <v>0.11684036120551303</v>
      </c>
      <c r="Y87" s="74">
        <f t="shared" si="53"/>
        <v>0.11169542615415395</v>
      </c>
      <c r="Z87" s="74">
        <f t="shared" si="54"/>
        <v>7.3290584481553039E-2</v>
      </c>
      <c r="AA87" s="74">
        <f t="shared" si="55"/>
        <v>0.31138375395753748</v>
      </c>
      <c r="AB87" s="74">
        <f t="shared" si="56"/>
        <v>0.11904658473799223</v>
      </c>
      <c r="AC87" s="78">
        <f t="shared" si="57"/>
        <v>52.136452971975821</v>
      </c>
      <c r="AD87" s="78"/>
      <c r="AE87" s="78">
        <f t="shared" si="58"/>
        <v>271.06800616610991</v>
      </c>
      <c r="AF87" s="79" t="str">
        <f t="shared" si="59"/>
        <v>0.19, (0.07, 0.3)</v>
      </c>
      <c r="AG87" s="78">
        <f t="shared" si="63"/>
        <v>16.464143043781839</v>
      </c>
      <c r="AH87" s="2">
        <f t="shared" si="60"/>
        <v>2.8000000000000003</v>
      </c>
      <c r="AI87" s="78">
        <f t="shared" si="61"/>
        <v>0.37902031560923682</v>
      </c>
      <c r="AJ87" s="85">
        <f t="shared" si="62"/>
        <v>8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x14ac:dyDescent="0.25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-0.01</v>
      </c>
      <c r="H88" s="13">
        <v>0.06</v>
      </c>
      <c r="I88" s="14" t="s">
        <v>57</v>
      </c>
      <c r="J88" s="12"/>
      <c r="K88" s="13"/>
      <c r="L88" s="14"/>
      <c r="M88" s="12"/>
      <c r="N88" s="16"/>
      <c r="O88" s="14"/>
      <c r="Q88" s="2" t="str">
        <f>CONCATENATE(B88,"_",E88,"_",D88,"_",C88)</f>
        <v>NAS_Men_Patt_Comp_FEV1</v>
      </c>
      <c r="S88" s="75">
        <f>G88</f>
        <v>-0.01</v>
      </c>
      <c r="T88" s="2">
        <v>98</v>
      </c>
      <c r="U88" s="102">
        <f>W88/G88*H88</f>
        <v>6.0002000120008628E-2</v>
      </c>
      <c r="V88" s="76" t="str">
        <f>I88</f>
        <v>p=0.86</v>
      </c>
      <c r="W88" s="74">
        <f>0.5*LN((1+S88)/(1-S88))</f>
        <v>-1.0000333353334771E-2</v>
      </c>
      <c r="X88" s="74">
        <f>S88-(EXP(2*Z88)-1)/(EXP(2*Z88)+1)</f>
        <v>0.11691614818336137</v>
      </c>
      <c r="Y88" s="74">
        <f>(EXP(2*AA88)-1)/(EXP(2*AA88)+1)-S88</f>
        <v>0.11719020413440071</v>
      </c>
      <c r="Z88" s="74">
        <f>W88-AB88</f>
        <v>-0.12760425358855168</v>
      </c>
      <c r="AA88" s="74">
        <f>W88+AB88</f>
        <v>0.10760358688188212</v>
      </c>
      <c r="AB88" s="74">
        <f>1.96*U88</f>
        <v>0.1176039202352169</v>
      </c>
      <c r="AC88" s="78">
        <f>IF(W88&lt;&gt;"",ABS(W88/U88^2),"")</f>
        <v>2.7776851827159175</v>
      </c>
      <c r="AD88" s="78"/>
      <c r="AE88" s="78">
        <f>U88^-2</f>
        <v>277.75925907406418</v>
      </c>
      <c r="AF88" s="79" t="str">
        <f>CONCATENATE(ROUND(S88,2),", (",ROUND(-(X88-S88),2),", ",ROUND(Y88+S88,2),")")</f>
        <v>-0.01, (-0.13, 0.11)</v>
      </c>
      <c r="AG88" s="78">
        <f t="shared" si="63"/>
        <v>16.666111096295506</v>
      </c>
      <c r="AH88" s="2">
        <f t="shared" si="60"/>
        <v>-0.16666666666666669</v>
      </c>
      <c r="AI88" s="78">
        <f t="shared" si="61"/>
        <v>1.1772988106807352</v>
      </c>
      <c r="AJ88" s="85">
        <f t="shared" si="62"/>
        <v>8</v>
      </c>
    </row>
    <row r="89" spans="1:72" x14ac:dyDescent="0.25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0.18</v>
      </c>
      <c r="H89" s="13">
        <v>0.05</v>
      </c>
      <c r="I89" s="14" t="s">
        <v>27</v>
      </c>
      <c r="J89" s="12"/>
      <c r="K89" s="13"/>
      <c r="L89" s="14"/>
      <c r="M89" s="12"/>
      <c r="N89" s="16"/>
      <c r="O89" s="14"/>
      <c r="Q89" s="2" t="str">
        <f>CONCATENATE(B86,"_",E86,"_",D86,"_",C86)</f>
        <v>MAP_Men_Line_FEV1</v>
      </c>
      <c r="S89" s="75">
        <f>G86</f>
        <v>0.15</v>
      </c>
      <c r="T89" s="74">
        <v>97</v>
      </c>
      <c r="U89" s="102">
        <f>W89/G86*H86</f>
        <v>8.0608232499448942E-2</v>
      </c>
      <c r="V89" s="76" t="str">
        <f>I86</f>
        <v>p=0.04 *</v>
      </c>
      <c r="W89" s="74">
        <f t="shared" si="51"/>
        <v>0.15114043593646675</v>
      </c>
      <c r="X89" s="74">
        <f t="shared" si="52"/>
        <v>0.15685159254498132</v>
      </c>
      <c r="Y89" s="74">
        <f t="shared" si="53"/>
        <v>0.14964775948239242</v>
      </c>
      <c r="Z89" s="74">
        <f t="shared" si="54"/>
        <v>-6.8516997624531728E-3</v>
      </c>
      <c r="AA89" s="74">
        <f t="shared" si="55"/>
        <v>0.30913257163538665</v>
      </c>
      <c r="AB89" s="74">
        <f t="shared" si="56"/>
        <v>0.15799213569891993</v>
      </c>
      <c r="AC89" s="78">
        <f t="shared" si="57"/>
        <v>23.260651447888005</v>
      </c>
      <c r="AD89" s="78"/>
      <c r="AE89" s="78">
        <f t="shared" si="58"/>
        <v>153.9009154219049</v>
      </c>
      <c r="AF89" s="79" t="str">
        <f t="shared" si="59"/>
        <v>0.15, (-0.01, 0.3)</v>
      </c>
      <c r="AG89" s="78">
        <f t="shared" si="63"/>
        <v>12.405680772206935</v>
      </c>
      <c r="AH89" s="2">
        <f t="shared" si="60"/>
        <v>3.5999999999999996</v>
      </c>
      <c r="AI89" s="78">
        <f t="shared" si="61"/>
        <v>1.8807267805081291E-3</v>
      </c>
      <c r="AJ89" s="85">
        <f t="shared" si="62"/>
        <v>6</v>
      </c>
    </row>
    <row r="90" spans="1:72" x14ac:dyDescent="0.25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7">
        <v>0.28999999999999998</v>
      </c>
      <c r="H90" s="18">
        <v>0.05</v>
      </c>
      <c r="I90" s="14" t="s">
        <v>27</v>
      </c>
      <c r="J90" s="17"/>
      <c r="K90" s="18"/>
      <c r="L90" s="14"/>
      <c r="M90" s="19"/>
      <c r="N90" s="18"/>
      <c r="O90" s="14"/>
      <c r="Q90" s="2" t="str">
        <f>CONCATENATE(B87,"_",E87,"_",D87,"_",C87)</f>
        <v>MAP_Women_Line_FEV1</v>
      </c>
      <c r="S90" s="75">
        <f>G87</f>
        <v>0.14000000000000001</v>
      </c>
      <c r="T90" s="2">
        <v>96</v>
      </c>
      <c r="U90" s="102">
        <f>W90/G87*H87</f>
        <v>5.0330562882319255E-2</v>
      </c>
      <c r="V90" s="76" t="str">
        <f>I87</f>
        <v>p&lt;0.01 **</v>
      </c>
      <c r="W90" s="74">
        <f t="shared" si="51"/>
        <v>0.14092557607049391</v>
      </c>
      <c r="X90" s="74">
        <f t="shared" si="52"/>
        <v>9.7747498242969799E-2</v>
      </c>
      <c r="Y90" s="74">
        <f t="shared" si="53"/>
        <v>9.509284250293229E-2</v>
      </c>
      <c r="Z90" s="74">
        <f t="shared" si="54"/>
        <v>4.2277672821148179E-2</v>
      </c>
      <c r="AA90" s="74">
        <f t="shared" si="55"/>
        <v>0.23957347931983963</v>
      </c>
      <c r="AB90" s="74">
        <f t="shared" si="56"/>
        <v>9.8647903249345734E-2</v>
      </c>
      <c r="AC90" s="78">
        <f t="shared" si="57"/>
        <v>55.632201184533521</v>
      </c>
      <c r="AD90" s="78"/>
      <c r="AE90" s="78">
        <f t="shared" si="58"/>
        <v>394.76298579546079</v>
      </c>
      <c r="AF90" s="79" t="str">
        <f t="shared" si="59"/>
        <v>0.14, (0.04, 0.24)</v>
      </c>
      <c r="AG90" s="78">
        <f t="shared" si="63"/>
        <v>19.868643280190543</v>
      </c>
      <c r="AH90" s="2">
        <f t="shared" si="60"/>
        <v>5.7999999999999989</v>
      </c>
      <c r="AI90" s="78">
        <f t="shared" si="61"/>
        <v>0.18367346938775517</v>
      </c>
      <c r="AJ90" s="85">
        <f t="shared" si="62"/>
        <v>9</v>
      </c>
    </row>
    <row r="91" spans="1:72" x14ac:dyDescent="0.25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0.08</v>
      </c>
      <c r="H91" s="13">
        <v>0.08</v>
      </c>
      <c r="I91" s="14" t="s">
        <v>49</v>
      </c>
      <c r="J91" s="12"/>
      <c r="K91" s="13"/>
      <c r="L91" s="14"/>
      <c r="M91" s="12"/>
      <c r="N91" s="16"/>
      <c r="O91" s="14"/>
      <c r="Q91" s="2" t="str">
        <f>CONCATENATE(B91,"_",E91,"_",D91,"_",C91)</f>
        <v>MAP_Men_Raven_FEV1</v>
      </c>
      <c r="S91" s="75">
        <f>G91</f>
        <v>0.08</v>
      </c>
      <c r="T91" s="74">
        <v>95</v>
      </c>
      <c r="U91" s="102">
        <f>W91/G91*H91</f>
        <v>8.0171325037589738E-2</v>
      </c>
      <c r="V91" s="76" t="str">
        <f>I91</f>
        <v>p=0.28</v>
      </c>
      <c r="W91" s="74">
        <f t="shared" si="51"/>
        <v>8.0171325037589738E-2</v>
      </c>
      <c r="X91" s="74">
        <f t="shared" si="52"/>
        <v>0.15681286412900194</v>
      </c>
      <c r="Y91" s="74">
        <f t="shared" si="53"/>
        <v>0.15295060606030902</v>
      </c>
      <c r="Z91" s="74">
        <f t="shared" si="54"/>
        <v>-7.6964472036086154E-2</v>
      </c>
      <c r="AA91" s="74">
        <f t="shared" si="55"/>
        <v>0.23730712211126564</v>
      </c>
      <c r="AB91" s="74">
        <f t="shared" si="56"/>
        <v>0.15713579707367589</v>
      </c>
      <c r="AC91" s="78">
        <f t="shared" si="57"/>
        <v>12.473287669015479</v>
      </c>
      <c r="AD91" s="78"/>
      <c r="AE91" s="78">
        <f t="shared" si="58"/>
        <v>155.5829052740136</v>
      </c>
      <c r="AF91" s="79" t="str">
        <f t="shared" si="59"/>
        <v>0.08, (-0.08, 0.23)</v>
      </c>
      <c r="AG91" s="78">
        <f t="shared" si="63"/>
        <v>12.473287669015479</v>
      </c>
      <c r="AH91" s="2">
        <f t="shared" si="60"/>
        <v>1</v>
      </c>
      <c r="AI91" s="78">
        <f t="shared" si="61"/>
        <v>0.23990004164931281</v>
      </c>
      <c r="AJ91" s="85">
        <f t="shared" si="62"/>
        <v>6</v>
      </c>
    </row>
    <row r="92" spans="1:72" x14ac:dyDescent="0.25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7">
        <v>0.18</v>
      </c>
      <c r="H92" s="18">
        <v>0.05</v>
      </c>
      <c r="I92" s="14" t="s">
        <v>27</v>
      </c>
      <c r="J92" s="17"/>
      <c r="K92" s="18"/>
      <c r="L92" s="14"/>
      <c r="M92" s="19"/>
      <c r="N92" s="18"/>
      <c r="O92" s="14"/>
      <c r="Q92" s="2" t="str">
        <f>CONCATENATE(B92,"_",E92,"_",D92,"_",C92)</f>
        <v>MAP_Women_Raven_FEV1</v>
      </c>
      <c r="S92" s="75">
        <f>G92</f>
        <v>0.18</v>
      </c>
      <c r="T92" s="2">
        <v>94</v>
      </c>
      <c r="U92" s="102">
        <f>W92/G92*H92</f>
        <v>5.0550746833529371E-2</v>
      </c>
      <c r="V92" s="76" t="str">
        <f>I92</f>
        <v>p&lt;0.01 ***</v>
      </c>
      <c r="W92" s="74">
        <f t="shared" si="51"/>
        <v>0.18198268860070574</v>
      </c>
      <c r="X92" s="74">
        <f t="shared" si="52"/>
        <v>9.728618425025097E-2</v>
      </c>
      <c r="Y92" s="74">
        <f t="shared" si="53"/>
        <v>9.3887841599950728E-2</v>
      </c>
      <c r="Z92" s="74">
        <f t="shared" si="54"/>
        <v>8.2903224806988168E-2</v>
      </c>
      <c r="AA92" s="74">
        <f t="shared" si="55"/>
        <v>0.28106215239442334</v>
      </c>
      <c r="AB92" s="74">
        <f t="shared" si="56"/>
        <v>9.907946379371757E-2</v>
      </c>
      <c r="AC92" s="78">
        <f t="shared" si="57"/>
        <v>71.21556506089415</v>
      </c>
      <c r="AD92" s="78"/>
      <c r="AE92" s="78">
        <f t="shared" si="58"/>
        <v>391.33153602950983</v>
      </c>
      <c r="AF92" s="79" t="str">
        <f t="shared" si="59"/>
        <v>0.18, (0.08, 0.27)</v>
      </c>
      <c r="AG92" s="78">
        <f t="shared" si="63"/>
        <v>19.782101405803932</v>
      </c>
      <c r="AH92" s="2">
        <f t="shared" si="60"/>
        <v>3.5999999999999996</v>
      </c>
      <c r="AI92" s="78">
        <f t="shared" si="61"/>
        <v>0.70012494793835889</v>
      </c>
      <c r="AJ92" s="85">
        <f t="shared" si="62"/>
        <v>9</v>
      </c>
    </row>
    <row r="93" spans="1:72" x14ac:dyDescent="0.25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0.19</v>
      </c>
      <c r="H93" s="24">
        <v>0.08</v>
      </c>
      <c r="I93" s="25" t="s">
        <v>66</v>
      </c>
      <c r="J93" s="23"/>
      <c r="K93" s="24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0.19</v>
      </c>
      <c r="T93" s="74">
        <v>93</v>
      </c>
      <c r="U93" s="102">
        <f>W93/G93*H93</f>
        <v>8.0984071250334855E-2</v>
      </c>
      <c r="V93" s="76" t="str">
        <f>I93</f>
        <v>p=0.02 *</v>
      </c>
      <c r="W93" s="74">
        <f t="shared" si="51"/>
        <v>0.19233716921954527</v>
      </c>
      <c r="X93" s="74">
        <f t="shared" si="52"/>
        <v>0.15640425854245721</v>
      </c>
      <c r="Y93" s="74">
        <f t="shared" si="53"/>
        <v>0.14732054348752366</v>
      </c>
      <c r="Z93" s="74">
        <f t="shared" si="54"/>
        <v>3.3608389568888952E-2</v>
      </c>
      <c r="AA93" s="74">
        <f t="shared" si="55"/>
        <v>0.35106594887020159</v>
      </c>
      <c r="AB93" s="74">
        <f t="shared" si="56"/>
        <v>0.15872877965065632</v>
      </c>
      <c r="AC93" s="78">
        <f t="shared" si="57"/>
        <v>29.326754796736395</v>
      </c>
      <c r="AD93" s="78"/>
      <c r="AE93" s="78">
        <f t="shared" si="58"/>
        <v>152.47575346843681</v>
      </c>
      <c r="AF93" s="79" t="str">
        <f t="shared" si="59"/>
        <v>0.19, (0.03, 0.34)</v>
      </c>
      <c r="AG93" s="78">
        <f t="shared" si="63"/>
        <v>12.348107282836377</v>
      </c>
      <c r="AH93" s="2">
        <f t="shared" si="60"/>
        <v>2.375</v>
      </c>
      <c r="AI93" s="78">
        <f t="shared" si="61"/>
        <v>4.4831580591420214E-2</v>
      </c>
      <c r="AJ93" s="85">
        <f t="shared" si="62"/>
        <v>6</v>
      </c>
    </row>
    <row r="94" spans="1:72" x14ac:dyDescent="0.25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28">
        <v>0.28999999999999998</v>
      </c>
      <c r="H94" s="29">
        <v>0.08</v>
      </c>
      <c r="I94" s="25" t="s">
        <v>27</v>
      </c>
      <c r="J94" s="28"/>
      <c r="K94" s="29"/>
      <c r="L94" s="25"/>
      <c r="M94" s="30"/>
      <c r="N94" s="29"/>
      <c r="O94" s="25"/>
      <c r="Q94" s="2" t="str">
        <f>CONCATENATE(B94,"_",E94,"_",D94,"_",C94)</f>
        <v>SATSA_Women_Rotate_FEV1</v>
      </c>
      <c r="S94" s="75">
        <f>G94</f>
        <v>0.28999999999999998</v>
      </c>
      <c r="T94" s="2">
        <v>92</v>
      </c>
      <c r="U94" s="102">
        <f>W94/G94*H94</f>
        <v>8.236310721660095E-2</v>
      </c>
      <c r="V94" s="76" t="str">
        <f>I94</f>
        <v>p&lt;0.01 ***</v>
      </c>
      <c r="W94" s="74">
        <f t="shared" si="51"/>
        <v>0.29856626366017841</v>
      </c>
      <c r="X94" s="74">
        <f t="shared" si="52"/>
        <v>0.15371865473047314</v>
      </c>
      <c r="Y94" s="74">
        <f t="shared" si="53"/>
        <v>0.14008254369493978</v>
      </c>
      <c r="Z94" s="74">
        <f t="shared" si="54"/>
        <v>0.13713457351564054</v>
      </c>
      <c r="AA94" s="74">
        <f t="shared" si="55"/>
        <v>0.45999795380471631</v>
      </c>
      <c r="AB94" s="74">
        <f t="shared" si="56"/>
        <v>0.16143169014453787</v>
      </c>
      <c r="AC94" s="78">
        <f t="shared" si="57"/>
        <v>44.012424039161935</v>
      </c>
      <c r="AD94" s="78"/>
      <c r="AE94" s="78">
        <f t="shared" si="58"/>
        <v>147.41258271984779</v>
      </c>
      <c r="AF94" s="79" t="str">
        <f t="shared" si="59"/>
        <v>0.29, (0.14, 0.43)</v>
      </c>
      <c r="AG94" s="78">
        <f t="shared" si="63"/>
        <v>12.14135835563088</v>
      </c>
      <c r="AH94" s="2">
        <f t="shared" si="60"/>
        <v>3.6249999999999996</v>
      </c>
      <c r="AI94" s="78">
        <f t="shared" si="61"/>
        <v>0.72163291336942892</v>
      </c>
      <c r="AJ94" s="85">
        <f t="shared" si="62"/>
        <v>6</v>
      </c>
    </row>
    <row r="95" spans="1:72" x14ac:dyDescent="0.25">
      <c r="A95" s="10"/>
      <c r="B95" s="21"/>
      <c r="C95" s="11"/>
      <c r="D95" s="21"/>
      <c r="E95" s="11"/>
      <c r="F95" s="21"/>
      <c r="G95" s="28"/>
      <c r="H95" s="29"/>
      <c r="I95" s="25"/>
      <c r="J95" s="28"/>
      <c r="K95" s="29"/>
      <c r="L95" s="25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29"/>
      <c r="AI95" s="78"/>
      <c r="AJ95" s="85"/>
    </row>
    <row r="96" spans="1:72" x14ac:dyDescent="0.25">
      <c r="A96" s="10"/>
      <c r="B96" s="21"/>
      <c r="C96" s="11"/>
      <c r="D96" s="21"/>
      <c r="E96" s="11"/>
      <c r="F96" s="21"/>
      <c r="G96" s="28"/>
      <c r="H96" s="29"/>
      <c r="I96" s="25"/>
      <c r="J96" s="28"/>
      <c r="K96" s="29"/>
      <c r="L96" s="25"/>
      <c r="M96" s="30"/>
      <c r="N96" s="29"/>
      <c r="O96" s="25"/>
      <c r="Q96" s="2" t="s">
        <v>323</v>
      </c>
      <c r="S96" s="84">
        <f>(EXP(2*AD96)-1)/(EXP(2*AD96)+1)</f>
        <v>0.16045523321513713</v>
      </c>
      <c r="T96" s="2">
        <v>90</v>
      </c>
      <c r="U96" s="103">
        <f>1/SQRT(AD96*AE96)</f>
        <v>5.9375034068113515E-2</v>
      </c>
      <c r="V96" s="80">
        <f>1/SQRT(AE96)</f>
        <v>2.3887213372287629E-2</v>
      </c>
      <c r="W96" s="74">
        <f>0.5*LN((1+S96)/(1-S96))</f>
        <v>0.16185392445656627</v>
      </c>
      <c r="X96" s="74">
        <f>S96-(EXP(2*Z96)-1)/(EXP(2*Z96)+1)</f>
        <v>0.11500770465490689</v>
      </c>
      <c r="Y96" s="74">
        <f>(EXP(2*AA96)-1)/(EXP(2*AA96)+1)-S96</f>
        <v>0.110809947444833</v>
      </c>
      <c r="Z96" s="74">
        <f>W96-AB96</f>
        <v>4.5478857683063784E-2</v>
      </c>
      <c r="AA96" s="74">
        <f>W96+AB96</f>
        <v>0.27822899123006872</v>
      </c>
      <c r="AB96" s="74">
        <f>1.96*U96</f>
        <v>0.11637506677350248</v>
      </c>
      <c r="AC96" s="78">
        <f>SUM(AC83,AC89,AC88,AC79,AC93,AC91,AC87,AC85,AC81,AC77)</f>
        <v>283.6561841834137</v>
      </c>
      <c r="AD96" s="78">
        <f>AC96/AE96</f>
        <v>0.16185392445656624</v>
      </c>
      <c r="AE96" s="78">
        <f>SUM(AE83,AE89,AE88,AE79,AE93,AE91,AE87,AE85,AE81,AE77)</f>
        <v>1752.5443707083748</v>
      </c>
      <c r="AF96" s="79" t="str">
        <f>CONCATENATE(ROUND(S96,2),", (",ROUND(-(X96-S96),2),", ",ROUND(Y96+S96,2),")")</f>
        <v>0.16, (0.05, 0.27)</v>
      </c>
      <c r="AG96" s="78">
        <f>SUM(AG83,AG89,AG88,AG79,AG93,AG91,AG87,AG85,AG81,AG77)</f>
        <v>126.81141988393213</v>
      </c>
      <c r="AH96" s="29"/>
      <c r="AI96" s="78">
        <f>SUM(AI83,AI89,AI88,AI79,AI93,AI91,AI87,AI85,AI81,AI77)</f>
        <v>2.9056636726740859</v>
      </c>
      <c r="AJ96"/>
      <c r="AK96" s="81">
        <f>AK100-AK98</f>
        <v>10</v>
      </c>
      <c r="AL96">
        <f>CHIDIST(AI96,AK96-1)</f>
        <v>0.96791779416472468</v>
      </c>
      <c r="AM96" s="82">
        <f>IF((AI96-AK96+1)/AI96&lt;0,0,(AI96-AK96+1)/AI96)</f>
        <v>0</v>
      </c>
      <c r="AN96" s="74"/>
      <c r="AO96" s="77">
        <f>S96-Y96</f>
        <v>4.9645285770304137E-2</v>
      </c>
      <c r="AP96">
        <f>S96+Z96</f>
        <v>0.20593409089820092</v>
      </c>
    </row>
    <row r="97" spans="1:42" x14ac:dyDescent="0.25">
      <c r="A97" s="10"/>
      <c r="B97" s="21"/>
      <c r="C97" s="11"/>
      <c r="D97" s="21"/>
      <c r="E97" s="11"/>
      <c r="F97" s="21"/>
      <c r="G97" s="28"/>
      <c r="H97" s="29"/>
      <c r="I97" s="25"/>
      <c r="J97" s="28"/>
      <c r="K97" s="29"/>
      <c r="L97" s="25"/>
      <c r="M97" s="30"/>
      <c r="N97" s="29"/>
      <c r="O97" s="25"/>
      <c r="T97" s="74">
        <v>89</v>
      </c>
      <c r="U97" s="75"/>
      <c r="AH97" s="29"/>
    </row>
    <row r="98" spans="1:42" x14ac:dyDescent="0.25">
      <c r="A98" s="10"/>
      <c r="B98" s="21"/>
      <c r="C98" s="11"/>
      <c r="D98" s="21"/>
      <c r="E98" s="11"/>
      <c r="F98" s="21"/>
      <c r="G98" s="28"/>
      <c r="H98" s="29"/>
      <c r="I98" s="25"/>
      <c r="J98" s="28"/>
      <c r="K98" s="29"/>
      <c r="L98" s="25"/>
      <c r="M98" s="30"/>
      <c r="N98" s="29"/>
      <c r="O98" s="25"/>
      <c r="Q98" s="2" t="s">
        <v>322</v>
      </c>
      <c r="S98" s="84">
        <f>(EXP(2*AD98)-1)/(EXP(2*AD98)+1)</f>
        <v>0.2183238247094598</v>
      </c>
      <c r="T98" s="2">
        <v>88</v>
      </c>
      <c r="U98" s="103">
        <f>1/SQRT(AD98*AE98)</f>
        <v>5.131192757208717E-2</v>
      </c>
      <c r="V98" s="80">
        <f>1/SQRT(AE98)</f>
        <v>2.4170878822183533E-2</v>
      </c>
      <c r="W98" s="74">
        <f>0.5*LN((1+S98)/(1-S98))</f>
        <v>0.22189536109009717</v>
      </c>
      <c r="X98" s="74">
        <f>S98-(EXP(2*Z98)-1)/(EXP(2*Z98)+1)</f>
        <v>9.7591634028773022E-2</v>
      </c>
      <c r="Y98" s="74">
        <f>(EXP(2*AA98)-1)/(EXP(2*AA98)+1)-S98</f>
        <v>9.3411829410795316E-2</v>
      </c>
      <c r="Z98" s="74">
        <f>W98-AB98</f>
        <v>0.12132398304880632</v>
      </c>
      <c r="AA98" s="74">
        <f>W98+AB98</f>
        <v>0.32246673913138801</v>
      </c>
      <c r="AB98" s="74">
        <f>1.96*U98</f>
        <v>0.10057137804129085</v>
      </c>
      <c r="AC98" s="78">
        <f>SUM(AC84,AC90,AC80,AC92,AC94,AC86,AC78,AC82)</f>
        <v>379.8073289674096</v>
      </c>
      <c r="AD98" s="78">
        <f>AC98/AE98</f>
        <v>0.22189536109009714</v>
      </c>
      <c r="AE98" s="78">
        <f>SUM(AE84,AE90,AE80,AE92,AE94,AE86,AE78,AE82)</f>
        <v>1711.6506045982403</v>
      </c>
      <c r="AF98" s="79" t="str">
        <f>CONCATENATE(ROUND(S98,2),", (",ROUND(-(X98-S98),2),", ",ROUND(Y98+S98,2),")")</f>
        <v>0.22, (0.12, 0.31)</v>
      </c>
      <c r="AG98" s="78">
        <f>SUM(AG84,AG90,AG80,AG92,AG94,AG86,AG78,AG82)</f>
        <v>111.01616041362087</v>
      </c>
      <c r="AH98" s="29"/>
      <c r="AI98" s="78">
        <f>SUM(AI84,AI90,AI80,AI92,AI94,AI86,AI78,AI82)</f>
        <v>5.8021202103290275</v>
      </c>
      <c r="AJ98"/>
      <c r="AK98" s="78">
        <f>COUNT(AI84,AI90,AI80,AI92,AI94,AI86,AI78,AI82)</f>
        <v>8</v>
      </c>
      <c r="AL98">
        <f>CHIDIST(AI98,AK98-1)</f>
        <v>0.56303560693387378</v>
      </c>
      <c r="AM98" s="82">
        <f>IF((AI98-AK98+1)/AI98&lt;0,0,(AI98-AK98+1)/AI98)</f>
        <v>0</v>
      </c>
      <c r="AN98" s="74"/>
      <c r="AO98" s="77">
        <f>S98-Y98</f>
        <v>0.12491199529866448</v>
      </c>
      <c r="AP98">
        <f>S98+Z98</f>
        <v>0.33964780775826608</v>
      </c>
    </row>
    <row r="99" spans="1:42" x14ac:dyDescent="0.25">
      <c r="A99" s="10"/>
      <c r="B99" s="21"/>
      <c r="C99" s="11"/>
      <c r="D99" s="21"/>
      <c r="E99" s="11"/>
      <c r="F99" s="21"/>
      <c r="G99" s="28"/>
      <c r="H99" s="29"/>
      <c r="I99" s="25"/>
      <c r="J99" s="28"/>
      <c r="K99" s="29"/>
      <c r="L99" s="25"/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29"/>
      <c r="AI99" s="78"/>
      <c r="AJ99" s="85"/>
    </row>
    <row r="100" spans="1:42" x14ac:dyDescent="0.25">
      <c r="A100" s="10"/>
      <c r="B100" s="21"/>
      <c r="C100" s="11"/>
      <c r="D100" s="21"/>
      <c r="E100" s="11"/>
      <c r="F100" s="21"/>
      <c r="G100" s="28"/>
      <c r="H100" s="29"/>
      <c r="I100" s="25"/>
      <c r="J100" s="28"/>
      <c r="K100" s="29"/>
      <c r="L100" s="25"/>
      <c r="M100" s="30"/>
      <c r="N100" s="29"/>
      <c r="O100" s="25"/>
      <c r="Q100" s="2" t="s">
        <v>185</v>
      </c>
      <c r="S100" s="84">
        <f>(EXP(2*AD100)-1)/(EXP(2*AD100)+1)</f>
        <v>0.18921245657847355</v>
      </c>
      <c r="T100" s="2">
        <v>86</v>
      </c>
      <c r="U100" s="103">
        <f>1/SQRT(AD100*AE100)</f>
        <v>3.8823213297489126E-2</v>
      </c>
      <c r="V100" s="80">
        <f>1/SQRT(AE100)</f>
        <v>1.6990213500436443E-2</v>
      </c>
      <c r="W100" s="74">
        <f>0.5*LN((1+S100)/(1-S100))</f>
        <v>0.19152025734120237</v>
      </c>
      <c r="X100" s="74">
        <f>S100-(EXP(2*Z100)-1)/(EXP(2*Z100)+1)</f>
        <v>7.4295603208299588E-2</v>
      </c>
      <c r="Y100" s="74">
        <f>(EXP(2*AA100)-1)/(EXP(2*AA100)+1)-S100</f>
        <v>7.2190580196257709E-2</v>
      </c>
      <c r="Z100" s="74">
        <f>W100-AB100</f>
        <v>0.11542675927812368</v>
      </c>
      <c r="AA100" s="74">
        <f>W100+AB100</f>
        <v>0.26761375540428106</v>
      </c>
      <c r="AB100" s="74">
        <f>1.96*U100</f>
        <v>7.6093498063078691E-2</v>
      </c>
      <c r="AC100" s="78">
        <f>SUM(AC77:AC94)</f>
        <v>663.46351315082325</v>
      </c>
      <c r="AD100" s="78">
        <f>AC100/AE100</f>
        <v>0.19152025734120237</v>
      </c>
      <c r="AE100" s="78">
        <f>SUM(AE77:AE94)</f>
        <v>3464.1949753066156</v>
      </c>
      <c r="AF100" s="79" t="str">
        <f>CONCATENATE(ROUND(S100,2),", (",ROUND(-(X100-S100),2),", ",ROUND(Y100+S100,2),")")</f>
        <v>0.19, (0.11, 0.26)</v>
      </c>
      <c r="AG100" s="78">
        <f>SUM(AG77:AG94)</f>
        <v>237.82758029755303</v>
      </c>
      <c r="AH100" s="29"/>
      <c r="AI100" s="78">
        <f>SUM(AI77:AI94)</f>
        <v>8.7077838830031169</v>
      </c>
      <c r="AJ100"/>
      <c r="AK100" s="81">
        <f>COUNT(AI77:AI94)</f>
        <v>18</v>
      </c>
      <c r="AL100">
        <f>CHIDIST(AI100,AK100-1)</f>
        <v>0.94898552199501895</v>
      </c>
      <c r="AM100" s="82">
        <f>IF((AI100-AK100+1)/AI100&lt;0,0,(AI100-AK100+1)/AI100)</f>
        <v>0</v>
      </c>
      <c r="AN100" s="74"/>
    </row>
    <row r="101" spans="1:42" x14ac:dyDescent="0.25">
      <c r="A101" s="10" t="s">
        <v>131</v>
      </c>
      <c r="B101" s="21"/>
      <c r="C101" s="21"/>
      <c r="D101" s="21"/>
      <c r="E101" s="11"/>
      <c r="F101" s="21"/>
      <c r="G101" s="28"/>
      <c r="H101" s="29"/>
      <c r="I101" s="25"/>
      <c r="J101" s="28"/>
      <c r="K101" s="29"/>
      <c r="L101" s="25"/>
      <c r="M101" s="30"/>
      <c r="N101" s="29"/>
      <c r="O101" s="25"/>
      <c r="T101" s="74">
        <v>85</v>
      </c>
      <c r="U101" s="75"/>
      <c r="AH101" s="29"/>
    </row>
    <row r="102" spans="1:42" x14ac:dyDescent="0.25">
      <c r="A102" s="10"/>
      <c r="B102" s="21"/>
      <c r="C102" s="21"/>
      <c r="D102" s="21"/>
      <c r="E102" s="11"/>
      <c r="F102" s="21"/>
      <c r="G102" s="28"/>
      <c r="H102" s="29"/>
      <c r="I102" s="25"/>
      <c r="J102" s="28"/>
      <c r="K102" s="29"/>
      <c r="L102" s="25"/>
      <c r="M102" s="30"/>
      <c r="N102" s="29"/>
      <c r="O102" s="25"/>
      <c r="Q102" s="1" t="s">
        <v>326</v>
      </c>
      <c r="T102" s="2">
        <v>84</v>
      </c>
      <c r="U102" s="75"/>
      <c r="AH102" s="29"/>
    </row>
    <row r="103" spans="1:42" x14ac:dyDescent="0.25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0.11</v>
      </c>
      <c r="H103" s="13">
        <v>0.1</v>
      </c>
      <c r="I103" s="14" t="s">
        <v>133</v>
      </c>
      <c r="J103" s="12"/>
      <c r="K103" s="13"/>
      <c r="L103" s="14"/>
      <c r="M103" s="12"/>
      <c r="N103" s="16"/>
      <c r="O103" s="14"/>
      <c r="Q103" s="2" t="str">
        <f>CONCATENATE(B106,"_",E106,"_",D106,"_",C106)</f>
        <v>EAS_Men_BNT_PEF</v>
      </c>
      <c r="S103" s="75">
        <f>G106</f>
        <v>0.04</v>
      </c>
      <c r="T103" s="74">
        <v>83</v>
      </c>
      <c r="U103" s="102">
        <f>W103/G106*H106</f>
        <v>0.14007473842868901</v>
      </c>
      <c r="V103" s="76" t="str">
        <f>I106</f>
        <v>p=0.79</v>
      </c>
      <c r="W103" s="74">
        <f t="shared" ref="W103:W121" si="64">0.5*LN((1+S103)/(1-S103))</f>
        <v>4.0021353836768282E-2</v>
      </c>
      <c r="X103" s="74">
        <f t="shared" ref="X103:X121" si="65">S103-(EXP(2*Z103)-1)/(EXP(2*Z103)+1)</f>
        <v>0.27031788540063506</v>
      </c>
      <c r="Y103" s="74">
        <f t="shared" ref="Y103:Y121" si="66">(EXP(2*AA103)-1)/(EXP(2*AA103)+1)-S103</f>
        <v>0.2645869099203188</v>
      </c>
      <c r="Z103" s="74">
        <f t="shared" ref="Z103:Z121" si="67">W103-AB103</f>
        <v>-0.23452513348346218</v>
      </c>
      <c r="AA103" s="74">
        <f t="shared" ref="AA103:AA121" si="68">W103+AB103</f>
        <v>0.31456784115699876</v>
      </c>
      <c r="AB103" s="74">
        <f t="shared" ref="AB103:AB121" si="69">1.96*U103</f>
        <v>0.27454648732023046</v>
      </c>
      <c r="AC103" s="78">
        <f t="shared" ref="AC103:AC121" si="70">IF(W103&lt;&gt;"",ABS(W103/U103^2),"")</f>
        <v>2.0397274263677505</v>
      </c>
      <c r="AD103" s="78"/>
      <c r="AE103" s="78">
        <f t="shared" ref="AE103:AE121" si="71">U103^-2</f>
        <v>50.9659776799909</v>
      </c>
      <c r="AF103" s="79" t="str">
        <f t="shared" ref="AF103:AF121" si="72">CONCATENATE(ROUND(S103,2),", (",ROUND(-(X103-S103),2),", ",ROUND(Y103+S103,2),")")</f>
        <v>0.04, (-0.23, 0.3)</v>
      </c>
      <c r="AG103" s="78">
        <f t="shared" ref="AG103:AG127" si="73">1.96/AB103</f>
        <v>7.1390459922871274</v>
      </c>
      <c r="AH103" s="2">
        <f t="shared" ref="AH103:AH127" si="74">G103/H103</f>
        <v>1.0999999999999999</v>
      </c>
      <c r="AI103" s="78">
        <f t="shared" ref="AI103:AI127" si="75">(Z103/1.96)^2*AE103</f>
        <v>0.72970445987641219</v>
      </c>
      <c r="AJ103" s="85">
        <f t="shared" ref="AJ103:AJ127" si="76">ROUND(AG103/AG$133*100,0)+1</f>
        <v>3</v>
      </c>
    </row>
    <row r="104" spans="1:42" x14ac:dyDescent="0.25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7">
        <v>0.27</v>
      </c>
      <c r="H104" s="18">
        <v>0.1</v>
      </c>
      <c r="I104" s="14" t="s">
        <v>45</v>
      </c>
      <c r="J104" s="17"/>
      <c r="K104" s="18"/>
      <c r="L104" s="14"/>
      <c r="M104" s="19"/>
      <c r="N104" s="18"/>
      <c r="O104" s="14"/>
      <c r="Q104" s="2" t="str">
        <f>CONCATENATE(B107,"_",E107,"_",D107,"_",C107)</f>
        <v>EAS_Women_BNT_PEF</v>
      </c>
      <c r="S104" s="75">
        <f>G107</f>
        <v>0.17</v>
      </c>
      <c r="T104" s="2">
        <v>82</v>
      </c>
      <c r="U104" s="102">
        <f>W104/G107*H107</f>
        <v>9.0882351265012457E-2</v>
      </c>
      <c r="V104" s="76" t="str">
        <f>I107</f>
        <v>p=0.06^</v>
      </c>
      <c r="W104" s="74">
        <f t="shared" si="64"/>
        <v>0.1716666635005791</v>
      </c>
      <c r="X104" s="74">
        <f t="shared" si="65"/>
        <v>0.17646265500370215</v>
      </c>
      <c r="Y104" s="74">
        <f t="shared" si="66"/>
        <v>0.16619467806303076</v>
      </c>
      <c r="Z104" s="74">
        <f t="shared" si="67"/>
        <v>-6.4627449788453029E-3</v>
      </c>
      <c r="AA104" s="74">
        <f t="shared" si="68"/>
        <v>0.34979607198000351</v>
      </c>
      <c r="AB104" s="74">
        <f t="shared" si="69"/>
        <v>0.17812940847942441</v>
      </c>
      <c r="AC104" s="78">
        <f t="shared" si="70"/>
        <v>20.783891070125364</v>
      </c>
      <c r="AD104" s="78"/>
      <c r="AE104" s="78">
        <f t="shared" si="71"/>
        <v>121.07121235017917</v>
      </c>
      <c r="AF104" s="79" t="str">
        <f t="shared" si="72"/>
        <v>0.17, (-0.01, 0.34)</v>
      </c>
      <c r="AG104" s="78">
        <f t="shared" si="73"/>
        <v>11.003236448889899</v>
      </c>
      <c r="AH104" s="2">
        <f t="shared" si="74"/>
        <v>2.7</v>
      </c>
      <c r="AI104" s="78">
        <f t="shared" si="75"/>
        <v>1.3163239596669998E-3</v>
      </c>
      <c r="AJ104" s="85">
        <f t="shared" si="76"/>
        <v>4</v>
      </c>
    </row>
    <row r="105" spans="1:42" x14ac:dyDescent="0.25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-0.05</v>
      </c>
      <c r="H105" s="13">
        <v>0.05</v>
      </c>
      <c r="I105" s="14" t="s">
        <v>90</v>
      </c>
      <c r="J105" s="12"/>
      <c r="K105" s="13"/>
      <c r="L105" s="14"/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7.0000000000000007E-2</v>
      </c>
      <c r="T105" s="74">
        <v>81</v>
      </c>
      <c r="U105" s="102">
        <f>W105/G110*H110</f>
        <v>0.11018019674251094</v>
      </c>
      <c r="V105" s="76" t="str">
        <f>I110</f>
        <v>p=0.54</v>
      </c>
      <c r="W105" s="74">
        <f t="shared" si="64"/>
        <v>7.0114670654325154E-2</v>
      </c>
      <c r="X105" s="74">
        <f t="shared" si="65"/>
        <v>0.21481329592216492</v>
      </c>
      <c r="Y105" s="74">
        <f t="shared" si="66"/>
        <v>0.2085116669617012</v>
      </c>
      <c r="Z105" s="74">
        <f t="shared" si="67"/>
        <v>-0.14583851496099626</v>
      </c>
      <c r="AA105" s="74">
        <f t="shared" si="68"/>
        <v>0.28606785626964659</v>
      </c>
      <c r="AB105" s="74">
        <f t="shared" si="69"/>
        <v>0.21595318561532142</v>
      </c>
      <c r="AC105" s="78">
        <f t="shared" si="70"/>
        <v>5.7756625525983258</v>
      </c>
      <c r="AD105" s="78"/>
      <c r="AE105" s="78">
        <f t="shared" si="71"/>
        <v>82.374523030609765</v>
      </c>
      <c r="AF105" s="79" t="str">
        <f t="shared" si="72"/>
        <v>0.07, (-0.14, 0.28)</v>
      </c>
      <c r="AG105" s="78">
        <f t="shared" si="73"/>
        <v>9.0760411540830823</v>
      </c>
      <c r="AH105" s="2">
        <f t="shared" si="74"/>
        <v>-1</v>
      </c>
      <c r="AI105" s="78">
        <f t="shared" si="75"/>
        <v>0.45606341710237791</v>
      </c>
      <c r="AJ105" s="85">
        <f t="shared" si="76"/>
        <v>4</v>
      </c>
    </row>
    <row r="106" spans="1:42" x14ac:dyDescent="0.25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0.04</v>
      </c>
      <c r="H106" s="13">
        <v>0.14000000000000001</v>
      </c>
      <c r="I106" s="14" t="s">
        <v>137</v>
      </c>
      <c r="J106" s="12"/>
      <c r="K106" s="13"/>
      <c r="L106" s="14"/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0.26</v>
      </c>
      <c r="T106" s="2">
        <v>80</v>
      </c>
      <c r="U106" s="102">
        <f>W106/G111*H111</f>
        <v>9.2114448533187954E-2</v>
      </c>
      <c r="V106" s="76" t="str">
        <f>I111</f>
        <v>p&lt;0.01 **</v>
      </c>
      <c r="W106" s="74">
        <f t="shared" si="64"/>
        <v>0.26610840687365411</v>
      </c>
      <c r="X106" s="74">
        <f t="shared" si="65"/>
        <v>0.17464411353198656</v>
      </c>
      <c r="Y106" s="74">
        <f t="shared" si="66"/>
        <v>0.15914366106747629</v>
      </c>
      <c r="Z106" s="74">
        <f t="shared" si="67"/>
        <v>8.5564087748605716E-2</v>
      </c>
      <c r="AA106" s="74">
        <f t="shared" si="68"/>
        <v>0.44665272599870254</v>
      </c>
      <c r="AB106" s="74">
        <f t="shared" si="69"/>
        <v>0.1805443191250484</v>
      </c>
      <c r="AC106" s="78">
        <f t="shared" si="70"/>
        <v>31.361951733859105</v>
      </c>
      <c r="AD106" s="78"/>
      <c r="AE106" s="78">
        <f t="shared" si="71"/>
        <v>117.85404340400819</v>
      </c>
      <c r="AF106" s="79" t="str">
        <f t="shared" si="72"/>
        <v>0.26, (0.09, 0.42)</v>
      </c>
      <c r="AG106" s="78">
        <f t="shared" si="73"/>
        <v>10.856060215566611</v>
      </c>
      <c r="AH106" s="2">
        <f t="shared" si="74"/>
        <v>0.2857142857142857</v>
      </c>
      <c r="AI106" s="78">
        <f t="shared" si="75"/>
        <v>0.2246029175086513</v>
      </c>
      <c r="AJ106" s="85">
        <f t="shared" si="76"/>
        <v>4</v>
      </c>
    </row>
    <row r="107" spans="1:42" x14ac:dyDescent="0.25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7">
        <v>0.17</v>
      </c>
      <c r="H107" s="18">
        <v>0.09</v>
      </c>
      <c r="I107" s="14" t="s">
        <v>140</v>
      </c>
      <c r="J107" s="17"/>
      <c r="K107" s="18"/>
      <c r="L107" s="14"/>
      <c r="M107" s="19"/>
      <c r="N107" s="18"/>
      <c r="O107" s="14"/>
      <c r="Q107" s="2" t="str">
        <f>CONCATENATE(B114,"_",E114,"_",D114,"_",C114)</f>
        <v>EAS_Men_FAS_PEF</v>
      </c>
      <c r="S107" s="75">
        <f>G114</f>
        <v>0.14000000000000001</v>
      </c>
      <c r="T107" s="74">
        <v>79</v>
      </c>
      <c r="U107" s="102">
        <f>W107/G114*H114</f>
        <v>0.11072723834110236</v>
      </c>
      <c r="V107" s="76" t="str">
        <f>I114</f>
        <v>p=0.17</v>
      </c>
      <c r="W107" s="74">
        <f t="shared" si="64"/>
        <v>0.14092557607049391</v>
      </c>
      <c r="X107" s="74">
        <f t="shared" si="65"/>
        <v>0.21595324797851306</v>
      </c>
      <c r="Y107" s="74">
        <f t="shared" si="66"/>
        <v>0.20340791161596866</v>
      </c>
      <c r="Z107" s="74">
        <f t="shared" si="67"/>
        <v>-7.6099811078066709E-2</v>
      </c>
      <c r="AA107" s="74">
        <f t="shared" si="68"/>
        <v>0.35795096321905451</v>
      </c>
      <c r="AB107" s="74">
        <f t="shared" si="69"/>
        <v>0.21702538714856062</v>
      </c>
      <c r="AC107" s="78">
        <f t="shared" si="70"/>
        <v>11.494256443085437</v>
      </c>
      <c r="AD107" s="78"/>
      <c r="AE107" s="78">
        <f t="shared" si="71"/>
        <v>81.562600370962969</v>
      </c>
      <c r="AF107" s="79" t="str">
        <f t="shared" si="72"/>
        <v>0.14, (-0.08, 0.34)</v>
      </c>
      <c r="AG107" s="78">
        <f t="shared" si="73"/>
        <v>9.0312014909957004</v>
      </c>
      <c r="AH107" s="2">
        <f t="shared" si="74"/>
        <v>1.8888888888888891</v>
      </c>
      <c r="AI107" s="78">
        <f t="shared" si="75"/>
        <v>0.12295496711081125</v>
      </c>
      <c r="AJ107" s="85">
        <f t="shared" si="76"/>
        <v>4</v>
      </c>
    </row>
    <row r="108" spans="1:42" x14ac:dyDescent="0.25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7.0000000000000007E-2</v>
      </c>
      <c r="H108" s="13">
        <v>0.08</v>
      </c>
      <c r="I108" s="14" t="s">
        <v>141</v>
      </c>
      <c r="J108" s="12"/>
      <c r="K108" s="13"/>
      <c r="L108" s="14"/>
      <c r="M108" s="12"/>
      <c r="N108" s="16"/>
      <c r="O108" s="14"/>
      <c r="Q108" s="2" t="str">
        <f>CONCATENATE(B115,"_",E115,"_",D115,"_",C115)</f>
        <v>EAS_Women_FAS_PEF</v>
      </c>
      <c r="S108" s="75">
        <f>G115</f>
        <v>0.19</v>
      </c>
      <c r="T108" s="2">
        <v>78</v>
      </c>
      <c r="U108" s="102">
        <f>W108/G115*H115</f>
        <v>8.0984071250334855E-2</v>
      </c>
      <c r="V108" s="76" t="str">
        <f>I115</f>
        <v>p=0.02 *</v>
      </c>
      <c r="W108" s="74">
        <f t="shared" si="64"/>
        <v>0.19233716921954527</v>
      </c>
      <c r="X108" s="74">
        <f t="shared" si="65"/>
        <v>0.15640425854245721</v>
      </c>
      <c r="Y108" s="74">
        <f t="shared" si="66"/>
        <v>0.14732054348752366</v>
      </c>
      <c r="Z108" s="74">
        <f t="shared" si="67"/>
        <v>3.3608389568888952E-2</v>
      </c>
      <c r="AA108" s="74">
        <f t="shared" si="68"/>
        <v>0.35106594887020159</v>
      </c>
      <c r="AB108" s="74">
        <f t="shared" si="69"/>
        <v>0.15872877965065632</v>
      </c>
      <c r="AC108" s="78">
        <f t="shared" si="70"/>
        <v>29.326754796736395</v>
      </c>
      <c r="AD108" s="78"/>
      <c r="AE108" s="78">
        <f t="shared" si="71"/>
        <v>152.47575346843681</v>
      </c>
      <c r="AF108" s="79" t="str">
        <f t="shared" si="72"/>
        <v>0.19, (0.03, 0.34)</v>
      </c>
      <c r="AG108" s="78">
        <f t="shared" si="73"/>
        <v>12.348107282836377</v>
      </c>
      <c r="AH108" s="2">
        <f t="shared" si="74"/>
        <v>0.87500000000000011</v>
      </c>
      <c r="AI108" s="78">
        <f t="shared" si="75"/>
        <v>4.4831580591420214E-2</v>
      </c>
      <c r="AJ108" s="85">
        <f t="shared" si="76"/>
        <v>5</v>
      </c>
    </row>
    <row r="109" spans="1:42" x14ac:dyDescent="0.25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7">
        <v>0.08</v>
      </c>
      <c r="H109" s="18">
        <v>0.05</v>
      </c>
      <c r="I109" s="14" t="s">
        <v>144</v>
      </c>
      <c r="J109" s="17"/>
      <c r="K109" s="18"/>
      <c r="L109" s="14"/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-0.01</v>
      </c>
      <c r="T109" s="74">
        <v>77</v>
      </c>
      <c r="U109" s="102">
        <f>W109/G126*H126</f>
        <v>0.13000433359335203</v>
      </c>
      <c r="V109" s="76" t="str">
        <f>I126</f>
        <v>p=0.91</v>
      </c>
      <c r="W109" s="74">
        <f t="shared" si="64"/>
        <v>-1.0000333353334771E-2</v>
      </c>
      <c r="X109" s="74">
        <f t="shared" si="65"/>
        <v>0.24878786302140338</v>
      </c>
      <c r="Y109" s="74">
        <f t="shared" si="66"/>
        <v>0.25003208641305219</v>
      </c>
      <c r="Z109" s="74">
        <f t="shared" si="67"/>
        <v>-0.26480882719630477</v>
      </c>
      <c r="AA109" s="74">
        <f t="shared" si="68"/>
        <v>0.24480816048963522</v>
      </c>
      <c r="AB109" s="74">
        <f t="shared" si="69"/>
        <v>0.25480849384297</v>
      </c>
      <c r="AC109" s="78">
        <f t="shared" si="70"/>
        <v>0.59169625193948527</v>
      </c>
      <c r="AD109" s="78"/>
      <c r="AE109" s="78">
        <f t="shared" si="71"/>
        <v>59.167652820510696</v>
      </c>
      <c r="AF109" s="79" t="str">
        <f t="shared" si="72"/>
        <v>-0.01, (-0.26, 0.24)</v>
      </c>
      <c r="AG109" s="78">
        <f t="shared" si="73"/>
        <v>7.6920512752133092</v>
      </c>
      <c r="AH109" s="2">
        <f t="shared" si="74"/>
        <v>1.5999999999999999</v>
      </c>
      <c r="AI109" s="78">
        <f t="shared" si="75"/>
        <v>1.0800332208719738</v>
      </c>
      <c r="AJ109" s="85">
        <f t="shared" si="76"/>
        <v>3</v>
      </c>
    </row>
    <row r="110" spans="1:42" x14ac:dyDescent="0.25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7.0000000000000007E-2</v>
      </c>
      <c r="H110" s="13">
        <v>0.11</v>
      </c>
      <c r="I110" s="14" t="s">
        <v>146</v>
      </c>
      <c r="J110" s="12"/>
      <c r="K110" s="13"/>
      <c r="L110" s="14"/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0.03</v>
      </c>
      <c r="T110" s="2">
        <v>76</v>
      </c>
      <c r="U110" s="102">
        <f>W110/G127*H127</f>
        <v>9.0027014589379423E-2</v>
      </c>
      <c r="V110" s="76" t="str">
        <f>I127</f>
        <v>p=0.78</v>
      </c>
      <c r="W110" s="74">
        <f t="shared" si="64"/>
        <v>3.0009004863126475E-2</v>
      </c>
      <c r="X110" s="74">
        <f t="shared" si="65"/>
        <v>0.17540597627750354</v>
      </c>
      <c r="Y110" s="74">
        <f t="shared" si="66"/>
        <v>0.17357753842816878</v>
      </c>
      <c r="Z110" s="74">
        <f t="shared" si="67"/>
        <v>-0.14644394373205721</v>
      </c>
      <c r="AA110" s="74">
        <f t="shared" si="68"/>
        <v>0.20646195345831014</v>
      </c>
      <c r="AB110" s="74">
        <f t="shared" si="69"/>
        <v>0.17645294859518368</v>
      </c>
      <c r="AC110" s="78">
        <f t="shared" si="70"/>
        <v>3.7025923258001381</v>
      </c>
      <c r="AD110" s="78"/>
      <c r="AE110" s="78">
        <f t="shared" si="71"/>
        <v>123.38270937966669</v>
      </c>
      <c r="AF110" s="79" t="str">
        <f t="shared" si="72"/>
        <v>0.03, (-0.15, 0.2)</v>
      </c>
      <c r="AG110" s="78">
        <f t="shared" si="73"/>
        <v>11.107776977400414</v>
      </c>
      <c r="AH110" s="2">
        <f t="shared" si="74"/>
        <v>0.63636363636363646</v>
      </c>
      <c r="AI110" s="78">
        <f t="shared" si="75"/>
        <v>0.68878707945763351</v>
      </c>
      <c r="AJ110" s="85">
        <f t="shared" si="76"/>
        <v>4</v>
      </c>
    </row>
    <row r="111" spans="1:42" x14ac:dyDescent="0.25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7">
        <v>0.26</v>
      </c>
      <c r="H111" s="18">
        <v>0.09</v>
      </c>
      <c r="I111" s="14" t="s">
        <v>45</v>
      </c>
      <c r="J111" s="17"/>
      <c r="K111" s="18"/>
      <c r="L111" s="14"/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0.06</v>
      </c>
      <c r="T111" s="74">
        <v>75</v>
      </c>
      <c r="U111" s="102">
        <f>W111/G116*H116</f>
        <v>0.12014431184206341</v>
      </c>
      <c r="V111" s="76" t="str">
        <f>I116</f>
        <v>p=0.59</v>
      </c>
      <c r="W111" s="74">
        <f t="shared" si="64"/>
        <v>6.0072155921031704E-2</v>
      </c>
      <c r="X111" s="74">
        <f t="shared" si="65"/>
        <v>0.2336334996228174</v>
      </c>
      <c r="Y111" s="74">
        <f t="shared" si="66"/>
        <v>0.22723958791927362</v>
      </c>
      <c r="Z111" s="74">
        <f t="shared" si="67"/>
        <v>-0.17541069528941255</v>
      </c>
      <c r="AA111" s="74">
        <f t="shared" si="68"/>
        <v>0.29555500713147598</v>
      </c>
      <c r="AB111" s="74">
        <f t="shared" si="69"/>
        <v>0.23548285121044427</v>
      </c>
      <c r="AC111" s="78">
        <f t="shared" si="70"/>
        <v>4.1616618575940461</v>
      </c>
      <c r="AD111" s="78"/>
      <c r="AE111" s="78">
        <f t="shared" si="71"/>
        <v>69.27771766781251</v>
      </c>
      <c r="AF111" s="79" t="str">
        <f t="shared" si="72"/>
        <v>0.06, (-0.17, 0.29)</v>
      </c>
      <c r="AG111" s="78">
        <f t="shared" si="73"/>
        <v>8.3233237151880939</v>
      </c>
      <c r="AH111" s="2">
        <f t="shared" si="74"/>
        <v>2.8888888888888893</v>
      </c>
      <c r="AI111" s="78">
        <f t="shared" si="75"/>
        <v>0.55487296959600152</v>
      </c>
      <c r="AJ111" s="85">
        <f t="shared" si="76"/>
        <v>4</v>
      </c>
    </row>
    <row r="112" spans="1:42" x14ac:dyDescent="0.25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0.16</v>
      </c>
      <c r="H112" s="13">
        <v>7.0000000000000007E-2</v>
      </c>
      <c r="I112" s="14" t="s">
        <v>66</v>
      </c>
      <c r="J112" s="12"/>
      <c r="K112" s="13"/>
      <c r="L112" s="14"/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0.11</v>
      </c>
      <c r="T112" s="2">
        <v>74</v>
      </c>
      <c r="U112" s="102">
        <f>W112/G117*H117</f>
        <v>9.0365658373715893E-2</v>
      </c>
      <c r="V112" s="76" t="str">
        <f>I117</f>
        <v>p=0.23</v>
      </c>
      <c r="W112" s="74">
        <f t="shared" si="64"/>
        <v>0.11044691579009722</v>
      </c>
      <c r="X112" s="74">
        <f t="shared" si="65"/>
        <v>0.17657117068503012</v>
      </c>
      <c r="Y112" s="74">
        <f t="shared" si="66"/>
        <v>0.16989081788361671</v>
      </c>
      <c r="Z112" s="74">
        <f t="shared" si="67"/>
        <v>-6.6669774622385936E-2</v>
      </c>
      <c r="AA112" s="74">
        <f t="shared" si="68"/>
        <v>0.28756360620258037</v>
      </c>
      <c r="AB112" s="74">
        <f t="shared" si="69"/>
        <v>0.17711669041248315</v>
      </c>
      <c r="AC112" s="78">
        <f t="shared" si="70"/>
        <v>13.525295385638694</v>
      </c>
      <c r="AD112" s="78"/>
      <c r="AE112" s="78">
        <f t="shared" si="71"/>
        <v>122.45969286587709</v>
      </c>
      <c r="AF112" s="79" t="str">
        <f t="shared" si="72"/>
        <v>0.11, (-0.07, 0.28)</v>
      </c>
      <c r="AG112" s="78">
        <f t="shared" si="73"/>
        <v>11.066150770068022</v>
      </c>
      <c r="AH112" s="2">
        <f t="shared" si="74"/>
        <v>2.2857142857142856</v>
      </c>
      <c r="AI112" s="78">
        <f t="shared" si="75"/>
        <v>0.14168993372103178</v>
      </c>
      <c r="AJ112" s="85">
        <f t="shared" si="76"/>
        <v>4</v>
      </c>
    </row>
    <row r="113" spans="1:36" x14ac:dyDescent="0.25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17">
        <v>0.23</v>
      </c>
      <c r="H113" s="18">
        <v>0.04</v>
      </c>
      <c r="I113" s="14" t="s">
        <v>148</v>
      </c>
      <c r="J113" s="17"/>
      <c r="K113" s="18"/>
      <c r="L113" s="14"/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0.11</v>
      </c>
      <c r="T113" s="74">
        <v>73</v>
      </c>
      <c r="U113" s="102">
        <f>W113/G122*H122</f>
        <v>0.13052817320647853</v>
      </c>
      <c r="V113" s="76" t="str">
        <f>I122</f>
        <v>p=0.38</v>
      </c>
      <c r="W113" s="74">
        <f t="shared" si="64"/>
        <v>0.11044691579009722</v>
      </c>
      <c r="X113" s="74">
        <f t="shared" si="65"/>
        <v>0.25437249727823691</v>
      </c>
      <c r="Y113" s="74">
        <f t="shared" si="66"/>
        <v>0.24073546334869267</v>
      </c>
      <c r="Z113" s="74">
        <f t="shared" si="67"/>
        <v>-0.14538830369460068</v>
      </c>
      <c r="AA113" s="74">
        <f t="shared" si="68"/>
        <v>0.36628213527479514</v>
      </c>
      <c r="AB113" s="74">
        <f t="shared" si="69"/>
        <v>0.2558352194846979</v>
      </c>
      <c r="AC113" s="78">
        <f t="shared" si="70"/>
        <v>6.4825380250694327</v>
      </c>
      <c r="AD113" s="78"/>
      <c r="AE113" s="78">
        <f t="shared" si="71"/>
        <v>58.693698947550544</v>
      </c>
      <c r="AF113" s="79" t="str">
        <f t="shared" si="72"/>
        <v>0.11, (-0.14, 0.35)</v>
      </c>
      <c r="AG113" s="78">
        <f t="shared" si="73"/>
        <v>7.6611813023547848</v>
      </c>
      <c r="AH113" s="2">
        <f t="shared" si="74"/>
        <v>5.75</v>
      </c>
      <c r="AI113" s="78">
        <f t="shared" si="75"/>
        <v>0.32295222158420184</v>
      </c>
      <c r="AJ113" s="85">
        <f t="shared" si="76"/>
        <v>3</v>
      </c>
    </row>
    <row r="114" spans="1:36" x14ac:dyDescent="0.25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0.14000000000000001</v>
      </c>
      <c r="H114" s="13">
        <v>0.11</v>
      </c>
      <c r="I114" s="14" t="s">
        <v>68</v>
      </c>
      <c r="J114" s="12"/>
      <c r="K114" s="13"/>
      <c r="L114" s="14"/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0.16</v>
      </c>
      <c r="T114" s="2">
        <v>72</v>
      </c>
      <c r="U114" s="102">
        <f>W114/G123*H123</f>
        <v>0.10086668508220345</v>
      </c>
      <c r="V114" s="76" t="str">
        <f>I123</f>
        <v>p=.09^</v>
      </c>
      <c r="W114" s="74">
        <f t="shared" si="64"/>
        <v>0.16138669613152551</v>
      </c>
      <c r="X114" s="74">
        <f t="shared" si="65"/>
        <v>0.19629605516748672</v>
      </c>
      <c r="Y114" s="74">
        <f t="shared" si="66"/>
        <v>0.1844081743264612</v>
      </c>
      <c r="Z114" s="74">
        <f t="shared" si="67"/>
        <v>-3.6312006629593246E-2</v>
      </c>
      <c r="AA114" s="74">
        <f t="shared" si="68"/>
        <v>0.35908539889264424</v>
      </c>
      <c r="AB114" s="74">
        <f t="shared" si="69"/>
        <v>0.19769870276111876</v>
      </c>
      <c r="AC114" s="78">
        <f t="shared" si="70"/>
        <v>15.86252188912569</v>
      </c>
      <c r="AD114" s="78"/>
      <c r="AE114" s="78">
        <f t="shared" si="71"/>
        <v>98.288906516793631</v>
      </c>
      <c r="AF114" s="79" t="str">
        <f t="shared" si="72"/>
        <v>0.16, (-0.04, 0.34)</v>
      </c>
      <c r="AG114" s="78">
        <f t="shared" si="73"/>
        <v>9.9140761807035567</v>
      </c>
      <c r="AH114" s="2">
        <f t="shared" si="74"/>
        <v>1.2727272727272729</v>
      </c>
      <c r="AI114" s="78">
        <f t="shared" si="75"/>
        <v>3.3735943356934618E-2</v>
      </c>
      <c r="AJ114" s="85">
        <f t="shared" si="76"/>
        <v>4</v>
      </c>
    </row>
    <row r="115" spans="1:36" x14ac:dyDescent="0.25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7">
        <v>0.19</v>
      </c>
      <c r="H115" s="18">
        <v>0.08</v>
      </c>
      <c r="I115" s="14" t="s">
        <v>66</v>
      </c>
      <c r="J115" s="17"/>
      <c r="K115" s="18"/>
      <c r="L115" s="14"/>
      <c r="M115" s="19"/>
      <c r="N115" s="18"/>
      <c r="O115" s="14"/>
      <c r="Q115" s="2" t="str">
        <f>CONCATENATE(B108,"_",E108,"_",D108,"_",C108)</f>
        <v>MAP_Men_BNT_FEV1</v>
      </c>
      <c r="S115" s="75">
        <f>G108</f>
        <v>7.0000000000000007E-2</v>
      </c>
      <c r="T115" s="74">
        <v>71</v>
      </c>
      <c r="U115" s="102">
        <f>W115/G108*H108</f>
        <v>8.0131052176371592E-2</v>
      </c>
      <c r="V115" s="76" t="str">
        <f>I108</f>
        <v>p=0.35</v>
      </c>
      <c r="W115" s="74">
        <f t="shared" si="64"/>
        <v>7.0114670654325154E-2</v>
      </c>
      <c r="X115" s="74">
        <f t="shared" si="65"/>
        <v>0.15672378820831884</v>
      </c>
      <c r="Y115" s="74">
        <f t="shared" si="66"/>
        <v>0.15334267840674309</v>
      </c>
      <c r="Z115" s="74">
        <f t="shared" si="67"/>
        <v>-8.694219161136317E-2</v>
      </c>
      <c r="AA115" s="74">
        <f t="shared" si="68"/>
        <v>0.22717153292001346</v>
      </c>
      <c r="AB115" s="74">
        <f t="shared" si="69"/>
        <v>0.15705686226568832</v>
      </c>
      <c r="AC115" s="78">
        <f t="shared" si="70"/>
        <v>10.91961201350621</v>
      </c>
      <c r="AD115" s="78"/>
      <c r="AE115" s="78">
        <f t="shared" si="71"/>
        <v>155.73933260474658</v>
      </c>
      <c r="AF115" s="79" t="str">
        <f t="shared" si="72"/>
        <v>0.07, (-0.09, 0.22)</v>
      </c>
      <c r="AG115" s="78">
        <f t="shared" si="73"/>
        <v>12.479556586864238</v>
      </c>
      <c r="AH115" s="2">
        <f t="shared" si="74"/>
        <v>2.375</v>
      </c>
      <c r="AI115" s="78">
        <f t="shared" si="75"/>
        <v>0.30644132653061223</v>
      </c>
      <c r="AJ115" s="85">
        <f t="shared" si="76"/>
        <v>5</v>
      </c>
    </row>
    <row r="116" spans="1:36" x14ac:dyDescent="0.25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0.06</v>
      </c>
      <c r="H116" s="13">
        <v>0.12</v>
      </c>
      <c r="I116" s="14" t="s">
        <v>58</v>
      </c>
      <c r="J116" s="12"/>
      <c r="K116" s="13"/>
      <c r="L116" s="14"/>
      <c r="M116" s="12"/>
      <c r="N116" s="16"/>
      <c r="O116" s="14"/>
      <c r="Q116" s="2" t="str">
        <f>CONCATENATE(B109,"_",E109,"_",D109,"_",C109)</f>
        <v>MAP_Women_BNT_FEV1</v>
      </c>
      <c r="S116" s="75">
        <f>G109</f>
        <v>0.08</v>
      </c>
      <c r="T116" s="2">
        <v>70</v>
      </c>
      <c r="U116" s="102">
        <f>W116/G109*H109</f>
        <v>5.0107078148493592E-2</v>
      </c>
      <c r="V116" s="76" t="str">
        <f>I109</f>
        <v>p=0.10</v>
      </c>
      <c r="W116" s="74">
        <f t="shared" si="64"/>
        <v>8.0171325037589738E-2</v>
      </c>
      <c r="X116" s="74">
        <f t="shared" si="65"/>
        <v>9.8036591871714318E-2</v>
      </c>
      <c r="Y116" s="74">
        <f t="shared" si="66"/>
        <v>9.6512952430845331E-2</v>
      </c>
      <c r="Z116" s="74">
        <f t="shared" si="67"/>
        <v>-1.8038548133457705E-2</v>
      </c>
      <c r="AA116" s="74">
        <f t="shared" si="68"/>
        <v>0.17838119820863718</v>
      </c>
      <c r="AB116" s="74">
        <f t="shared" si="69"/>
        <v>9.8209873171047443E-2</v>
      </c>
      <c r="AC116" s="78">
        <f t="shared" si="70"/>
        <v>31.931616432679618</v>
      </c>
      <c r="AD116" s="78"/>
      <c r="AE116" s="78">
        <f t="shared" si="71"/>
        <v>398.29223750147469</v>
      </c>
      <c r="AF116" s="79" t="str">
        <f t="shared" si="72"/>
        <v>0.08, (-0.02, 0.18)</v>
      </c>
      <c r="AG116" s="78">
        <f t="shared" si="73"/>
        <v>19.957260270424761</v>
      </c>
      <c r="AH116" s="2">
        <f t="shared" si="74"/>
        <v>0.5</v>
      </c>
      <c r="AI116" s="78">
        <f t="shared" si="75"/>
        <v>3.3735943356934653E-2</v>
      </c>
      <c r="AJ116" s="85">
        <f t="shared" si="76"/>
        <v>7</v>
      </c>
    </row>
    <row r="117" spans="1:36" x14ac:dyDescent="0.25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7">
        <v>0.11</v>
      </c>
      <c r="H117" s="18">
        <v>0.09</v>
      </c>
      <c r="I117" s="14" t="s">
        <v>83</v>
      </c>
      <c r="J117" s="17"/>
      <c r="K117" s="18"/>
      <c r="L117" s="14"/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0.16</v>
      </c>
      <c r="T117" s="74">
        <v>69</v>
      </c>
      <c r="U117" s="102">
        <f>W117/G112*H112</f>
        <v>7.0606679557542421E-2</v>
      </c>
      <c r="V117" s="76" t="str">
        <f>I112</f>
        <v>p=0.02 *</v>
      </c>
      <c r="W117" s="74">
        <f t="shared" si="64"/>
        <v>0.16138669613152551</v>
      </c>
      <c r="X117" s="74">
        <f t="shared" si="65"/>
        <v>0.13700644934312883</v>
      </c>
      <c r="Y117" s="74">
        <f t="shared" si="66"/>
        <v>0.13110741442272941</v>
      </c>
      <c r="Z117" s="74">
        <f t="shared" si="67"/>
        <v>2.2997604198742361E-2</v>
      </c>
      <c r="AA117" s="74">
        <f t="shared" si="68"/>
        <v>0.29977578806430866</v>
      </c>
      <c r="AB117" s="74">
        <f t="shared" si="69"/>
        <v>0.13838909193278315</v>
      </c>
      <c r="AC117" s="78">
        <f t="shared" si="70"/>
        <v>32.372493651276912</v>
      </c>
      <c r="AD117" s="78"/>
      <c r="AE117" s="78">
        <f t="shared" si="71"/>
        <v>200.58960513631348</v>
      </c>
      <c r="AF117" s="79" t="str">
        <f t="shared" si="72"/>
        <v>0.16, (0.02, 0.29)</v>
      </c>
      <c r="AG117" s="78">
        <f t="shared" si="73"/>
        <v>14.16296597243365</v>
      </c>
      <c r="AH117" s="2">
        <f t="shared" si="74"/>
        <v>1.2222222222222223</v>
      </c>
      <c r="AI117" s="78">
        <f t="shared" si="75"/>
        <v>2.7616044335268403E-2</v>
      </c>
      <c r="AJ117" s="85">
        <f t="shared" si="76"/>
        <v>5</v>
      </c>
    </row>
    <row r="118" spans="1:36" x14ac:dyDescent="0.25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0.11</v>
      </c>
      <c r="H118" s="13">
        <v>0.08</v>
      </c>
      <c r="I118" s="14" t="s">
        <v>47</v>
      </c>
      <c r="J118" s="12"/>
      <c r="K118" s="13"/>
      <c r="L118" s="14"/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0.23</v>
      </c>
      <c r="T118" s="2">
        <v>68</v>
      </c>
      <c r="U118" s="102">
        <f>W118/G113*H113</f>
        <v>4.0728602914672493E-2</v>
      </c>
      <c r="V118" s="76" t="str">
        <f>I113</f>
        <v>p&lt;0.01***</v>
      </c>
      <c r="W118" s="74">
        <f t="shared" si="64"/>
        <v>0.2341894667593668</v>
      </c>
      <c r="X118" s="74">
        <f t="shared" si="65"/>
        <v>7.6853034019742555E-2</v>
      </c>
      <c r="Y118" s="74">
        <f t="shared" si="66"/>
        <v>7.4087567848016983E-2</v>
      </c>
      <c r="Z118" s="74">
        <f t="shared" si="67"/>
        <v>0.15436140504660872</v>
      </c>
      <c r="AA118" s="74">
        <f t="shared" si="68"/>
        <v>0.31401752847212488</v>
      </c>
      <c r="AB118" s="74">
        <f t="shared" si="69"/>
        <v>7.982806171275808E-2</v>
      </c>
      <c r="AC118" s="78">
        <f t="shared" si="70"/>
        <v>141.17842470674483</v>
      </c>
      <c r="AD118" s="78"/>
      <c r="AE118" s="78">
        <f t="shared" si="71"/>
        <v>602.83849081823905</v>
      </c>
      <c r="AF118" s="79" t="str">
        <f t="shared" si="72"/>
        <v>0.23, (0.15, 0.3)</v>
      </c>
      <c r="AG118" s="78">
        <f t="shared" si="73"/>
        <v>24.5527695142165</v>
      </c>
      <c r="AH118" s="2">
        <f t="shared" si="74"/>
        <v>1.375</v>
      </c>
      <c r="AI118" s="78">
        <f t="shared" si="75"/>
        <v>3.7390930862140768</v>
      </c>
      <c r="AJ118" s="85">
        <f t="shared" si="76"/>
        <v>9</v>
      </c>
    </row>
    <row r="119" spans="1:36" x14ac:dyDescent="0.25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7">
        <v>0.03</v>
      </c>
      <c r="H119" s="18">
        <v>7.0000000000000007E-2</v>
      </c>
      <c r="I119" s="14" t="s">
        <v>28</v>
      </c>
      <c r="J119" s="17"/>
      <c r="K119" s="18"/>
      <c r="L119" s="14"/>
      <c r="M119" s="19"/>
      <c r="N119" s="18"/>
      <c r="O119" s="14"/>
      <c r="Q119" s="2" t="str">
        <f>CONCATENATE(B120,"_",E120,"_",D120,"_",C120)</f>
        <v>MAP_Men_NART_FEV1</v>
      </c>
      <c r="S119" s="75">
        <f>G120</f>
        <v>0.11</v>
      </c>
      <c r="T119" s="74">
        <v>67</v>
      </c>
      <c r="U119" s="102">
        <f>W119/G120*H120</f>
        <v>6.0243772249143929E-2</v>
      </c>
      <c r="V119" s="76" t="str">
        <f>I120</f>
        <v>p=0.07 ^</v>
      </c>
      <c r="W119" s="74">
        <f t="shared" si="64"/>
        <v>0.11044691579009722</v>
      </c>
      <c r="X119" s="74">
        <f t="shared" si="65"/>
        <v>0.11763072970558267</v>
      </c>
      <c r="Y119" s="74">
        <f t="shared" si="66"/>
        <v>0.11462796657408088</v>
      </c>
      <c r="Z119" s="74">
        <f t="shared" si="67"/>
        <v>-7.6308778182248849E-3</v>
      </c>
      <c r="AA119" s="74">
        <f t="shared" si="68"/>
        <v>0.22852470939841932</v>
      </c>
      <c r="AB119" s="74">
        <f t="shared" si="69"/>
        <v>0.1180777936083221</v>
      </c>
      <c r="AC119" s="78">
        <f t="shared" si="70"/>
        <v>30.431914617687067</v>
      </c>
      <c r="AD119" s="78"/>
      <c r="AE119" s="78">
        <f t="shared" si="71"/>
        <v>275.53430894822344</v>
      </c>
      <c r="AF119" s="79" t="str">
        <f t="shared" si="72"/>
        <v>0.11, (-0.01, 0.22)</v>
      </c>
      <c r="AG119" s="78">
        <f t="shared" si="73"/>
        <v>16.599226155102034</v>
      </c>
      <c r="AH119" s="2">
        <f t="shared" si="74"/>
        <v>0.42857142857142849</v>
      </c>
      <c r="AI119" s="78">
        <f t="shared" si="75"/>
        <v>4.1765005321856494E-3</v>
      </c>
      <c r="AJ119" s="85">
        <f t="shared" si="76"/>
        <v>6</v>
      </c>
    </row>
    <row r="120" spans="1:36" x14ac:dyDescent="0.25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0.11</v>
      </c>
      <c r="H120" s="13">
        <v>0.06</v>
      </c>
      <c r="I120" s="14" t="s">
        <v>154</v>
      </c>
      <c r="J120" s="12"/>
      <c r="K120" s="13"/>
      <c r="L120" s="14"/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0.15</v>
      </c>
      <c r="T120" s="2">
        <v>66</v>
      </c>
      <c r="U120" s="102">
        <f>W120/G121*H121</f>
        <v>4.0304116249724471E-2</v>
      </c>
      <c r="V120" s="76" t="str">
        <f>I121</f>
        <v>p&lt;0.01 ***</v>
      </c>
      <c r="W120" s="74">
        <f t="shared" si="64"/>
        <v>0.15114043593646675</v>
      </c>
      <c r="X120" s="74">
        <f t="shared" si="65"/>
        <v>7.7980537780721212E-2</v>
      </c>
      <c r="Y120" s="74">
        <f t="shared" si="66"/>
        <v>7.6157878250627198E-2</v>
      </c>
      <c r="Z120" s="74">
        <f t="shared" si="67"/>
        <v>7.2144368087006791E-2</v>
      </c>
      <c r="AA120" s="74">
        <f t="shared" si="68"/>
        <v>0.2301365037859267</v>
      </c>
      <c r="AB120" s="74">
        <f t="shared" si="69"/>
        <v>7.8996067849459964E-2</v>
      </c>
      <c r="AC120" s="78">
        <f t="shared" si="70"/>
        <v>93.04260579155202</v>
      </c>
      <c r="AD120" s="78"/>
      <c r="AE120" s="78">
        <f t="shared" si="71"/>
        <v>615.60366168761959</v>
      </c>
      <c r="AF120" s="79" t="str">
        <f t="shared" si="72"/>
        <v>0.15, (0.07, 0.23)</v>
      </c>
      <c r="AG120" s="78">
        <f t="shared" si="73"/>
        <v>24.81136154441387</v>
      </c>
      <c r="AH120" s="2">
        <f t="shared" si="74"/>
        <v>1.8333333333333335</v>
      </c>
      <c r="AI120" s="78">
        <f t="shared" si="75"/>
        <v>0.83405351936693028</v>
      </c>
      <c r="AJ120" s="85">
        <f t="shared" si="76"/>
        <v>9</v>
      </c>
    </row>
    <row r="121" spans="1:36" x14ac:dyDescent="0.25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7">
        <v>0.15</v>
      </c>
      <c r="H121" s="18">
        <v>0.04</v>
      </c>
      <c r="I121" s="14" t="s">
        <v>27</v>
      </c>
      <c r="J121" s="17"/>
      <c r="K121" s="18"/>
      <c r="L121" s="14"/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-0.05</v>
      </c>
      <c r="T121" s="74">
        <v>65</v>
      </c>
      <c r="U121" s="102">
        <f>W121/G105*H105</f>
        <v>5.004172927849132E-2</v>
      </c>
      <c r="V121" s="76" t="str">
        <f>I105</f>
        <v>p=0.26</v>
      </c>
      <c r="W121" s="74">
        <f t="shared" si="64"/>
        <v>-5.0041729278491327E-2</v>
      </c>
      <c r="X121" s="74">
        <f t="shared" si="65"/>
        <v>9.7049637167590977E-2</v>
      </c>
      <c r="Y121" s="74">
        <f t="shared" si="66"/>
        <v>9.8003137815842772E-2</v>
      </c>
      <c r="Z121" s="74">
        <f t="shared" si="67"/>
        <v>-0.14812351866433432</v>
      </c>
      <c r="AA121" s="74">
        <f t="shared" si="68"/>
        <v>4.8040060107351658E-2</v>
      </c>
      <c r="AB121" s="74">
        <f t="shared" si="69"/>
        <v>9.8081789385842985E-2</v>
      </c>
      <c r="AC121" s="78">
        <f t="shared" si="70"/>
        <v>19.983322207648307</v>
      </c>
      <c r="AD121" s="78"/>
      <c r="AE121" s="78">
        <f t="shared" si="71"/>
        <v>399.33316645468994</v>
      </c>
      <c r="AF121" s="79" t="str">
        <f t="shared" si="72"/>
        <v>-0.05, (-0.15, 0.05)</v>
      </c>
      <c r="AG121" s="78">
        <f t="shared" si="73"/>
        <v>19.983322207648307</v>
      </c>
      <c r="AH121" s="2">
        <f t="shared" si="74"/>
        <v>3.75</v>
      </c>
      <c r="AI121" s="78">
        <f t="shared" si="75"/>
        <v>2.2807163681799256</v>
      </c>
      <c r="AJ121" s="85">
        <f t="shared" si="76"/>
        <v>7</v>
      </c>
    </row>
    <row r="122" spans="1:36" x14ac:dyDescent="0.25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0.11</v>
      </c>
      <c r="H122" s="13">
        <v>0.13</v>
      </c>
      <c r="I122" s="14" t="s">
        <v>43</v>
      </c>
      <c r="J122" s="12"/>
      <c r="K122" s="13"/>
      <c r="L122" s="14"/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7">G103</f>
        <v>0.11</v>
      </c>
      <c r="T122" s="2">
        <v>64</v>
      </c>
      <c r="U122" s="102">
        <f>W122/G103*H103</f>
        <v>0.10040628708190656</v>
      </c>
      <c r="V122" s="76" t="str">
        <f t="shared" ref="V122:V123" si="78">I103</f>
        <v>p=0.29</v>
      </c>
      <c r="W122" s="74">
        <f t="shared" ref="W122:W127" si="79">0.5*LN((1+S122)/(1-S122))</f>
        <v>0.11044691579009722</v>
      </c>
      <c r="X122" s="74">
        <f t="shared" ref="X122:X127" si="80">S122-(EXP(2*Z122)-1)/(EXP(2*Z122)+1)</f>
        <v>0.19613543165280009</v>
      </c>
      <c r="Y122" s="74">
        <f t="shared" ref="Y122:Y127" si="81">(EXP(2*AA122)-1)/(EXP(2*AA122)+1)-S122</f>
        <v>0.18792709515706651</v>
      </c>
      <c r="Z122" s="74">
        <f t="shared" ref="Z122:Z127" si="82">W122-AB122</f>
        <v>-8.6349406890439628E-2</v>
      </c>
      <c r="AA122" s="74">
        <f t="shared" ref="AA122:AA127" si="83">W122+AB122</f>
        <v>0.30724323847063406</v>
      </c>
      <c r="AB122" s="74">
        <f t="shared" ref="AB122:AB127" si="84">1.96*U122</f>
        <v>0.19679632268053684</v>
      </c>
      <c r="AC122" s="78">
        <f t="shared" ref="AC122:AC127" si="85">IF(W122&lt;&gt;"",ABS(W122/U122^2),"")</f>
        <v>10.95548926236734</v>
      </c>
      <c r="AD122" s="78"/>
      <c r="AE122" s="78">
        <f t="shared" ref="AE122:AE127" si="86">U122^-2</f>
        <v>99.192351221360411</v>
      </c>
      <c r="AF122" s="79" t="str">
        <f t="shared" ref="AF122:AF127" si="87">CONCATENATE(ROUND(S122,2),", (",ROUND(-(X122-S122),2),", ",ROUND(Y122+S122,2),")")</f>
        <v>0.11, (-0.09, 0.3)</v>
      </c>
      <c r="AG122" s="78">
        <f t="shared" si="73"/>
        <v>9.9595356930612198</v>
      </c>
      <c r="AH122" s="2">
        <f t="shared" si="74"/>
        <v>0.84615384615384615</v>
      </c>
      <c r="AI122" s="78">
        <f t="shared" si="75"/>
        <v>0.19252394835485206</v>
      </c>
      <c r="AJ122" s="85">
        <f t="shared" si="76"/>
        <v>4</v>
      </c>
    </row>
    <row r="123" spans="1:36" x14ac:dyDescent="0.25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7">
        <v>0.16</v>
      </c>
      <c r="H123" s="18">
        <v>0.1</v>
      </c>
      <c r="I123" s="14" t="s">
        <v>157</v>
      </c>
      <c r="J123" s="17"/>
      <c r="K123" s="18"/>
      <c r="L123" s="14"/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7"/>
        <v>0.27</v>
      </c>
      <c r="T123" s="74">
        <v>63</v>
      </c>
      <c r="U123" s="102">
        <f>W123/G104*H104</f>
        <v>0.10254215653892595</v>
      </c>
      <c r="V123" s="76" t="str">
        <f t="shared" si="78"/>
        <v>p&lt;0.01 **</v>
      </c>
      <c r="W123" s="74">
        <f t="shared" si="79"/>
        <v>0.27686382265510007</v>
      </c>
      <c r="X123" s="74">
        <f t="shared" si="80"/>
        <v>0.19426410969785673</v>
      </c>
      <c r="Y123" s="74">
        <f t="shared" si="81"/>
        <v>0.17451724709193767</v>
      </c>
      <c r="Z123" s="74">
        <f t="shared" si="82"/>
        <v>7.5881195838805204E-2</v>
      </c>
      <c r="AA123" s="74">
        <f t="shared" si="83"/>
        <v>0.47784644947139493</v>
      </c>
      <c r="AB123" s="74">
        <f t="shared" si="84"/>
        <v>0.20098262681629486</v>
      </c>
      <c r="AC123" s="78">
        <f t="shared" si="85"/>
        <v>26.330634064391408</v>
      </c>
      <c r="AD123" s="78"/>
      <c r="AE123" s="78">
        <f t="shared" si="86"/>
        <v>95.103194819326362</v>
      </c>
      <c r="AF123" s="79" t="str">
        <f t="shared" si="87"/>
        <v>0.27, (0.08, 0.44)</v>
      </c>
      <c r="AG123" s="78">
        <f t="shared" si="73"/>
        <v>9.7520866905153376</v>
      </c>
      <c r="AH123" s="2">
        <f t="shared" si="74"/>
        <v>1.5999999999999999</v>
      </c>
      <c r="AI123" s="78">
        <f t="shared" si="75"/>
        <v>0.1425447730112453</v>
      </c>
      <c r="AJ123" s="85">
        <f t="shared" si="76"/>
        <v>4</v>
      </c>
    </row>
    <row r="124" spans="1:36" x14ac:dyDescent="0.25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0.13</v>
      </c>
      <c r="H124" s="13">
        <v>0.08</v>
      </c>
      <c r="I124" s="14" t="s">
        <v>53</v>
      </c>
      <c r="J124" s="12"/>
      <c r="K124" s="13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0.11</v>
      </c>
      <c r="T124" s="2">
        <v>62</v>
      </c>
      <c r="U124" s="102">
        <f>W124/G118*H118</f>
        <v>8.0325029665525238E-2</v>
      </c>
      <c r="V124" s="76" t="str">
        <f>I118</f>
        <v>p=0.18</v>
      </c>
      <c r="W124" s="74">
        <f t="shared" si="79"/>
        <v>0.11044691579009722</v>
      </c>
      <c r="X124" s="74">
        <f t="shared" si="80"/>
        <v>0.15695558697864057</v>
      </c>
      <c r="Y124" s="74">
        <f t="shared" si="81"/>
        <v>0.15165477306684777</v>
      </c>
      <c r="Z124" s="74">
        <f t="shared" si="82"/>
        <v>-4.6990142354332243E-2</v>
      </c>
      <c r="AA124" s="74">
        <f t="shared" si="83"/>
        <v>0.26788397393452668</v>
      </c>
      <c r="AB124" s="74">
        <f t="shared" si="84"/>
        <v>0.15743705814442946</v>
      </c>
      <c r="AC124" s="78">
        <f t="shared" si="85"/>
        <v>17.117951972448974</v>
      </c>
      <c r="AD124" s="78"/>
      <c r="AE124" s="78">
        <f t="shared" si="86"/>
        <v>154.98804878337569</v>
      </c>
      <c r="AF124" s="79" t="str">
        <f t="shared" si="87"/>
        <v>0.11, (-0.05, 0.26)</v>
      </c>
      <c r="AG124" s="78">
        <f t="shared" si="73"/>
        <v>12.449419616326526</v>
      </c>
      <c r="AH124" s="2">
        <f t="shared" si="74"/>
        <v>1.625</v>
      </c>
      <c r="AI124" s="78">
        <f t="shared" si="75"/>
        <v>8.9083975426905368E-2</v>
      </c>
      <c r="AJ124" s="85">
        <f t="shared" si="76"/>
        <v>5</v>
      </c>
    </row>
    <row r="125" spans="1:36" x14ac:dyDescent="0.25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7">
        <v>0.18</v>
      </c>
      <c r="H125" s="18">
        <v>7.0000000000000007E-2</v>
      </c>
      <c r="I125" s="14" t="s">
        <v>158</v>
      </c>
      <c r="J125" s="17"/>
      <c r="K125" s="18"/>
      <c r="L125" s="14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0.03</v>
      </c>
      <c r="T125" s="74">
        <v>61</v>
      </c>
      <c r="U125" s="102">
        <f>W125/G119*H119</f>
        <v>7.0021011347295117E-2</v>
      </c>
      <c r="V125" s="76" t="str">
        <f>I119</f>
        <v>p=0.66</v>
      </c>
      <c r="W125" s="74">
        <f t="shared" si="79"/>
        <v>3.0009004863126475E-2</v>
      </c>
      <c r="X125" s="74">
        <f t="shared" si="80"/>
        <v>0.1368230474285152</v>
      </c>
      <c r="Y125" s="74">
        <f t="shared" si="81"/>
        <v>0.1357079652128762</v>
      </c>
      <c r="Z125" s="74">
        <f t="shared" si="82"/>
        <v>-0.10723217737757194</v>
      </c>
      <c r="AA125" s="74">
        <f>W125+AB125</f>
        <v>0.16725018710382489</v>
      </c>
      <c r="AB125" s="74">
        <f>1.96*U125</f>
        <v>0.13724118224069842</v>
      </c>
      <c r="AC125" s="78">
        <f t="shared" si="85"/>
        <v>6.1206118038736967</v>
      </c>
      <c r="AD125" s="78"/>
      <c r="AE125" s="78">
        <f t="shared" si="86"/>
        <v>203.9591726480204</v>
      </c>
      <c r="AF125" s="79" t="str">
        <f t="shared" si="87"/>
        <v>0.03, (-0.11, 0.17)</v>
      </c>
      <c r="AG125" s="78">
        <f t="shared" si="73"/>
        <v>14.28142754237196</v>
      </c>
      <c r="AH125" s="2">
        <f t="shared" si="74"/>
        <v>2.5714285714285712</v>
      </c>
      <c r="AI125" s="78">
        <f t="shared" si="75"/>
        <v>0.61049392685020698</v>
      </c>
      <c r="AJ125" s="85">
        <f t="shared" si="76"/>
        <v>5</v>
      </c>
    </row>
    <row r="126" spans="1:36" x14ac:dyDescent="0.25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-0.01</v>
      </c>
      <c r="H126" s="13">
        <v>0.13</v>
      </c>
      <c r="I126" s="14" t="s">
        <v>138</v>
      </c>
      <c r="J126" s="12"/>
      <c r="K126" s="13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0.13</v>
      </c>
      <c r="T126" s="2">
        <v>60</v>
      </c>
      <c r="U126" s="102">
        <f>W126/G124*H124</f>
        <v>8.0455292325463612E-2</v>
      </c>
      <c r="V126" s="76" t="str">
        <f>I124</f>
        <v>p=0.13</v>
      </c>
      <c r="W126" s="74">
        <f t="shared" si="79"/>
        <v>0.13073985002887836</v>
      </c>
      <c r="X126" s="74">
        <f t="shared" si="80"/>
        <v>0.15694599837485912</v>
      </c>
      <c r="Y126" s="74">
        <f t="shared" si="81"/>
        <v>0.15069119342365822</v>
      </c>
      <c r="Z126" s="74">
        <f t="shared" si="82"/>
        <v>-2.6952522929030304E-2</v>
      </c>
      <c r="AA126" s="74">
        <f t="shared" si="83"/>
        <v>0.28843222298678706</v>
      </c>
      <c r="AB126" s="74">
        <f t="shared" si="84"/>
        <v>0.15769237295790867</v>
      </c>
      <c r="AC126" s="78">
        <f t="shared" si="85"/>
        <v>20.197552616258374</v>
      </c>
      <c r="AD126" s="78"/>
      <c r="AE126" s="78">
        <f t="shared" si="86"/>
        <v>154.48658241383217</v>
      </c>
      <c r="AF126" s="79" t="str">
        <f t="shared" si="87"/>
        <v>0.13, (-0.03, 0.28)</v>
      </c>
      <c r="AG126" s="78">
        <f t="shared" si="73"/>
        <v>12.429263148466694</v>
      </c>
      <c r="AH126" s="2">
        <f t="shared" si="74"/>
        <v>-7.6923076923076927E-2</v>
      </c>
      <c r="AI126" s="78">
        <f t="shared" si="75"/>
        <v>2.9213088296543094E-2</v>
      </c>
      <c r="AJ126" s="85">
        <f t="shared" si="76"/>
        <v>5</v>
      </c>
    </row>
    <row r="127" spans="1:36" x14ac:dyDescent="0.25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7">
        <v>0.03</v>
      </c>
      <c r="H127" s="18">
        <v>0.09</v>
      </c>
      <c r="I127" s="14" t="s">
        <v>160</v>
      </c>
      <c r="J127" s="17"/>
      <c r="K127" s="18"/>
      <c r="L127" s="14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0.18</v>
      </c>
      <c r="T127" s="74">
        <v>59</v>
      </c>
      <c r="U127" s="102">
        <f>W127/G125*H125</f>
        <v>7.0771045566941124E-2</v>
      </c>
      <c r="V127" s="76" t="str">
        <f>I125</f>
        <v>p=.01 *</v>
      </c>
      <c r="W127" s="74">
        <f t="shared" si="79"/>
        <v>0.18198268860070574</v>
      </c>
      <c r="X127" s="74">
        <f t="shared" si="80"/>
        <v>0.13675554789762243</v>
      </c>
      <c r="Y127" s="74">
        <f t="shared" si="81"/>
        <v>0.130134248828224</v>
      </c>
      <c r="Z127" s="74">
        <f t="shared" si="82"/>
        <v>4.327143928950114E-2</v>
      </c>
      <c r="AA127" s="74">
        <f t="shared" si="83"/>
        <v>0.32069393791191037</v>
      </c>
      <c r="AB127" s="74">
        <f t="shared" si="84"/>
        <v>0.1387112493112046</v>
      </c>
      <c r="AC127" s="78">
        <f t="shared" si="85"/>
        <v>36.334471969843953</v>
      </c>
      <c r="AD127" s="78"/>
      <c r="AE127" s="78">
        <f t="shared" si="86"/>
        <v>199.65894695383153</v>
      </c>
      <c r="AF127" s="79" t="str">
        <f t="shared" si="87"/>
        <v>0.18, (0.04, 0.31)</v>
      </c>
      <c r="AG127" s="78">
        <f t="shared" si="73"/>
        <v>14.130072432717093</v>
      </c>
      <c r="AH127" s="2">
        <f t="shared" si="74"/>
        <v>0.33333333333333331</v>
      </c>
      <c r="AI127" s="78">
        <f t="shared" si="75"/>
        <v>9.7314894304243948E-2</v>
      </c>
      <c r="AJ127" s="85">
        <f t="shared" si="76"/>
        <v>5</v>
      </c>
    </row>
    <row r="128" spans="1:36" x14ac:dyDescent="0.25">
      <c r="A128" s="10"/>
      <c r="B128" s="11"/>
      <c r="C128" s="11"/>
      <c r="D128" s="11"/>
      <c r="E128" s="11"/>
      <c r="F128" s="11"/>
      <c r="G128" s="17"/>
      <c r="H128" s="18"/>
      <c r="I128" s="14"/>
      <c r="J128" s="17"/>
      <c r="K128" s="18"/>
      <c r="L128" s="14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18"/>
      <c r="AI128" s="78"/>
      <c r="AJ128" s="85"/>
    </row>
    <row r="129" spans="1:42" x14ac:dyDescent="0.25">
      <c r="A129" s="10"/>
      <c r="B129" s="11"/>
      <c r="C129" s="11"/>
      <c r="D129" s="11"/>
      <c r="E129" s="11"/>
      <c r="F129" s="11"/>
      <c r="G129" s="17"/>
      <c r="H129" s="18"/>
      <c r="I129" s="14"/>
      <c r="J129" s="17"/>
      <c r="K129" s="18"/>
      <c r="L129" s="14"/>
      <c r="M129" s="19"/>
      <c r="N129" s="18"/>
      <c r="O129" s="14"/>
      <c r="Q129" s="2" t="s">
        <v>323</v>
      </c>
      <c r="S129" s="84">
        <f>(EXP(2*AD129)-1)/(EXP(2*AD129)+1)</f>
        <v>9.3393011538028148E-2</v>
      </c>
      <c r="T129" s="74">
        <v>57</v>
      </c>
      <c r="U129" s="103">
        <f>1/SQRT(AD129*AE129)</f>
        <v>7.6133429430881056E-2</v>
      </c>
      <c r="V129" s="80">
        <f>1/SQRT(AE129)</f>
        <v>2.3300557906276807E-2</v>
      </c>
      <c r="W129" s="74">
        <f>0.5*LN((1+S129)/(1-S129))</f>
        <v>9.3665974018972184E-2</v>
      </c>
      <c r="X129" s="74">
        <f>S129-(EXP(2*Z129)-1)/(EXP(2*Z129)+1)</f>
        <v>0.14889147378135548</v>
      </c>
      <c r="Y129" s="74">
        <f>(EXP(2*AA129)-1)/(EXP(2*AA129)+1)-S129</f>
        <v>0.14482823735587896</v>
      </c>
      <c r="Z129" s="74">
        <f>W129-AB129</f>
        <v>-5.5555547665554691E-2</v>
      </c>
      <c r="AA129" s="74">
        <f>W129+AB129</f>
        <v>0.24288749570349905</v>
      </c>
      <c r="AB129" s="74">
        <f>1.96*U129</f>
        <v>0.14922152168452688</v>
      </c>
      <c r="AC129" s="78">
        <f>SUM(AC122,AC121,AC103,AC115,AC105,AC117,AC107,AC111,AC124,AC113,AC119,AC126,AC109,)</f>
        <v>172.52387889784765</v>
      </c>
      <c r="AD129" s="78">
        <f>AC129/AE129</f>
        <v>9.3665974018972212E-2</v>
      </c>
      <c r="AE129" s="78">
        <f>SUM(AE122,AE121,AE103,AE115,AE105,AE117,AE107,AE111,AE124,AE113,AE119,AE126,AE109,)</f>
        <v>1841.9055660799793</v>
      </c>
      <c r="AF129" s="79" t="str">
        <f>CONCATENATE(ROUND(S129,2),", (",ROUND(-(X129-S129),2),", ",ROUND(Y129+S129,2),")")</f>
        <v>0.09, (-0.06, 0.24)</v>
      </c>
      <c r="AG129" s="78">
        <f>SUM(AG122,AG121,AG103,AG115,AG105,AG117,AG107,AG111,AG124,AG113,AG119,AG126,AG109,)</f>
        <v>146.9861343100248</v>
      </c>
      <c r="AH129" s="18"/>
      <c r="AI129" s="78">
        <f>SUM(AI122,AI121,AI103,AI115,AI105,AI117,AI107,AI111,AI124,AI113,AI119,AI126,AI109,)</f>
        <v>6.1963525077980695</v>
      </c>
      <c r="AJ129"/>
      <c r="AK129" s="81">
        <f>AK133-AK131</f>
        <v>14</v>
      </c>
      <c r="AL129">
        <f>CHIDIST(AI129,AK129-1)</f>
        <v>0.93871370787673858</v>
      </c>
      <c r="AM129" s="82">
        <f>IF((AI129-AK129+1)/AI129&lt;0,0,(AI129-AK129+1)/AI129)</f>
        <v>0</v>
      </c>
      <c r="AN129" s="74"/>
      <c r="AO129" s="77">
        <f>S129-Y129</f>
        <v>-5.1435225817850816E-2</v>
      </c>
      <c r="AP129">
        <f>S129+Z129</f>
        <v>3.7837463872473456E-2</v>
      </c>
    </row>
    <row r="130" spans="1:42" x14ac:dyDescent="0.25">
      <c r="A130" s="10"/>
      <c r="B130" s="11"/>
      <c r="C130" s="11"/>
      <c r="D130" s="11"/>
      <c r="E130" s="11"/>
      <c r="F130" s="11"/>
      <c r="G130" s="17"/>
      <c r="H130" s="18"/>
      <c r="I130" s="14"/>
      <c r="J130" s="17"/>
      <c r="K130" s="18"/>
      <c r="L130" s="14"/>
      <c r="M130" s="19"/>
      <c r="N130" s="18"/>
      <c r="O130" s="14"/>
      <c r="T130" s="2">
        <v>56</v>
      </c>
      <c r="U130" s="75"/>
      <c r="AH130" s="18"/>
    </row>
    <row r="131" spans="1:42" x14ac:dyDescent="0.25">
      <c r="A131" s="10"/>
      <c r="B131" s="11"/>
      <c r="C131" s="11"/>
      <c r="D131" s="11"/>
      <c r="E131" s="11"/>
      <c r="F131" s="11"/>
      <c r="G131" s="17"/>
      <c r="H131" s="18"/>
      <c r="I131" s="14"/>
      <c r="J131" s="17"/>
      <c r="K131" s="18"/>
      <c r="L131" s="14"/>
      <c r="M131" s="19"/>
      <c r="N131" s="18"/>
      <c r="O131" s="14"/>
      <c r="Q131" s="2" t="s">
        <v>322</v>
      </c>
      <c r="S131" s="84">
        <f>(EXP(2*AD131)-1)/(EXP(2*AD131)+1)</f>
        <v>0.16283109748119665</v>
      </c>
      <c r="T131" s="74">
        <v>55</v>
      </c>
      <c r="U131" s="103">
        <f>1/SQRT(AD131*AE131)</f>
        <v>5.1006951465583421E-2</v>
      </c>
      <c r="V131" s="80">
        <f>1/SQRT(AE131)</f>
        <v>2.0674718387858403E-2</v>
      </c>
      <c r="W131" s="74">
        <f>0.5*LN((1+S131)/(1-S131))</f>
        <v>0.16429353334570024</v>
      </c>
      <c r="X131" s="74">
        <f>S131-(EXP(2*Z131)-1)/(EXP(2*Z131)+1)</f>
        <v>9.8599740712975906E-2</v>
      </c>
      <c r="Y131" s="74">
        <f>(EXP(2*AA131)-1)/(EXP(2*AA131)+1)-S131</f>
        <v>9.5451301955770423E-2</v>
      </c>
      <c r="Z131" s="74">
        <f>W131-AB131</f>
        <v>6.4319908473156731E-2</v>
      </c>
      <c r="AA131" s="74">
        <f>W131+AB131</f>
        <v>0.26426715821824376</v>
      </c>
      <c r="AB131" s="74">
        <f>1.96*U131</f>
        <v>9.9973624872543507E-2</v>
      </c>
      <c r="AC131" s="78">
        <f>SUM(AC124,AC119,AC114,AC127,AC110,AC108,AC106,AC118,AC116,AC104,AC123)</f>
        <v>384.36272557944255</v>
      </c>
      <c r="AD131" s="78">
        <f>AC131/AE131</f>
        <v>0.16429353334570021</v>
      </c>
      <c r="AE131" s="78">
        <f>SUM(AE124,AE119,AE114,AE127,AE110,AE108,AE106,AE118,AE116,AE104,AE123)</f>
        <v>2339.487852943555</v>
      </c>
      <c r="AF131" s="79" t="str">
        <f>CONCATENATE(ROUND(S131,2),", (",ROUND(-(X131-S131),2),", ",ROUND(Y131+S131,2),")")</f>
        <v>0.16, (0.06, 0.26)</v>
      </c>
      <c r="AG131" s="78">
        <f>SUM(AG124,AG119,AG114,AG127,AG110,AG108,AG106,AG118,AG116,AG104,AG123)</f>
        <v>152.67009178469914</v>
      </c>
      <c r="AH131" s="18"/>
      <c r="AI131" s="78">
        <f>SUM(AI124,AI119,AI114,AI127,AI110,AI108,AI106,AI118,AI116,AI104,AI123)</f>
        <v>5.0992230177198987</v>
      </c>
      <c r="AJ131"/>
      <c r="AK131" s="78">
        <f>COUNT(AI124,AI119,AI114,AI127,AI110,AI108,AI106,AI118,AI116,AI104,AI123)</f>
        <v>11</v>
      </c>
      <c r="AL131">
        <f>CHIDIST(AI131,AK131-1)</f>
        <v>0.88445195282492706</v>
      </c>
      <c r="AM131" s="82">
        <f>IF((AI131-AK131+1)/AI131&lt;0,0,(AI131-AK131+1)/AI131)</f>
        <v>0</v>
      </c>
      <c r="AN131" s="74"/>
      <c r="AO131" s="77">
        <f>S131-Y131</f>
        <v>6.7379795525426223E-2</v>
      </c>
      <c r="AP131">
        <f>S131+Z131</f>
        <v>0.22715100595435339</v>
      </c>
    </row>
    <row r="132" spans="1:42" x14ac:dyDescent="0.25">
      <c r="A132" s="10"/>
      <c r="B132" s="11"/>
      <c r="C132" s="11"/>
      <c r="D132" s="11"/>
      <c r="E132" s="11"/>
      <c r="F132" s="11"/>
      <c r="G132" s="17"/>
      <c r="H132" s="18"/>
      <c r="I132" s="14"/>
      <c r="J132" s="17"/>
      <c r="K132" s="18"/>
      <c r="L132" s="14"/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18"/>
      <c r="AI132" s="78"/>
      <c r="AJ132" s="85"/>
    </row>
    <row r="133" spans="1:42" x14ac:dyDescent="0.25">
      <c r="A133" s="10"/>
      <c r="B133" s="11"/>
      <c r="C133" s="11"/>
      <c r="D133" s="11"/>
      <c r="E133" s="11"/>
      <c r="F133" s="11"/>
      <c r="G133" s="17"/>
      <c r="H133" s="18"/>
      <c r="I133" s="14"/>
      <c r="J133" s="17"/>
      <c r="K133" s="18"/>
      <c r="L133" s="14"/>
      <c r="M133" s="19"/>
      <c r="N133" s="18"/>
      <c r="O133" s="14"/>
      <c r="Q133" s="2" t="s">
        <v>185</v>
      </c>
      <c r="S133" s="84">
        <f>(EXP(2*AD133)-1)/(EXP(2*AD133)+1)</f>
        <v>0.13177541192074663</v>
      </c>
      <c r="T133" s="74">
        <v>53</v>
      </c>
      <c r="U133" s="103">
        <f>1/SQRT(AD133*AE133)</f>
        <v>4.0095533132324439E-2</v>
      </c>
      <c r="V133" s="80">
        <f>1/SQRT(AE133)</f>
        <v>1.4597539081883937E-2</v>
      </c>
      <c r="W133" s="74">
        <f>0.5*LN((1+S133)/(1-S133))</f>
        <v>0.13254620824843927</v>
      </c>
      <c r="X133" s="74">
        <f>S133-(EXP(2*Z133)-1)/(EXP(2*Z133)+1)</f>
        <v>7.7868756121645621E-2</v>
      </c>
      <c r="Y133" s="74">
        <f>(EXP(2*AA133)-1)/(EXP(2*AA133)+1)-S133</f>
        <v>7.6275734471254908E-2</v>
      </c>
      <c r="Z133" s="74">
        <f>W133-AB133</f>
        <v>5.3958963309083369E-2</v>
      </c>
      <c r="AA133" s="74">
        <f>W133+AB133</f>
        <v>0.21113345318779517</v>
      </c>
      <c r="AB133" s="74">
        <f>1.96*U133</f>
        <v>7.8587244939355899E-2</v>
      </c>
      <c r="AC133" s="78">
        <f>SUM(AC103:AC127)</f>
        <v>622.02525086821868</v>
      </c>
      <c r="AD133" s="78">
        <f>AC133/AE133</f>
        <v>0.1325462082484393</v>
      </c>
      <c r="AE133" s="78">
        <f>SUM(AE103:AE127)</f>
        <v>4692.8935884934517</v>
      </c>
      <c r="AF133" s="79" t="str">
        <f>CONCATENATE(ROUND(S133,2),", (",ROUND(-(X133-S133),2),", ",ROUND(Y133+S133,2),")")</f>
        <v>0.13, (0.05, 0.21)</v>
      </c>
      <c r="AG133" s="78">
        <f>SUM(AG103:AG127)</f>
        <v>320.7665201801492</v>
      </c>
      <c r="AH133" s="18"/>
      <c r="AI133" s="78">
        <f>SUM(AI103:AI127)</f>
        <v>12.788552429497049</v>
      </c>
      <c r="AJ133"/>
      <c r="AK133" s="78">
        <f>COUNT(AI103:AI127)</f>
        <v>25</v>
      </c>
      <c r="AL133">
        <f>CHIDIST(AI133,AK133-1)</f>
        <v>0.9694789345355751</v>
      </c>
      <c r="AM133" s="82">
        <f>IF((AI133-AK133+1)/AI133&lt;0,0,(AI133-AK133+1)/AI133)</f>
        <v>0</v>
      </c>
      <c r="AN133" s="74"/>
    </row>
    <row r="134" spans="1:42" x14ac:dyDescent="0.25">
      <c r="A134" s="10" t="s">
        <v>162</v>
      </c>
      <c r="B134" s="11"/>
      <c r="C134" s="11"/>
      <c r="D134" s="11"/>
      <c r="E134" s="11"/>
      <c r="F134" s="11"/>
      <c r="G134" s="17"/>
      <c r="H134" s="18"/>
      <c r="I134" s="14"/>
      <c r="J134" s="17"/>
      <c r="K134" s="18"/>
      <c r="L134" s="14"/>
      <c r="M134" s="19"/>
      <c r="N134" s="18"/>
      <c r="O134" s="14"/>
      <c r="T134" s="2">
        <v>52</v>
      </c>
      <c r="U134" s="75"/>
      <c r="AH134" s="18"/>
    </row>
    <row r="135" spans="1:42" x14ac:dyDescent="0.25">
      <c r="A135" s="10"/>
      <c r="B135" s="11"/>
      <c r="C135" s="11"/>
      <c r="D135" s="11"/>
      <c r="E135" s="11"/>
      <c r="F135" s="11"/>
      <c r="G135" s="17"/>
      <c r="H135" s="18"/>
      <c r="I135" s="14"/>
      <c r="J135" s="17"/>
      <c r="K135" s="18"/>
      <c r="L135" s="14"/>
      <c r="M135" s="19"/>
      <c r="N135" s="18"/>
      <c r="O135" s="14"/>
      <c r="Q135" s="1" t="s">
        <v>304</v>
      </c>
      <c r="T135" s="74">
        <v>51</v>
      </c>
      <c r="U135" s="75"/>
      <c r="AH135" s="18"/>
    </row>
    <row r="136" spans="1:42" x14ac:dyDescent="0.25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0.13</v>
      </c>
      <c r="H136" s="13">
        <v>0.1</v>
      </c>
      <c r="I136" s="14" t="s">
        <v>164</v>
      </c>
      <c r="J136" s="12"/>
      <c r="K136" s="13"/>
      <c r="L136" s="14"/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7.0000000000000007E-2</v>
      </c>
      <c r="T136" s="2">
        <v>50</v>
      </c>
      <c r="U136" s="102">
        <f>W136/G146*H146</f>
        <v>0.12019657826455739</v>
      </c>
      <c r="V136" s="76" t="str">
        <f>I146</f>
        <v>p=0.57</v>
      </c>
      <c r="W136" s="74">
        <f t="shared" ref="W136:W155" si="88">0.5*LN((1+S136)/(1-S136))</f>
        <v>7.0114670654325154E-2</v>
      </c>
      <c r="X136" s="74">
        <f t="shared" ref="X136:X155" si="89">S136-(EXP(2*Z136)-1)/(EXP(2*Z136)+1)</f>
        <v>0.2339767574569985</v>
      </c>
      <c r="Y136" s="74">
        <f t="shared" ref="Y136:Y155" si="90">(EXP(2*AA136)-1)/(EXP(2*AA136)+1)-S136</f>
        <v>0.22652015686191446</v>
      </c>
      <c r="Z136" s="74">
        <f t="shared" ref="Z136:Z155" si="91">W136-AB136</f>
        <v>-0.16547062274420732</v>
      </c>
      <c r="AA136" s="74">
        <f t="shared" ref="AA136:AA155" si="92">W136+AB136</f>
        <v>0.30569996405285765</v>
      </c>
      <c r="AB136" s="74">
        <f t="shared" ref="AB136:AB155" si="93">1.96*U136</f>
        <v>0.23558529339853249</v>
      </c>
      <c r="AC136" s="78">
        <f t="shared" ref="AC136:AC155" si="94">IF(W136&lt;&gt;"",ABS(W136/U136^2),"")</f>
        <v>4.8531608948916487</v>
      </c>
      <c r="AD136" s="78"/>
      <c r="AE136" s="78">
        <f t="shared" ref="AE136:AE155" si="95">U136^-2</f>
        <v>69.217481157665148</v>
      </c>
      <c r="AF136" s="79" t="str">
        <f t="shared" ref="AF136:AF155" si="96">CONCATENATE(ROUND(S136,2),", (",ROUND(-(X136-S136),2),", ",ROUND(Y136+S136,2),")")</f>
        <v>0.07, (-0.16, 0.3)</v>
      </c>
      <c r="AG136" s="78">
        <f t="shared" ref="AG136:AG173" si="97">1.96/AB136</f>
        <v>8.3197043912428246</v>
      </c>
      <c r="AH136" s="2">
        <f t="shared" ref="AH136:AH173" si="98">G136/H136</f>
        <v>1.3</v>
      </c>
      <c r="AI136" s="78">
        <f t="shared" ref="AI136:AI173" si="99">(Z136/1.96)^2*AE136</f>
        <v>0.49333900226757366</v>
      </c>
      <c r="AJ136" s="85">
        <f t="shared" ref="AJ136:AJ173" si="100">ROUND(AG136/AG$179*100,0)+1</f>
        <v>2</v>
      </c>
    </row>
    <row r="137" spans="1:42" x14ac:dyDescent="0.25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7">
        <v>0.02</v>
      </c>
      <c r="H137" s="18">
        <v>0.06</v>
      </c>
      <c r="I137" s="14" t="s">
        <v>16</v>
      </c>
      <c r="J137" s="17"/>
      <c r="K137" s="18"/>
      <c r="L137" s="14"/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0.11</v>
      </c>
      <c r="T137" s="74">
        <v>49</v>
      </c>
      <c r="U137" s="102">
        <f>W137/G147*H147</f>
        <v>7.0284400957334597E-2</v>
      </c>
      <c r="V137" s="83" t="str">
        <f>I147</f>
        <v>p=0.14</v>
      </c>
      <c r="W137" s="74">
        <f t="shared" si="88"/>
        <v>0.11044691579009722</v>
      </c>
      <c r="X137" s="74">
        <f t="shared" si="89"/>
        <v>0.13730372213634812</v>
      </c>
      <c r="Y137" s="74">
        <f t="shared" si="90"/>
        <v>0.13322997605403408</v>
      </c>
      <c r="Z137" s="74">
        <f t="shared" si="91"/>
        <v>-2.7310510086278605E-2</v>
      </c>
      <c r="AA137" s="74">
        <f t="shared" si="92"/>
        <v>0.24820434166647304</v>
      </c>
      <c r="AB137" s="74">
        <f t="shared" si="93"/>
        <v>0.13775742587637582</v>
      </c>
      <c r="AC137" s="78">
        <f t="shared" si="94"/>
        <v>22.35814135177008</v>
      </c>
      <c r="AD137" s="78"/>
      <c r="AE137" s="78">
        <f t="shared" si="95"/>
        <v>202.43336983951104</v>
      </c>
      <c r="AF137" s="79" t="str">
        <f t="shared" si="96"/>
        <v>0.11, (-0.03, 0.24)</v>
      </c>
      <c r="AG137" s="78">
        <f t="shared" si="97"/>
        <v>14.227908132944597</v>
      </c>
      <c r="AH137" s="2">
        <f t="shared" si="98"/>
        <v>0.33333333333333337</v>
      </c>
      <c r="AI137" s="78">
        <f t="shared" si="99"/>
        <v>3.9303351494700392E-2</v>
      </c>
      <c r="AJ137" s="85">
        <f t="shared" si="100"/>
        <v>3</v>
      </c>
    </row>
    <row r="138" spans="1:42" x14ac:dyDescent="0.25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0.16</v>
      </c>
      <c r="H138" s="13">
        <v>0.11</v>
      </c>
      <c r="I138" s="14" t="s">
        <v>167</v>
      </c>
      <c r="J138" s="12"/>
      <c r="K138" s="13"/>
      <c r="L138" s="14"/>
      <c r="M138" s="12"/>
      <c r="N138" s="16"/>
      <c r="O138" s="14"/>
      <c r="Q138" s="2" t="str">
        <f>CONCATENATE(B161,"_",E161,"_",D161,"_",C161)</f>
        <v>EAS_Men_Word_Im_PEF</v>
      </c>
      <c r="S138" s="75">
        <f>G161</f>
        <v>7.0000000000000007E-2</v>
      </c>
      <c r="T138" s="2">
        <v>48</v>
      </c>
      <c r="U138" s="102">
        <f>W138/G161*H161</f>
        <v>0.12019657826455739</v>
      </c>
      <c r="V138" s="76" t="str">
        <f>I161</f>
        <v>p=0.57</v>
      </c>
      <c r="W138" s="74">
        <f t="shared" si="88"/>
        <v>7.0114670654325154E-2</v>
      </c>
      <c r="X138" s="74">
        <f t="shared" si="89"/>
        <v>0.2339767574569985</v>
      </c>
      <c r="Y138" s="74">
        <f t="shared" si="90"/>
        <v>0.22652015686191446</v>
      </c>
      <c r="Z138" s="74">
        <f t="shared" si="91"/>
        <v>-0.16547062274420732</v>
      </c>
      <c r="AA138" s="74">
        <f t="shared" si="92"/>
        <v>0.30569996405285765</v>
      </c>
      <c r="AB138" s="74">
        <f t="shared" si="93"/>
        <v>0.23558529339853249</v>
      </c>
      <c r="AC138" s="78">
        <f t="shared" si="94"/>
        <v>4.8531608948916487</v>
      </c>
      <c r="AD138" s="78"/>
      <c r="AE138" s="78">
        <f t="shared" si="95"/>
        <v>69.217481157665148</v>
      </c>
      <c r="AF138" s="79" t="str">
        <f t="shared" si="96"/>
        <v>0.07, (-0.16, 0.3)</v>
      </c>
      <c r="AG138" s="78">
        <f t="shared" si="97"/>
        <v>8.3197043912428246</v>
      </c>
      <c r="AH138" s="2">
        <f t="shared" si="98"/>
        <v>1.4545454545454546</v>
      </c>
      <c r="AI138" s="78">
        <f t="shared" si="99"/>
        <v>0.49333900226757366</v>
      </c>
      <c r="AJ138" s="85">
        <f t="shared" si="100"/>
        <v>2</v>
      </c>
    </row>
    <row r="139" spans="1:42" x14ac:dyDescent="0.25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7">
        <v>0.09</v>
      </c>
      <c r="H139" s="18">
        <v>0.06</v>
      </c>
      <c r="I139" s="14" t="s">
        <v>70</v>
      </c>
      <c r="J139" s="17"/>
      <c r="K139" s="18"/>
      <c r="L139" s="14"/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0.28999999999999998</v>
      </c>
      <c r="T139" s="74">
        <v>47</v>
      </c>
      <c r="U139" s="102">
        <f>W139/G162*H162</f>
        <v>0.10295388402075119</v>
      </c>
      <c r="V139" s="76" t="str">
        <f>I162</f>
        <v>p&lt;0.01 **</v>
      </c>
      <c r="W139" s="74">
        <f t="shared" si="88"/>
        <v>0.29856626366017841</v>
      </c>
      <c r="X139" s="74">
        <f t="shared" si="89"/>
        <v>0.19352434911520972</v>
      </c>
      <c r="Y139" s="74">
        <f t="shared" si="90"/>
        <v>0.17239698936944775</v>
      </c>
      <c r="Z139" s="74">
        <f t="shared" si="91"/>
        <v>9.6776650979506079E-2</v>
      </c>
      <c r="AA139" s="74">
        <f t="shared" si="92"/>
        <v>0.50035587634085077</v>
      </c>
      <c r="AB139" s="74">
        <f t="shared" si="93"/>
        <v>0.20178961268067233</v>
      </c>
      <c r="AC139" s="78">
        <f t="shared" si="94"/>
        <v>28.167951385063638</v>
      </c>
      <c r="AD139" s="78"/>
      <c r="AE139" s="78">
        <f t="shared" si="95"/>
        <v>94.344052940702582</v>
      </c>
      <c r="AF139" s="79" t="str">
        <f t="shared" si="96"/>
        <v>0.29, (0.1, 0.46)</v>
      </c>
      <c r="AG139" s="78">
        <f t="shared" si="97"/>
        <v>9.7130866845047041</v>
      </c>
      <c r="AH139" s="2">
        <f t="shared" si="98"/>
        <v>1.5</v>
      </c>
      <c r="AI139" s="78">
        <f t="shared" si="99"/>
        <v>0.23000832986255706</v>
      </c>
      <c r="AJ139" s="85">
        <f t="shared" si="100"/>
        <v>2</v>
      </c>
    </row>
    <row r="140" spans="1:42" x14ac:dyDescent="0.25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0.23</v>
      </c>
      <c r="H140" s="24">
        <v>0.09</v>
      </c>
      <c r="I140" s="25" t="s">
        <v>39</v>
      </c>
      <c r="J140" s="23"/>
      <c r="K140" s="24"/>
      <c r="L140" s="25"/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0.27</v>
      </c>
      <c r="T140" s="2">
        <v>46</v>
      </c>
      <c r="U140" s="102">
        <f>W140/G156*H156</f>
        <v>3.0762646961677784E-2</v>
      </c>
      <c r="V140" s="76" t="str">
        <f>I156</f>
        <v>p&lt;0.01 ***</v>
      </c>
      <c r="W140" s="74">
        <f t="shared" si="88"/>
        <v>0.27686382265510007</v>
      </c>
      <c r="X140" s="74">
        <f t="shared" si="89"/>
        <v>5.6754478213334597E-2</v>
      </c>
      <c r="Y140" s="74">
        <f t="shared" si="90"/>
        <v>5.4938364489186153E-2</v>
      </c>
      <c r="Z140" s="74">
        <f t="shared" si="91"/>
        <v>0.2165690346102116</v>
      </c>
      <c r="AA140" s="74">
        <f t="shared" si="92"/>
        <v>0.33715861069998854</v>
      </c>
      <c r="AB140" s="74">
        <f t="shared" si="93"/>
        <v>6.0294788044888456E-2</v>
      </c>
      <c r="AC140" s="78">
        <f t="shared" si="94"/>
        <v>292.56260071546012</v>
      </c>
      <c r="AD140" s="78"/>
      <c r="AE140" s="78">
        <f t="shared" si="95"/>
        <v>1056.702164659182</v>
      </c>
      <c r="AF140" s="79" t="str">
        <f t="shared" si="96"/>
        <v>0.27, (0.21, 0.32)</v>
      </c>
      <c r="AG140" s="78">
        <f t="shared" si="97"/>
        <v>32.506955635051128</v>
      </c>
      <c r="AH140" s="2">
        <f t="shared" si="98"/>
        <v>2.5555555555555558</v>
      </c>
      <c r="AI140" s="78">
        <f t="shared" si="99"/>
        <v>12.901291128696379</v>
      </c>
      <c r="AJ140" s="85">
        <f t="shared" si="100"/>
        <v>6</v>
      </c>
    </row>
    <row r="141" spans="1:42" x14ac:dyDescent="0.25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28">
        <v>0.1</v>
      </c>
      <c r="H141" s="29">
        <v>0.08</v>
      </c>
      <c r="I141" s="25" t="s">
        <v>62</v>
      </c>
      <c r="J141" s="28"/>
      <c r="K141" s="29"/>
      <c r="L141" s="25"/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0.28000000000000003</v>
      </c>
      <c r="T141" s="74">
        <v>45</v>
      </c>
      <c r="U141" s="102">
        <f>W141/G157*H157</f>
        <v>3.0823079191262242E-2</v>
      </c>
      <c r="V141" s="76" t="str">
        <f>I157</f>
        <v>p&lt;0.01 ***</v>
      </c>
      <c r="W141" s="74">
        <f t="shared" si="88"/>
        <v>0.28768207245178096</v>
      </c>
      <c r="X141" s="74">
        <f t="shared" si="89"/>
        <v>5.6564873015031242E-2</v>
      </c>
      <c r="Y141" s="74">
        <f t="shared" si="90"/>
        <v>5.4685284204465723E-2</v>
      </c>
      <c r="Z141" s="74">
        <f t="shared" si="91"/>
        <v>0.22726883723690697</v>
      </c>
      <c r="AA141" s="74">
        <f t="shared" si="92"/>
        <v>0.34809530766665497</v>
      </c>
      <c r="AB141" s="74">
        <f t="shared" si="93"/>
        <v>6.0413235214873996E-2</v>
      </c>
      <c r="AC141" s="78">
        <f t="shared" si="94"/>
        <v>302.80340505302786</v>
      </c>
      <c r="AD141" s="78"/>
      <c r="AE141" s="78">
        <f t="shared" si="95"/>
        <v>1052.5626517925666</v>
      </c>
      <c r="AF141" s="79" t="str">
        <f t="shared" si="96"/>
        <v>0.28, (0.22, 0.33)</v>
      </c>
      <c r="AG141" s="78">
        <f t="shared" si="97"/>
        <v>32.443221969967261</v>
      </c>
      <c r="AH141" s="2">
        <f t="shared" si="98"/>
        <v>1.25</v>
      </c>
      <c r="AI141" s="78">
        <f t="shared" si="99"/>
        <v>14.15192743764173</v>
      </c>
      <c r="AJ141" s="85">
        <f t="shared" si="100"/>
        <v>6</v>
      </c>
    </row>
    <row r="142" spans="1:42" x14ac:dyDescent="0.25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0.14000000000000001</v>
      </c>
      <c r="H142" s="13">
        <v>7.0000000000000007E-2</v>
      </c>
      <c r="I142" s="14" t="s">
        <v>65</v>
      </c>
      <c r="J142" s="12"/>
      <c r="K142" s="13"/>
      <c r="L142" s="14"/>
      <c r="M142" s="12"/>
      <c r="N142" s="16"/>
      <c r="O142" s="14"/>
      <c r="Q142" s="2" t="str">
        <f>CONCATENATE(B165,"_",E165,"_",D165,"_",C165)</f>
        <v>HRS_Men_Word_Im_PEF</v>
      </c>
      <c r="S142" s="75">
        <f>G165</f>
        <v>0.26</v>
      </c>
      <c r="T142" s="2">
        <v>44</v>
      </c>
      <c r="U142" s="102">
        <f>W142/G165*H165</f>
        <v>3.0704816177729317E-2</v>
      </c>
      <c r="V142" s="76" t="str">
        <f>I165</f>
        <v>p&lt;0.01 ***</v>
      </c>
      <c r="W142" s="74">
        <f t="shared" si="88"/>
        <v>0.26610840687365411</v>
      </c>
      <c r="X142" s="74">
        <f t="shared" si="89"/>
        <v>5.6935331800714029E-2</v>
      </c>
      <c r="Y142" s="74">
        <f t="shared" si="90"/>
        <v>5.5183109890447835E-2</v>
      </c>
      <c r="Z142" s="74">
        <f t="shared" si="91"/>
        <v>0.20592696716530465</v>
      </c>
      <c r="AA142" s="74">
        <f t="shared" si="92"/>
        <v>0.32628984658200355</v>
      </c>
      <c r="AB142" s="74">
        <f t="shared" si="93"/>
        <v>6.0181439708349459E-2</v>
      </c>
      <c r="AC142" s="78">
        <f t="shared" si="94"/>
        <v>282.25756560473195</v>
      </c>
      <c r="AD142" s="78"/>
      <c r="AE142" s="78">
        <f t="shared" si="95"/>
        <v>1060.6863906360738</v>
      </c>
      <c r="AF142" s="79" t="str">
        <f t="shared" si="96"/>
        <v>0.26, (0.2, 0.32)</v>
      </c>
      <c r="AG142" s="78">
        <f>1.96/AB142</f>
        <v>32.568180646699837</v>
      </c>
      <c r="AH142" s="2">
        <f t="shared" si="98"/>
        <v>2</v>
      </c>
      <c r="AI142" s="78">
        <f t="shared" si="99"/>
        <v>11.708501087509838</v>
      </c>
      <c r="AJ142" s="85">
        <f t="shared" si="100"/>
        <v>6</v>
      </c>
    </row>
    <row r="143" spans="1:42" x14ac:dyDescent="0.25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7">
        <v>0.05</v>
      </c>
      <c r="H143" s="18">
        <v>0.04</v>
      </c>
      <c r="I143" s="14" t="s">
        <v>170</v>
      </c>
      <c r="J143" s="17"/>
      <c r="K143" s="18"/>
      <c r="L143" s="14"/>
      <c r="M143" s="19"/>
      <c r="N143" s="18"/>
      <c r="O143" s="14"/>
      <c r="Q143" s="2" t="str">
        <f>CONCATENATE(B166,"_",E166,"_",D166,"_",C166)</f>
        <v>HRS_Women_Word_Im_PEF</v>
      </c>
      <c r="S143" s="75">
        <f>G166</f>
        <v>0.31</v>
      </c>
      <c r="T143" s="74">
        <v>43</v>
      </c>
      <c r="U143" s="102">
        <f>W143/G166*H166</f>
        <v>3.1020523480833492E-2</v>
      </c>
      <c r="V143" s="76" t="str">
        <f>I166</f>
        <v>p&lt;0.01 ***</v>
      </c>
      <c r="W143" s="74">
        <f t="shared" si="88"/>
        <v>0.32054540930194614</v>
      </c>
      <c r="X143" s="74">
        <f t="shared" si="89"/>
        <v>5.5942821500412687E-2</v>
      </c>
      <c r="Y143" s="74">
        <f t="shared" si="90"/>
        <v>5.3875504759060777E-2</v>
      </c>
      <c r="Z143" s="74">
        <f t="shared" si="91"/>
        <v>0.25974518327951251</v>
      </c>
      <c r="AA143" s="74">
        <f t="shared" si="92"/>
        <v>0.38134563532437976</v>
      </c>
      <c r="AB143" s="74">
        <f t="shared" si="93"/>
        <v>6.0800226022433644E-2</v>
      </c>
      <c r="AC143" s="78">
        <f t="shared" si="94"/>
        <v>333.11279674947923</v>
      </c>
      <c r="AD143" s="78"/>
      <c r="AE143" s="78">
        <f t="shared" si="95"/>
        <v>1039.2062624602897</v>
      </c>
      <c r="AF143" s="79" t="str">
        <f t="shared" si="96"/>
        <v>0.31, (0.25, 0.36)</v>
      </c>
      <c r="AG143" s="78">
        <f>1.96/AB143</f>
        <v>32.23672226607863</v>
      </c>
      <c r="AH143" s="2">
        <f t="shared" si="98"/>
        <v>1.25</v>
      </c>
      <c r="AI143" s="78">
        <f t="shared" si="99"/>
        <v>18.250913971030599</v>
      </c>
      <c r="AJ143" s="85">
        <f t="shared" si="100"/>
        <v>6</v>
      </c>
    </row>
    <row r="144" spans="1:42" x14ac:dyDescent="0.25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0.11</v>
      </c>
      <c r="H144" s="13">
        <v>7.0000000000000007E-2</v>
      </c>
      <c r="I144" s="14" t="s">
        <v>167</v>
      </c>
      <c r="J144" s="12"/>
      <c r="K144" s="13"/>
      <c r="L144" s="14"/>
      <c r="M144" s="12"/>
      <c r="N144" s="16"/>
      <c r="O144" s="14"/>
      <c r="Q144" s="2" t="str">
        <f>CONCATENATE(B167,"_",E167,"_",D167,"_",C167)</f>
        <v>LASA_Men_Word_Im_PEF</v>
      </c>
      <c r="S144" s="75">
        <f>G167</f>
        <v>0.1</v>
      </c>
      <c r="T144" s="2">
        <v>42</v>
      </c>
      <c r="U144" s="102">
        <f>W144/G167*H167</f>
        <v>5.0167673865537811E-2</v>
      </c>
      <c r="V144" s="76" t="str">
        <f>I167</f>
        <v>p=0.04 *</v>
      </c>
      <c r="W144" s="74">
        <f t="shared" si="88"/>
        <v>0.10033534773107562</v>
      </c>
      <c r="X144" s="74">
        <f t="shared" si="89"/>
        <v>9.799329573895868E-2</v>
      </c>
      <c r="Y144" s="74">
        <f t="shared" si="90"/>
        <v>9.6091017854024047E-2</v>
      </c>
      <c r="Z144" s="74">
        <f t="shared" si="91"/>
        <v>2.0067069546215177E-3</v>
      </c>
      <c r="AA144" s="74">
        <f t="shared" si="92"/>
        <v>0.19866398850752973</v>
      </c>
      <c r="AB144" s="74">
        <f t="shared" si="93"/>
        <v>9.8328640776454104E-2</v>
      </c>
      <c r="AC144" s="78">
        <f t="shared" si="94"/>
        <v>39.866309236511761</v>
      </c>
      <c r="AD144" s="78"/>
      <c r="AE144" s="78">
        <f t="shared" si="95"/>
        <v>397.33065303529582</v>
      </c>
      <c r="AF144" s="79" t="str">
        <f t="shared" si="96"/>
        <v>0.1, (0, 0.2)</v>
      </c>
      <c r="AG144" s="78">
        <f t="shared" si="97"/>
        <v>19.933154618255884</v>
      </c>
      <c r="AH144" s="2">
        <f t="shared" si="98"/>
        <v>1.5714285714285714</v>
      </c>
      <c r="AI144" s="78">
        <f t="shared" si="99"/>
        <v>4.1649312786339238E-4</v>
      </c>
      <c r="AJ144" s="85">
        <f t="shared" si="100"/>
        <v>4</v>
      </c>
    </row>
    <row r="145" spans="1:36" x14ac:dyDescent="0.25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7">
        <v>0.04</v>
      </c>
      <c r="H145" s="18">
        <v>0.05</v>
      </c>
      <c r="I145" s="14" t="s">
        <v>151</v>
      </c>
      <c r="J145" s="17"/>
      <c r="K145" s="18"/>
      <c r="L145" s="14"/>
      <c r="M145" s="19"/>
      <c r="N145" s="18"/>
      <c r="O145" s="14"/>
      <c r="Q145" s="2" t="str">
        <f>CONCATENATE(B168,"_",E168,"_",D168,"_",C168)</f>
        <v>LASA_Women_Word_Im_PEF</v>
      </c>
      <c r="S145" s="75">
        <f>G168</f>
        <v>0.16</v>
      </c>
      <c r="T145" s="74">
        <v>41</v>
      </c>
      <c r="U145" s="102">
        <f>W145/G168*H168</f>
        <v>5.0433342541101725E-2</v>
      </c>
      <c r="V145" s="76" t="str">
        <f>I168</f>
        <v>p&lt;0.01 **</v>
      </c>
      <c r="W145" s="74">
        <f t="shared" si="88"/>
        <v>0.16138669613152551</v>
      </c>
      <c r="X145" s="74">
        <f t="shared" si="89"/>
        <v>9.7544054087132556E-2</v>
      </c>
      <c r="Y145" s="74">
        <f t="shared" si="90"/>
        <v>9.4516302582621864E-2</v>
      </c>
      <c r="Z145" s="74">
        <f t="shared" si="91"/>
        <v>6.2537344750966131E-2</v>
      </c>
      <c r="AA145" s="74">
        <f t="shared" si="92"/>
        <v>0.2602360475120849</v>
      </c>
      <c r="AB145" s="74">
        <f t="shared" si="93"/>
        <v>9.8849351380559378E-2</v>
      </c>
      <c r="AC145" s="78">
        <f t="shared" si="94"/>
        <v>63.450087556502758</v>
      </c>
      <c r="AD145" s="78"/>
      <c r="AE145" s="78">
        <f t="shared" si="95"/>
        <v>393.15562606717452</v>
      </c>
      <c r="AF145" s="79" t="str">
        <f t="shared" si="96"/>
        <v>0.16, (0.06, 0.25)</v>
      </c>
      <c r="AG145" s="78">
        <f t="shared" si="97"/>
        <v>19.828152361407113</v>
      </c>
      <c r="AH145" s="2">
        <f t="shared" si="98"/>
        <v>0.79999999999999993</v>
      </c>
      <c r="AI145" s="78">
        <f t="shared" si="99"/>
        <v>0.40024989587671805</v>
      </c>
      <c r="AJ145" s="85">
        <f t="shared" si="100"/>
        <v>4</v>
      </c>
    </row>
    <row r="146" spans="1:36" x14ac:dyDescent="0.25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7.0000000000000007E-2</v>
      </c>
      <c r="H146" s="13">
        <v>0.12</v>
      </c>
      <c r="I146" s="14" t="s">
        <v>71</v>
      </c>
      <c r="J146" s="12"/>
      <c r="K146" s="13"/>
      <c r="L146" s="14"/>
      <c r="M146" s="12"/>
      <c r="N146" s="16"/>
      <c r="O146" s="14"/>
      <c r="Q146" s="2" t="str">
        <f t="shared" ref="Q146:Q153" si="101">CONCATENATE(B148,"_",E148,"_",D148,"_",C148)</f>
        <v>OCTO_Men_Objects_Recall_PEF</v>
      </c>
      <c r="S146" s="75">
        <f t="shared" ref="S146:S153" si="102">G148</f>
        <v>0.57999999999999996</v>
      </c>
      <c r="T146" s="2">
        <v>40</v>
      </c>
      <c r="U146" s="102">
        <f t="shared" ref="U146:U153" si="103">W146/G148*H148</f>
        <v>0.13706124980106191</v>
      </c>
      <c r="V146" s="76" t="str">
        <f t="shared" ref="V146:V153" si="104">I148</f>
        <v>p&lt;0.01 ***</v>
      </c>
      <c r="W146" s="74">
        <f t="shared" si="88"/>
        <v>0.66246270737179924</v>
      </c>
      <c r="X146" s="74">
        <f t="shared" si="89"/>
        <v>0.20534897863330009</v>
      </c>
      <c r="Y146" s="74">
        <f t="shared" si="90"/>
        <v>0.15110762320405891</v>
      </c>
      <c r="Z146" s="74">
        <f t="shared" si="91"/>
        <v>0.39382265776171793</v>
      </c>
      <c r="AA146" s="74">
        <f t="shared" si="92"/>
        <v>0.93110275698188061</v>
      </c>
      <c r="AB146" s="74">
        <f t="shared" si="93"/>
        <v>0.26864004961008131</v>
      </c>
      <c r="AC146" s="78">
        <f t="shared" si="94"/>
        <v>35.264039546908364</v>
      </c>
      <c r="AD146" s="78"/>
      <c r="AE146" s="78">
        <f t="shared" si="95"/>
        <v>53.231735393546984</v>
      </c>
      <c r="AF146" s="79" t="str">
        <f t="shared" si="96"/>
        <v>0.58, (0.37, 0.73)</v>
      </c>
      <c r="AG146" s="78">
        <f t="shared" si="97"/>
        <v>7.2960081821189728</v>
      </c>
      <c r="AH146" s="2">
        <f t="shared" si="98"/>
        <v>0.58333333333333337</v>
      </c>
      <c r="AI146" s="78">
        <f t="shared" si="99"/>
        <v>2.1491161090286459</v>
      </c>
      <c r="AJ146" s="85">
        <f t="shared" si="100"/>
        <v>2</v>
      </c>
    </row>
    <row r="147" spans="1:36" x14ac:dyDescent="0.25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7">
        <v>0.11</v>
      </c>
      <c r="H147" s="24">
        <v>7.0000000000000007E-2</v>
      </c>
      <c r="I147" s="14" t="s">
        <v>167</v>
      </c>
      <c r="J147" s="17"/>
      <c r="K147" s="24"/>
      <c r="L147" s="14"/>
      <c r="M147" s="19"/>
      <c r="N147" s="18"/>
      <c r="O147" s="14"/>
      <c r="Q147" s="2" t="str">
        <f t="shared" si="101"/>
        <v>OCTO_Women_Objects_Recall_PEF</v>
      </c>
      <c r="S147" s="75">
        <f t="shared" si="102"/>
        <v>0.13</v>
      </c>
      <c r="T147" s="74">
        <v>39</v>
      </c>
      <c r="U147" s="102">
        <f t="shared" si="103"/>
        <v>0.10056911540682952</v>
      </c>
      <c r="V147" s="76" t="str">
        <f t="shared" si="104"/>
        <v>p=0.20</v>
      </c>
      <c r="W147" s="74">
        <f t="shared" si="88"/>
        <v>0.13073985002887836</v>
      </c>
      <c r="X147" s="74">
        <f t="shared" si="89"/>
        <v>0.19627831013279354</v>
      </c>
      <c r="Y147" s="74">
        <f t="shared" si="90"/>
        <v>0.18659236867237328</v>
      </c>
      <c r="Z147" s="74">
        <f t="shared" si="91"/>
        <v>-6.6375616168507484E-2</v>
      </c>
      <c r="AA147" s="74">
        <f t="shared" si="92"/>
        <v>0.32785531622626418</v>
      </c>
      <c r="AB147" s="74">
        <f t="shared" si="93"/>
        <v>0.19711546619738585</v>
      </c>
      <c r="AC147" s="78">
        <f t="shared" si="94"/>
        <v>12.926433674405359</v>
      </c>
      <c r="AD147" s="78"/>
      <c r="AE147" s="78">
        <f t="shared" si="95"/>
        <v>98.871412744852591</v>
      </c>
      <c r="AF147" s="79" t="str">
        <f t="shared" si="96"/>
        <v>0.13, (-0.07, 0.32)</v>
      </c>
      <c r="AG147" s="78">
        <f t="shared" si="97"/>
        <v>9.943410518773355</v>
      </c>
      <c r="AH147" s="2">
        <f t="shared" si="98"/>
        <v>1.5714285714285714</v>
      </c>
      <c r="AI147" s="78">
        <f t="shared" si="99"/>
        <v>0.11339025406080802</v>
      </c>
      <c r="AJ147" s="85">
        <f t="shared" si="100"/>
        <v>3</v>
      </c>
    </row>
    <row r="148" spans="1:36" x14ac:dyDescent="0.25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0.57999999999999996</v>
      </c>
      <c r="H148" s="24">
        <v>0.12</v>
      </c>
      <c r="I148" s="25" t="s">
        <v>27</v>
      </c>
      <c r="J148" s="23"/>
      <c r="K148" s="24"/>
      <c r="L148" s="25"/>
      <c r="M148" s="23"/>
      <c r="N148" s="27"/>
      <c r="O148" s="25"/>
      <c r="Q148" s="2" t="str">
        <f t="shared" si="101"/>
        <v>OCTO_Men_Objects_Recog_PEF</v>
      </c>
      <c r="S148" s="75">
        <f t="shared" si="102"/>
        <v>0.51</v>
      </c>
      <c r="T148" s="2">
        <v>38</v>
      </c>
      <c r="U148" s="102">
        <f t="shared" si="103"/>
        <v>0.18757658978404965</v>
      </c>
      <c r="V148" s="76" t="str">
        <f t="shared" si="104"/>
        <v>p&lt;0.01 **</v>
      </c>
      <c r="W148" s="74">
        <f t="shared" si="88"/>
        <v>0.56272976935214891</v>
      </c>
      <c r="X148" s="74">
        <f t="shared" si="89"/>
        <v>0.31735790286889665</v>
      </c>
      <c r="Y148" s="74">
        <f t="shared" si="90"/>
        <v>0.22077096185326739</v>
      </c>
      <c r="Z148" s="74">
        <f t="shared" si="91"/>
        <v>0.19507965337541161</v>
      </c>
      <c r="AA148" s="74">
        <f t="shared" si="92"/>
        <v>0.93037988532888627</v>
      </c>
      <c r="AB148" s="74">
        <f t="shared" si="93"/>
        <v>0.3676501159767373</v>
      </c>
      <c r="AC148" s="78">
        <f t="shared" si="94"/>
        <v>15.993467007017212</v>
      </c>
      <c r="AD148" s="78"/>
      <c r="AE148" s="78">
        <f t="shared" si="95"/>
        <v>28.421220767172013</v>
      </c>
      <c r="AF148" s="79" t="str">
        <f t="shared" si="96"/>
        <v>0.51, (0.19, 0.73)</v>
      </c>
      <c r="AG148" s="78">
        <f t="shared" si="97"/>
        <v>5.3311556690057378</v>
      </c>
      <c r="AH148" s="2">
        <f t="shared" si="98"/>
        <v>4.833333333333333</v>
      </c>
      <c r="AI148" s="78">
        <f t="shared" si="99"/>
        <v>0.28154935443565171</v>
      </c>
      <c r="AJ148" s="85">
        <f t="shared" si="100"/>
        <v>2</v>
      </c>
    </row>
    <row r="149" spans="1:36" x14ac:dyDescent="0.25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7">
        <v>0.13</v>
      </c>
      <c r="H149" s="18">
        <v>0.1</v>
      </c>
      <c r="I149" s="14" t="s">
        <v>80</v>
      </c>
      <c r="J149" s="17"/>
      <c r="K149" s="18"/>
      <c r="L149" s="14"/>
      <c r="M149" s="19"/>
      <c r="N149" s="18"/>
      <c r="O149" s="14"/>
      <c r="Q149" s="2" t="str">
        <f t="shared" si="101"/>
        <v>OCTO_Women_Objects_Recog_PEF</v>
      </c>
      <c r="S149" s="75">
        <f t="shared" si="102"/>
        <v>7.0000000000000007E-2</v>
      </c>
      <c r="T149" s="74">
        <v>37</v>
      </c>
      <c r="U149" s="102">
        <f t="shared" si="103"/>
        <v>7.0114670654325154E-2</v>
      </c>
      <c r="V149" s="76" t="str">
        <f t="shared" si="104"/>
        <v>p=0.30</v>
      </c>
      <c r="W149" s="74">
        <f t="shared" si="88"/>
        <v>7.0114670654325154E-2</v>
      </c>
      <c r="X149" s="74">
        <f t="shared" si="89"/>
        <v>0.13720861496029096</v>
      </c>
      <c r="Y149" s="74">
        <f t="shared" si="90"/>
        <v>0.13461012867339878</v>
      </c>
      <c r="Z149" s="74">
        <f t="shared" si="91"/>
        <v>-6.7310083828152137E-2</v>
      </c>
      <c r="AA149" s="74">
        <f t="shared" si="92"/>
        <v>0.20753942513680246</v>
      </c>
      <c r="AB149" s="74">
        <f t="shared" si="93"/>
        <v>0.13742475448247729</v>
      </c>
      <c r="AC149" s="78">
        <f t="shared" si="94"/>
        <v>14.262350384987698</v>
      </c>
      <c r="AD149" s="78"/>
      <c r="AE149" s="78">
        <f t="shared" si="95"/>
        <v>203.41463850415875</v>
      </c>
      <c r="AF149" s="79" t="str">
        <f t="shared" si="96"/>
        <v>0.07, (-0.07, 0.2)</v>
      </c>
      <c r="AG149" s="78">
        <f t="shared" si="97"/>
        <v>14.262350384987698</v>
      </c>
      <c r="AH149" s="2">
        <f t="shared" si="98"/>
        <v>1.3</v>
      </c>
      <c r="AI149" s="78">
        <f t="shared" si="99"/>
        <v>0.23990004164931272</v>
      </c>
      <c r="AJ149" s="85">
        <f t="shared" si="100"/>
        <v>3</v>
      </c>
    </row>
    <row r="150" spans="1:36" x14ac:dyDescent="0.25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0.51</v>
      </c>
      <c r="H150" s="24">
        <v>0.17</v>
      </c>
      <c r="I150" s="25" t="s">
        <v>45</v>
      </c>
      <c r="J150" s="23"/>
      <c r="K150" s="24"/>
      <c r="L150" s="25"/>
      <c r="M150" s="23"/>
      <c r="N150" s="27"/>
      <c r="O150" s="25"/>
      <c r="Q150" s="2" t="str">
        <f t="shared" si="101"/>
        <v>OCTO_Men_Prose_Im_PEF</v>
      </c>
      <c r="S150" s="75">
        <f t="shared" si="102"/>
        <v>0.22</v>
      </c>
      <c r="T150" s="2">
        <v>36</v>
      </c>
      <c r="U150" s="102">
        <f t="shared" si="103"/>
        <v>0.13216042805835551</v>
      </c>
      <c r="V150" s="76" t="str">
        <f t="shared" si="104"/>
        <v>p=0.10 ^</v>
      </c>
      <c r="W150" s="74">
        <f t="shared" si="88"/>
        <v>0.22365610902183242</v>
      </c>
      <c r="X150" s="74">
        <f t="shared" si="89"/>
        <v>0.25536357720986974</v>
      </c>
      <c r="Y150" s="74">
        <f t="shared" si="90"/>
        <v>0.22839579121162398</v>
      </c>
      <c r="Z150" s="74">
        <f t="shared" si="91"/>
        <v>-3.5378329972544365E-2</v>
      </c>
      <c r="AA150" s="74">
        <f t="shared" si="92"/>
        <v>0.4826905480162092</v>
      </c>
      <c r="AB150" s="74">
        <f t="shared" si="93"/>
        <v>0.25903443899437678</v>
      </c>
      <c r="AC150" s="78">
        <f t="shared" si="94"/>
        <v>12.804950144081351</v>
      </c>
      <c r="AD150" s="78"/>
      <c r="AE150" s="78">
        <f t="shared" si="95"/>
        <v>57.252852158093219</v>
      </c>
      <c r="AF150" s="79" t="str">
        <f t="shared" si="96"/>
        <v>0.22, (-0.04, 0.45)</v>
      </c>
      <c r="AG150" s="78">
        <f t="shared" si="97"/>
        <v>7.5665614487753441</v>
      </c>
      <c r="AH150" s="2">
        <f t="shared" si="98"/>
        <v>3</v>
      </c>
      <c r="AI150" s="78">
        <f t="shared" si="99"/>
        <v>1.8653470324248488E-2</v>
      </c>
      <c r="AJ150" s="85">
        <f t="shared" si="100"/>
        <v>2</v>
      </c>
    </row>
    <row r="151" spans="1:36" x14ac:dyDescent="0.25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7">
        <v>7.0000000000000007E-2</v>
      </c>
      <c r="H151" s="18">
        <v>7.0000000000000007E-2</v>
      </c>
      <c r="I151" s="14" t="s">
        <v>20</v>
      </c>
      <c r="J151" s="17"/>
      <c r="K151" s="18"/>
      <c r="L151" s="14"/>
      <c r="M151" s="19"/>
      <c r="N151" s="18"/>
      <c r="O151" s="14"/>
      <c r="Q151" s="2" t="str">
        <f t="shared" si="101"/>
        <v>OCTO_Women_Prose_Im_PEF</v>
      </c>
      <c r="S151" s="75">
        <f t="shared" si="102"/>
        <v>0.15</v>
      </c>
      <c r="T151" s="74">
        <v>35</v>
      </c>
      <c r="U151" s="102">
        <f t="shared" si="103"/>
        <v>9.0684261561880058E-2</v>
      </c>
      <c r="V151" s="76" t="str">
        <f t="shared" si="104"/>
        <v>p=0.11</v>
      </c>
      <c r="W151" s="74">
        <f t="shared" si="88"/>
        <v>0.15114043593646675</v>
      </c>
      <c r="X151" s="74">
        <f t="shared" si="89"/>
        <v>0.17659444429435003</v>
      </c>
      <c r="Y151" s="74">
        <f t="shared" si="90"/>
        <v>0.16751547676590647</v>
      </c>
      <c r="Z151" s="74">
        <f t="shared" si="91"/>
        <v>-2.6600716724818146E-2</v>
      </c>
      <c r="AA151" s="74">
        <f t="shared" si="92"/>
        <v>0.32888158859775163</v>
      </c>
      <c r="AB151" s="74">
        <f t="shared" si="93"/>
        <v>0.1777411526612849</v>
      </c>
      <c r="AC151" s="78">
        <f t="shared" si="94"/>
        <v>18.37878632919546</v>
      </c>
      <c r="AD151" s="78"/>
      <c r="AE151" s="78">
        <f t="shared" si="95"/>
        <v>121.6007232963199</v>
      </c>
      <c r="AF151" s="79" t="str">
        <f t="shared" si="96"/>
        <v>0.15, (-0.03, 0.32)</v>
      </c>
      <c r="AG151" s="78">
        <f t="shared" si="97"/>
        <v>11.027271797517278</v>
      </c>
      <c r="AH151" s="2">
        <f t="shared" si="98"/>
        <v>1</v>
      </c>
      <c r="AI151" s="78">
        <f t="shared" si="99"/>
        <v>2.2398074876208977E-2</v>
      </c>
      <c r="AJ151" s="85">
        <f t="shared" si="100"/>
        <v>3</v>
      </c>
    </row>
    <row r="152" spans="1:36" x14ac:dyDescent="0.25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0.22</v>
      </c>
      <c r="H152" s="13">
        <v>0.13</v>
      </c>
      <c r="I152" s="14" t="s">
        <v>108</v>
      </c>
      <c r="J152" s="12"/>
      <c r="K152" s="13"/>
      <c r="L152" s="14"/>
      <c r="M152" s="12"/>
      <c r="N152" s="16"/>
      <c r="O152" s="14"/>
      <c r="Q152" s="2" t="str">
        <f t="shared" si="101"/>
        <v>ELSA_Men_Word_De_FEV1</v>
      </c>
      <c r="S152" s="75">
        <f t="shared" si="102"/>
        <v>0.06</v>
      </c>
      <c r="T152" s="2">
        <v>34</v>
      </c>
      <c r="U152" s="102">
        <f t="shared" si="103"/>
        <v>4.0048103947354467E-2</v>
      </c>
      <c r="V152" s="76" t="str">
        <f t="shared" si="104"/>
        <v>p=0.16</v>
      </c>
      <c r="W152" s="74">
        <f t="shared" si="88"/>
        <v>6.0072155921031704E-2</v>
      </c>
      <c r="X152" s="74">
        <f t="shared" si="89"/>
        <v>7.8420044096707664E-2</v>
      </c>
      <c r="Y152" s="74">
        <f t="shared" si="90"/>
        <v>7.7686342800665276E-2</v>
      </c>
      <c r="Z152" s="74">
        <f t="shared" si="91"/>
        <v>-1.8422127815783056E-2</v>
      </c>
      <c r="AA152" s="74">
        <f t="shared" si="92"/>
        <v>0.13856643965784646</v>
      </c>
      <c r="AB152" s="74">
        <f t="shared" si="93"/>
        <v>7.849428373681476E-2</v>
      </c>
      <c r="AC152" s="78">
        <f t="shared" si="94"/>
        <v>37.454956718346423</v>
      </c>
      <c r="AD152" s="78"/>
      <c r="AE152" s="78">
        <f t="shared" si="95"/>
        <v>623.49945901031265</v>
      </c>
      <c r="AF152" s="79" t="str">
        <f t="shared" si="96"/>
        <v>0.06, (-0.02, 0.14)</v>
      </c>
      <c r="AG152" s="78">
        <f t="shared" si="97"/>
        <v>24.96997114556428</v>
      </c>
      <c r="AH152" s="2">
        <f t="shared" si="98"/>
        <v>1.6923076923076923</v>
      </c>
      <c r="AI152" s="78">
        <f t="shared" si="99"/>
        <v>5.5081216159933367E-2</v>
      </c>
      <c r="AJ152" s="85">
        <f t="shared" si="100"/>
        <v>5</v>
      </c>
    </row>
    <row r="153" spans="1:36" x14ac:dyDescent="0.25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28">
        <v>0.15</v>
      </c>
      <c r="H153" s="29">
        <v>0.09</v>
      </c>
      <c r="I153" s="25" t="s">
        <v>97</v>
      </c>
      <c r="J153" s="28"/>
      <c r="K153" s="29"/>
      <c r="L153" s="25"/>
      <c r="M153" s="30"/>
      <c r="N153" s="29"/>
      <c r="O153" s="25"/>
      <c r="Q153" s="2" t="str">
        <f t="shared" si="101"/>
        <v>ELSA_Women_Word_De_FEV1</v>
      </c>
      <c r="S153" s="75">
        <f t="shared" si="102"/>
        <v>0.05</v>
      </c>
      <c r="T153" s="74">
        <v>33</v>
      </c>
      <c r="U153" s="102">
        <f t="shared" si="103"/>
        <v>4.0033383422793049E-2</v>
      </c>
      <c r="V153" s="76" t="str">
        <f t="shared" si="104"/>
        <v>p=0.25</v>
      </c>
      <c r="W153" s="74">
        <f t="shared" si="88"/>
        <v>5.0041729278491313E-2</v>
      </c>
      <c r="X153" s="74">
        <f t="shared" si="89"/>
        <v>7.8416050135148685E-2</v>
      </c>
      <c r="Y153" s="74">
        <f t="shared" si="90"/>
        <v>7.7804409585495407E-2</v>
      </c>
      <c r="Z153" s="74">
        <f t="shared" si="91"/>
        <v>-2.8423702230183055E-2</v>
      </c>
      <c r="AA153" s="74">
        <f t="shared" si="92"/>
        <v>0.12850716078716568</v>
      </c>
      <c r="AB153" s="74">
        <f t="shared" si="93"/>
        <v>7.8465431508674369E-2</v>
      </c>
      <c r="AC153" s="78">
        <f t="shared" si="94"/>
        <v>31.223940949450483</v>
      </c>
      <c r="AD153" s="78"/>
      <c r="AE153" s="78">
        <f t="shared" si="95"/>
        <v>623.95807258545324</v>
      </c>
      <c r="AF153" s="79" t="str">
        <f t="shared" si="96"/>
        <v>0.05, (-0.03, 0.13)</v>
      </c>
      <c r="AG153" s="78">
        <f t="shared" si="97"/>
        <v>24.979152759560389</v>
      </c>
      <c r="AH153" s="2">
        <f t="shared" si="98"/>
        <v>1.6666666666666667</v>
      </c>
      <c r="AI153" s="78">
        <f t="shared" si="99"/>
        <v>0.13122136609745932</v>
      </c>
      <c r="AJ153" s="85">
        <f t="shared" si="100"/>
        <v>5</v>
      </c>
    </row>
    <row r="154" spans="1:36" x14ac:dyDescent="0.25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0.06</v>
      </c>
      <c r="H154" s="13">
        <v>0.04</v>
      </c>
      <c r="I154" s="14" t="s">
        <v>84</v>
      </c>
      <c r="J154" s="12"/>
      <c r="K154" s="13"/>
      <c r="L154" s="14"/>
      <c r="M154" s="12"/>
      <c r="N154" s="16"/>
      <c r="O154" s="14"/>
      <c r="Q154" s="2" t="str">
        <f>CONCATENATE(B163,"_",E163,"_",D163,"_",C163)</f>
        <v>ELSA_Men_Word_Im_FEV1</v>
      </c>
      <c r="S154" s="75">
        <f>G163</f>
        <v>0.06</v>
      </c>
      <c r="T154" s="2">
        <v>32</v>
      </c>
      <c r="U154" s="102">
        <f>W154/G163*H163</f>
        <v>4.0048103947354467E-2</v>
      </c>
      <c r="V154" s="76" t="str">
        <f>I163</f>
        <v>p=0.15</v>
      </c>
      <c r="W154" s="74">
        <f t="shared" si="88"/>
        <v>6.0072155921031704E-2</v>
      </c>
      <c r="X154" s="74">
        <f t="shared" si="89"/>
        <v>7.8420044096707664E-2</v>
      </c>
      <c r="Y154" s="74">
        <f t="shared" si="90"/>
        <v>7.7686342800665276E-2</v>
      </c>
      <c r="Z154" s="74">
        <f t="shared" si="91"/>
        <v>-1.8422127815783056E-2</v>
      </c>
      <c r="AA154" s="74">
        <f t="shared" si="92"/>
        <v>0.13856643965784646</v>
      </c>
      <c r="AB154" s="74">
        <f t="shared" si="93"/>
        <v>7.849428373681476E-2</v>
      </c>
      <c r="AC154" s="78">
        <f t="shared" si="94"/>
        <v>37.454956718346423</v>
      </c>
      <c r="AD154" s="78"/>
      <c r="AE154" s="78">
        <f t="shared" si="95"/>
        <v>623.49945901031265</v>
      </c>
      <c r="AF154" s="79" t="str">
        <f t="shared" si="96"/>
        <v>0.06, (-0.02, 0.14)</v>
      </c>
      <c r="AG154" s="78">
        <f t="shared" si="97"/>
        <v>24.96997114556428</v>
      </c>
      <c r="AH154" s="2">
        <f t="shared" si="98"/>
        <v>1.5</v>
      </c>
      <c r="AI154" s="78">
        <f t="shared" si="99"/>
        <v>5.5081216159933367E-2</v>
      </c>
      <c r="AJ154" s="85">
        <f t="shared" si="100"/>
        <v>5</v>
      </c>
    </row>
    <row r="155" spans="1:36" x14ac:dyDescent="0.25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7">
        <v>0.05</v>
      </c>
      <c r="H155" s="18">
        <v>0.04</v>
      </c>
      <c r="I155" s="14" t="s">
        <v>62</v>
      </c>
      <c r="J155" s="17"/>
      <c r="K155" s="18"/>
      <c r="L155" s="14"/>
      <c r="M155" s="19"/>
      <c r="N155" s="18"/>
      <c r="O155" s="14"/>
      <c r="Q155" s="2" t="str">
        <f>CONCATENATE(B164,"_",E164,"_",D164,"_",C164)</f>
        <v>ELSA_Women_Word_Im_FEV1</v>
      </c>
      <c r="S155" s="75">
        <f>G164</f>
        <v>7.0000000000000007E-2</v>
      </c>
      <c r="T155" s="74">
        <v>31</v>
      </c>
      <c r="U155" s="102">
        <f>W155/G164*H164</f>
        <v>4.0065526088185796E-2</v>
      </c>
      <c r="V155" s="76" t="str">
        <f>I164</f>
        <v>p=0.09^</v>
      </c>
      <c r="W155" s="74">
        <f t="shared" si="88"/>
        <v>7.0114670654325154E-2</v>
      </c>
      <c r="X155" s="74">
        <f t="shared" si="89"/>
        <v>7.841356194361003E-2</v>
      </c>
      <c r="Y155" s="74">
        <f t="shared" si="90"/>
        <v>7.7557946152156998E-2</v>
      </c>
      <c r="Z155" s="74">
        <f t="shared" si="91"/>
        <v>-8.4137604785190084E-3</v>
      </c>
      <c r="AA155" s="74">
        <f t="shared" si="92"/>
        <v>0.14864310178716933</v>
      </c>
      <c r="AB155" s="74">
        <f t="shared" si="93"/>
        <v>7.8528431132844162E-2</v>
      </c>
      <c r="AC155" s="78">
        <f t="shared" si="94"/>
        <v>43.678448054024841</v>
      </c>
      <c r="AD155" s="78"/>
      <c r="AE155" s="78">
        <f t="shared" si="95"/>
        <v>622.95733041898632</v>
      </c>
      <c r="AF155" s="79" t="str">
        <f t="shared" si="96"/>
        <v>0.07, (-0.01, 0.15)</v>
      </c>
      <c r="AG155" s="78">
        <f t="shared" si="97"/>
        <v>24.959113173728475</v>
      </c>
      <c r="AH155" s="2">
        <f t="shared" si="98"/>
        <v>1.25</v>
      </c>
      <c r="AI155" s="78">
        <f t="shared" si="99"/>
        <v>1.147959183673467E-2</v>
      </c>
      <c r="AJ155" s="85">
        <f t="shared" si="100"/>
        <v>5</v>
      </c>
    </row>
    <row r="156" spans="1:36" x14ac:dyDescent="0.25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0.27</v>
      </c>
      <c r="H156" s="13">
        <v>0.03</v>
      </c>
      <c r="I156" s="14" t="s">
        <v>27</v>
      </c>
      <c r="J156" s="12"/>
      <c r="K156" s="13"/>
      <c r="L156" s="14"/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05">G136</f>
        <v>0.13</v>
      </c>
      <c r="T156" s="2">
        <v>30</v>
      </c>
      <c r="U156" s="102">
        <f>W156/G136*H136</f>
        <v>0.10056911540682952</v>
      </c>
      <c r="V156" s="76" t="str">
        <f t="shared" ref="V156:V159" si="106">I136</f>
        <v>p=0.21</v>
      </c>
      <c r="W156" s="74">
        <f t="shared" ref="W156:W171" si="107">0.5*LN((1+S156)/(1-S156))</f>
        <v>0.13073985002887836</v>
      </c>
      <c r="X156" s="74">
        <f t="shared" ref="X156:X171" si="108">S156-(EXP(2*Z156)-1)/(EXP(2*Z156)+1)</f>
        <v>0.19627831013279354</v>
      </c>
      <c r="Y156" s="74">
        <f t="shared" ref="Y156:Y171" si="109">(EXP(2*AA156)-1)/(EXP(2*AA156)+1)-S156</f>
        <v>0.18659236867237328</v>
      </c>
      <c r="Z156" s="74">
        <f t="shared" ref="Z156:Z171" si="110">W156-AB156</f>
        <v>-6.6375616168507484E-2</v>
      </c>
      <c r="AA156" s="74">
        <f t="shared" ref="AA156:AA171" si="111">W156+AB156</f>
        <v>0.32785531622626418</v>
      </c>
      <c r="AB156" s="74">
        <f t="shared" ref="AB156:AB171" si="112">1.96*U156</f>
        <v>0.19711546619738585</v>
      </c>
      <c r="AC156" s="78">
        <f t="shared" ref="AC156:AC171" si="113">IF(W156&lt;&gt;"",ABS(W156/U156^2),"")</f>
        <v>12.926433674405359</v>
      </c>
      <c r="AD156" s="78"/>
      <c r="AE156" s="78">
        <f t="shared" ref="AE156:AE171" si="114">U156^-2</f>
        <v>98.871412744852591</v>
      </c>
      <c r="AF156" s="79" t="str">
        <f t="shared" ref="AF156:AF171" si="115">CONCATENATE(ROUND(S156,2),", (",ROUND(-(X156-S156),2),", ",ROUND(Y156+S156,2),")")</f>
        <v>0.13, (-0.07, 0.32)</v>
      </c>
      <c r="AG156" s="78">
        <f t="shared" si="97"/>
        <v>9.943410518773355</v>
      </c>
      <c r="AH156" s="2">
        <f t="shared" si="98"/>
        <v>9.0000000000000018</v>
      </c>
      <c r="AI156" s="78">
        <f t="shared" si="99"/>
        <v>0.11339025406080802</v>
      </c>
      <c r="AJ156" s="85">
        <f t="shared" si="100"/>
        <v>3</v>
      </c>
    </row>
    <row r="157" spans="1:36" x14ac:dyDescent="0.25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7">
        <v>0.28000000000000003</v>
      </c>
      <c r="H157" s="18">
        <v>0.03</v>
      </c>
      <c r="I157" s="14" t="s">
        <v>27</v>
      </c>
      <c r="J157" s="17"/>
      <c r="K157" s="18"/>
      <c r="L157" s="14"/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05"/>
        <v>0.02</v>
      </c>
      <c r="T157" s="74">
        <v>29</v>
      </c>
      <c r="U157" s="102">
        <f>W157/G137*H137</f>
        <v>6.0008001920548809E-2</v>
      </c>
      <c r="V157" s="76" t="str">
        <f t="shared" si="106"/>
        <v>p=0.74</v>
      </c>
      <c r="W157" s="74">
        <f t="shared" si="107"/>
        <v>2.0002667306849603E-2</v>
      </c>
      <c r="X157" s="74">
        <f t="shared" si="108"/>
        <v>0.1173041648031274</v>
      </c>
      <c r="Y157" s="74">
        <f t="shared" si="109"/>
        <v>0.11675610647755662</v>
      </c>
      <c r="Z157" s="74">
        <f t="shared" si="110"/>
        <v>-9.7613016457426066E-2</v>
      </c>
      <c r="AA157" s="74">
        <f t="shared" si="111"/>
        <v>0.13761835107112527</v>
      </c>
      <c r="AB157" s="74">
        <f t="shared" si="112"/>
        <v>0.11761568376427567</v>
      </c>
      <c r="AC157" s="78">
        <f t="shared" si="113"/>
        <v>5.5548147357859037</v>
      </c>
      <c r="AD157" s="78"/>
      <c r="AE157" s="78">
        <f t="shared" si="114"/>
        <v>277.70370074013795</v>
      </c>
      <c r="AF157" s="79" t="str">
        <f t="shared" si="115"/>
        <v>0.02, (-0.1, 0.14)</v>
      </c>
      <c r="AG157" s="78">
        <f t="shared" si="97"/>
        <v>16.664444207357711</v>
      </c>
      <c r="AH157" s="2">
        <f t="shared" si="98"/>
        <v>9.3333333333333339</v>
      </c>
      <c r="AI157" s="78">
        <f t="shared" si="99"/>
        <v>0.6887870794576334</v>
      </c>
      <c r="AJ157" s="85">
        <f t="shared" si="100"/>
        <v>4</v>
      </c>
    </row>
    <row r="158" spans="1:36" x14ac:dyDescent="0.25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0.1</v>
      </c>
      <c r="H158" s="13">
        <v>0.08</v>
      </c>
      <c r="I158" s="14" t="s">
        <v>62</v>
      </c>
      <c r="J158" s="12"/>
      <c r="K158" s="13"/>
      <c r="L158" s="14"/>
      <c r="M158" s="12"/>
      <c r="N158" s="16"/>
      <c r="O158" s="14"/>
      <c r="Q158" s="2" t="str">
        <f>CONCATENATE(B138,"_",E138,"_",D138,"_",C138)</f>
        <v>MAP_Men_Bstory_Im_FEV1</v>
      </c>
      <c r="S158" s="75">
        <f t="shared" si="105"/>
        <v>0.16</v>
      </c>
      <c r="T158" s="2">
        <v>28</v>
      </c>
      <c r="U158" s="102">
        <f>W158/G138*H138</f>
        <v>0.11095335359042378</v>
      </c>
      <c r="V158" s="76" t="str">
        <f t="shared" si="106"/>
        <v>p=0.14</v>
      </c>
      <c r="W158" s="74">
        <f t="shared" si="107"/>
        <v>0.16138669613152551</v>
      </c>
      <c r="X158" s="74">
        <f t="shared" si="108"/>
        <v>0.21602315497270583</v>
      </c>
      <c r="Y158" s="74">
        <f t="shared" si="109"/>
        <v>0.20171292126179177</v>
      </c>
      <c r="Z158" s="74">
        <f t="shared" si="110"/>
        <v>-5.6081876905705097E-2</v>
      </c>
      <c r="AA158" s="74">
        <f t="shared" si="111"/>
        <v>0.37885526916875611</v>
      </c>
      <c r="AB158" s="74">
        <f t="shared" si="112"/>
        <v>0.21746857303723061</v>
      </c>
      <c r="AC158" s="78">
        <f t="shared" si="113"/>
        <v>13.109522222417928</v>
      </c>
      <c r="AD158" s="78"/>
      <c r="AE158" s="78">
        <f t="shared" si="114"/>
        <v>81.230501253548468</v>
      </c>
      <c r="AF158" s="79" t="str">
        <f t="shared" si="115"/>
        <v>0.16, (-0.06, 0.36)</v>
      </c>
      <c r="AG158" s="78">
        <f t="shared" si="97"/>
        <v>9.0127965279123252</v>
      </c>
      <c r="AH158" s="2">
        <f t="shared" si="98"/>
        <v>1.25</v>
      </c>
      <c r="AI158" s="78">
        <f t="shared" si="99"/>
        <v>6.6504658871475705E-2</v>
      </c>
      <c r="AJ158" s="85">
        <f t="shared" si="100"/>
        <v>2</v>
      </c>
    </row>
    <row r="159" spans="1:36" x14ac:dyDescent="0.25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7">
        <v>0.04</v>
      </c>
      <c r="H159" s="18">
        <v>0.05</v>
      </c>
      <c r="I159" s="14" t="s">
        <v>161</v>
      </c>
      <c r="J159" s="17"/>
      <c r="K159" s="18"/>
      <c r="L159" s="14"/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05"/>
        <v>0.09</v>
      </c>
      <c r="T159" s="74">
        <v>27</v>
      </c>
      <c r="U159" s="102">
        <f>W159/G139*H139</f>
        <v>6.0162791904097873E-2</v>
      </c>
      <c r="V159" s="76" t="str">
        <f t="shared" si="106"/>
        <v>p=0.12</v>
      </c>
      <c r="W159" s="74">
        <f t="shared" si="107"/>
        <v>9.024418785614681E-2</v>
      </c>
      <c r="X159" s="74">
        <f t="shared" si="108"/>
        <v>0.11766782104900786</v>
      </c>
      <c r="Y159" s="74">
        <f t="shared" si="109"/>
        <v>0.11520777012637115</v>
      </c>
      <c r="Z159" s="74">
        <f t="shared" si="110"/>
        <v>-2.767488427588502E-2</v>
      </c>
      <c r="AA159" s="74">
        <f t="shared" si="111"/>
        <v>0.20816325998817864</v>
      </c>
      <c r="AB159" s="74">
        <f t="shared" si="112"/>
        <v>0.11791907213203183</v>
      </c>
      <c r="AC159" s="78">
        <f t="shared" si="113"/>
        <v>24.932353578122932</v>
      </c>
      <c r="AD159" s="78"/>
      <c r="AE159" s="78">
        <f t="shared" si="114"/>
        <v>276.2765577531286</v>
      </c>
      <c r="AF159" s="79" t="str">
        <f t="shared" si="115"/>
        <v>0.09, (-0.03, 0.21)</v>
      </c>
      <c r="AG159" s="78">
        <f t="shared" si="97"/>
        <v>16.621569052081956</v>
      </c>
      <c r="AH159" s="2">
        <f t="shared" si="98"/>
        <v>0.79999999999999993</v>
      </c>
      <c r="AI159" s="78">
        <f t="shared" si="99"/>
        <v>5.5081216159933354E-2</v>
      </c>
      <c r="AJ159" s="85">
        <f t="shared" si="100"/>
        <v>4</v>
      </c>
    </row>
    <row r="160" spans="1:36" x14ac:dyDescent="0.25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0.08</v>
      </c>
      <c r="H160" s="13">
        <v>0.05</v>
      </c>
      <c r="I160" s="14" t="s">
        <v>154</v>
      </c>
      <c r="J160" s="12"/>
      <c r="K160" s="13"/>
      <c r="L160" s="14"/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0.14000000000000001</v>
      </c>
      <c r="T160" s="2">
        <v>26</v>
      </c>
      <c r="U160" s="102">
        <f>W160/G142*H142</f>
        <v>7.0462788035246957E-2</v>
      </c>
      <c r="V160" s="76" t="str">
        <f>I142</f>
        <v>p=0.04 *</v>
      </c>
      <c r="W160" s="74">
        <f t="shared" si="107"/>
        <v>0.14092557607049391</v>
      </c>
      <c r="X160" s="74">
        <f t="shared" si="108"/>
        <v>0.13718149594199172</v>
      </c>
      <c r="Y160" s="74">
        <f t="shared" si="109"/>
        <v>0.13200953124106352</v>
      </c>
      <c r="Z160" s="74">
        <f t="shared" si="110"/>
        <v>2.8185115214098833E-3</v>
      </c>
      <c r="AA160" s="74">
        <f t="shared" si="111"/>
        <v>0.27903264061957794</v>
      </c>
      <c r="AB160" s="74">
        <f t="shared" si="112"/>
        <v>0.13810706454908403</v>
      </c>
      <c r="AC160" s="78">
        <f t="shared" si="113"/>
        <v>28.383776114557918</v>
      </c>
      <c r="AD160" s="78"/>
      <c r="AE160" s="78">
        <f t="shared" si="114"/>
        <v>201.40968663033715</v>
      </c>
      <c r="AF160" s="79" t="str">
        <f t="shared" si="115"/>
        <v>0.14, (0, 0.27)</v>
      </c>
      <c r="AG160" s="78">
        <f t="shared" si="97"/>
        <v>14.191888057278959</v>
      </c>
      <c r="AH160" s="2">
        <f t="shared" si="98"/>
        <v>1.5999999999999999</v>
      </c>
      <c r="AI160" s="78">
        <f t="shared" si="99"/>
        <v>4.1649312786339173E-4</v>
      </c>
      <c r="AJ160" s="85">
        <f t="shared" si="100"/>
        <v>3</v>
      </c>
    </row>
    <row r="161" spans="1:42" x14ac:dyDescent="0.25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7.0000000000000007E-2</v>
      </c>
      <c r="H161" s="13">
        <v>0.12</v>
      </c>
      <c r="I161" s="14" t="s">
        <v>71</v>
      </c>
      <c r="J161" s="12"/>
      <c r="K161" s="13"/>
      <c r="L161" s="14"/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0.05</v>
      </c>
      <c r="T161" s="74">
        <v>25</v>
      </c>
      <c r="U161" s="102">
        <f>W161/G143*H143</f>
        <v>4.0033383422793049E-2</v>
      </c>
      <c r="V161" s="76" t="str">
        <f>I143</f>
        <v>p=0.31</v>
      </c>
      <c r="W161" s="74">
        <f t="shared" si="107"/>
        <v>5.0041729278491313E-2</v>
      </c>
      <c r="X161" s="74">
        <f t="shared" si="108"/>
        <v>7.8416050135148685E-2</v>
      </c>
      <c r="Y161" s="74">
        <f t="shared" si="109"/>
        <v>7.7804409585495407E-2</v>
      </c>
      <c r="Z161" s="74">
        <f t="shared" si="110"/>
        <v>-2.8423702230183055E-2</v>
      </c>
      <c r="AA161" s="74">
        <f t="shared" si="111"/>
        <v>0.12850716078716568</v>
      </c>
      <c r="AB161" s="74">
        <f t="shared" si="112"/>
        <v>7.8465431508674369E-2</v>
      </c>
      <c r="AC161" s="78">
        <f t="shared" si="113"/>
        <v>31.223940949450483</v>
      </c>
      <c r="AD161" s="78"/>
      <c r="AE161" s="78">
        <f t="shared" si="114"/>
        <v>623.95807258545324</v>
      </c>
      <c r="AF161" s="79" t="str">
        <f t="shared" si="115"/>
        <v>0.05, (-0.03, 0.13)</v>
      </c>
      <c r="AG161" s="78">
        <f t="shared" si="97"/>
        <v>24.979152759560389</v>
      </c>
      <c r="AH161" s="2">
        <f t="shared" si="98"/>
        <v>0.58333333333333337</v>
      </c>
      <c r="AI161" s="78">
        <f t="shared" si="99"/>
        <v>0.13122136609745932</v>
      </c>
      <c r="AJ161" s="85">
        <f t="shared" si="100"/>
        <v>5</v>
      </c>
    </row>
    <row r="162" spans="1:42" x14ac:dyDescent="0.25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7">
        <v>0.28999999999999998</v>
      </c>
      <c r="H162" s="18">
        <v>0.1</v>
      </c>
      <c r="I162" s="14" t="s">
        <v>45</v>
      </c>
      <c r="J162" s="17"/>
      <c r="K162" s="18"/>
      <c r="L162" s="14"/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0.11</v>
      </c>
      <c r="T162" s="2">
        <v>24</v>
      </c>
      <c r="U162" s="102">
        <f>W162/G144*H144</f>
        <v>7.0284400957334597E-2</v>
      </c>
      <c r="V162" s="76" t="str">
        <f>I144</f>
        <v>p=0.14</v>
      </c>
      <c r="W162" s="74">
        <f t="shared" si="107"/>
        <v>0.11044691579009722</v>
      </c>
      <c r="X162" s="74">
        <f t="shared" si="108"/>
        <v>0.13730372213634812</v>
      </c>
      <c r="Y162" s="74">
        <f t="shared" si="109"/>
        <v>0.13322997605403408</v>
      </c>
      <c r="Z162" s="74">
        <f t="shared" si="110"/>
        <v>-2.7310510086278605E-2</v>
      </c>
      <c r="AA162" s="74">
        <f t="shared" si="111"/>
        <v>0.24820434166647304</v>
      </c>
      <c r="AB162" s="74">
        <f t="shared" si="112"/>
        <v>0.13775742587637582</v>
      </c>
      <c r="AC162" s="78">
        <f t="shared" si="113"/>
        <v>22.35814135177008</v>
      </c>
      <c r="AD162" s="78"/>
      <c r="AE162" s="78">
        <f t="shared" si="114"/>
        <v>202.43336983951104</v>
      </c>
      <c r="AF162" s="79" t="str">
        <f t="shared" si="115"/>
        <v>0.11, (-0.03, 0.24)</v>
      </c>
      <c r="AG162" s="78">
        <f t="shared" si="97"/>
        <v>14.227908132944597</v>
      </c>
      <c r="AH162" s="2">
        <f t="shared" si="98"/>
        <v>2.8999999999999995</v>
      </c>
      <c r="AI162" s="78">
        <f t="shared" si="99"/>
        <v>3.9303351494700392E-2</v>
      </c>
      <c r="AJ162" s="85">
        <f t="shared" si="100"/>
        <v>3</v>
      </c>
    </row>
    <row r="163" spans="1:42" x14ac:dyDescent="0.25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0.06</v>
      </c>
      <c r="H163" s="13">
        <v>0.04</v>
      </c>
      <c r="I163" s="14" t="s">
        <v>105</v>
      </c>
      <c r="J163" s="12"/>
      <c r="K163" s="13"/>
      <c r="L163" s="14"/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0.04</v>
      </c>
      <c r="T163" s="74">
        <v>23</v>
      </c>
      <c r="U163" s="102">
        <f>W163/G145*H145</f>
        <v>5.0026692295960351E-2</v>
      </c>
      <c r="V163" s="76" t="str">
        <f>I145</f>
        <v>p=0.33</v>
      </c>
      <c r="W163" s="74">
        <f t="shared" si="107"/>
        <v>4.0021353836768282E-2</v>
      </c>
      <c r="X163" s="74">
        <f t="shared" si="108"/>
        <v>9.7965909143257326E-2</v>
      </c>
      <c r="Y163" s="74">
        <f t="shared" si="109"/>
        <v>9.7202882798330864E-2</v>
      </c>
      <c r="Z163" s="74">
        <f t="shared" si="110"/>
        <v>-5.8030963063314005E-2</v>
      </c>
      <c r="AA163" s="74">
        <f t="shared" si="111"/>
        <v>0.13807367073685056</v>
      </c>
      <c r="AB163" s="74">
        <f t="shared" si="112"/>
        <v>9.8052316900082287E-2</v>
      </c>
      <c r="AC163" s="78">
        <f t="shared" si="113"/>
        <v>15.99146302272317</v>
      </c>
      <c r="AD163" s="78"/>
      <c r="AE163" s="78">
        <f t="shared" si="114"/>
        <v>399.57326501112885</v>
      </c>
      <c r="AF163" s="79" t="str">
        <f t="shared" si="115"/>
        <v>0.04, (-0.06, 0.14)</v>
      </c>
      <c r="AG163" s="78">
        <f t="shared" si="97"/>
        <v>19.989328778403962</v>
      </c>
      <c r="AH163" s="2">
        <f t="shared" si="98"/>
        <v>1.5</v>
      </c>
      <c r="AI163" s="78">
        <f t="shared" si="99"/>
        <v>0.3502707205331112</v>
      </c>
      <c r="AJ163" s="85">
        <f t="shared" si="100"/>
        <v>4</v>
      </c>
    </row>
    <row r="164" spans="1:42" x14ac:dyDescent="0.25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7">
        <v>7.0000000000000007E-2</v>
      </c>
      <c r="H164" s="18">
        <v>0.04</v>
      </c>
      <c r="I164" s="14" t="s">
        <v>34</v>
      </c>
      <c r="J164" s="17"/>
      <c r="K164" s="18"/>
      <c r="L164" s="14"/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0.1</v>
      </c>
      <c r="T164" s="2">
        <v>22</v>
      </c>
      <c r="U164" s="102">
        <f>W164/G158*H158</f>
        <v>8.02682781848605E-2</v>
      </c>
      <c r="V164" s="76" t="str">
        <f>I158</f>
        <v>p=0.25</v>
      </c>
      <c r="W164" s="74">
        <f>0.5*LN((1+S164)/(1-S164))</f>
        <v>0.10033534773107562</v>
      </c>
      <c r="X164" s="74">
        <f>S164-(EXP(2*Z164)-1)/(EXP(2*Z164)+1)</f>
        <v>0.15692885749802502</v>
      </c>
      <c r="Y164" s="74">
        <f>(EXP(2*AA164)-1)/(EXP(2*AA164)+1)-S164</f>
        <v>0.15210665084451389</v>
      </c>
      <c r="Z164" s="74">
        <f>W164-AB164</f>
        <v>-5.6990477511250956E-2</v>
      </c>
      <c r="AA164" s="74">
        <f>W164+AB164</f>
        <v>0.25766117297340219</v>
      </c>
      <c r="AB164" s="74">
        <f>1.96*U164</f>
        <v>0.15732582524232658</v>
      </c>
      <c r="AC164" s="78">
        <f>IF(W164&lt;&gt;"",ABS(W164/U164^2),"")</f>
        <v>15.572777045512408</v>
      </c>
      <c r="AD164" s="78"/>
      <c r="AE164" s="78">
        <f>U164^-2</f>
        <v>155.20728634191244</v>
      </c>
      <c r="AF164" s="79" t="str">
        <f>CONCATENATE(ROUND(S164,2),", (",ROUND(-(X164-S164),2),", ",ROUND(Y164+S164,2),")")</f>
        <v>0.1, (-0.06, 0.25)</v>
      </c>
      <c r="AG164" s="78">
        <f t="shared" si="97"/>
        <v>12.458221636409927</v>
      </c>
      <c r="AH164" s="2">
        <f t="shared" si="98"/>
        <v>1.7500000000000002</v>
      </c>
      <c r="AI164" s="78">
        <f t="shared" si="99"/>
        <v>0.13122136609745941</v>
      </c>
      <c r="AJ164" s="85">
        <f t="shared" si="100"/>
        <v>3</v>
      </c>
    </row>
    <row r="165" spans="1:42" x14ac:dyDescent="0.25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0.26</v>
      </c>
      <c r="H165" s="13">
        <v>0.03</v>
      </c>
      <c r="I165" s="14" t="s">
        <v>27</v>
      </c>
      <c r="J165" s="12"/>
      <c r="K165" s="13"/>
      <c r="L165" s="14"/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0.04</v>
      </c>
      <c r="T165" s="74">
        <v>21</v>
      </c>
      <c r="U165" s="102">
        <f>W165/G159*H159</f>
        <v>5.0026692295960351E-2</v>
      </c>
      <c r="V165" s="76" t="str">
        <f>I159</f>
        <v>p=0.41</v>
      </c>
      <c r="W165" s="74">
        <f>0.5*LN((1+S165)/(1-S165))</f>
        <v>4.0021353836768282E-2</v>
      </c>
      <c r="X165" s="74">
        <f>S165-(EXP(2*Z165)-1)/(EXP(2*Z165)+1)</f>
        <v>9.7965909143257326E-2</v>
      </c>
      <c r="Y165" s="74">
        <f>(EXP(2*AA165)-1)/(EXP(2*AA165)+1)-S165</f>
        <v>9.7202882798330864E-2</v>
      </c>
      <c r="Z165" s="74">
        <f>W165-AB165</f>
        <v>-5.8030963063314005E-2</v>
      </c>
      <c r="AA165" s="74">
        <f>W165+AB165</f>
        <v>0.13807367073685056</v>
      </c>
      <c r="AB165" s="74">
        <f>1.96*U165</f>
        <v>9.8052316900082287E-2</v>
      </c>
      <c r="AC165" s="78">
        <f>IF(W165&lt;&gt;"",ABS(W165/U165^2),"")</f>
        <v>15.99146302272317</v>
      </c>
      <c r="AD165" s="78"/>
      <c r="AE165" s="78">
        <f>U165^-2</f>
        <v>399.57326501112885</v>
      </c>
      <c r="AF165" s="79" t="str">
        <f>CONCATENATE(ROUND(S165,2),", (",ROUND(-(X165-S165),2),", ",ROUND(Y165+S165,2),")")</f>
        <v>0.04, (-0.06, 0.14)</v>
      </c>
      <c r="AG165" s="78">
        <f t="shared" si="97"/>
        <v>19.989328778403962</v>
      </c>
      <c r="AH165" s="2">
        <f t="shared" si="98"/>
        <v>8.6666666666666679</v>
      </c>
      <c r="AI165" s="78">
        <f t="shared" si="99"/>
        <v>0.3502707205331112</v>
      </c>
      <c r="AJ165" s="85">
        <f t="shared" si="100"/>
        <v>4</v>
      </c>
    </row>
    <row r="166" spans="1:42" x14ac:dyDescent="0.25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7">
        <v>0.31</v>
      </c>
      <c r="H166" s="18">
        <v>0.03</v>
      </c>
      <c r="I166" s="14" t="s">
        <v>27</v>
      </c>
      <c r="J166" s="17"/>
      <c r="K166" s="18"/>
      <c r="L166" s="14"/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0.05</v>
      </c>
      <c r="T166" s="2">
        <v>20</v>
      </c>
      <c r="U166" s="102">
        <f>W166/G169*H169</f>
        <v>8.0066766845586099E-2</v>
      </c>
      <c r="V166" s="76" t="str">
        <f>I169</f>
        <v>p=0.56</v>
      </c>
      <c r="W166" s="74">
        <f t="shared" si="107"/>
        <v>5.0041729278491313E-2</v>
      </c>
      <c r="X166" s="74">
        <f t="shared" si="108"/>
        <v>0.1564839059023099</v>
      </c>
      <c r="Y166" s="74">
        <f t="shared" si="109"/>
        <v>0.15406696352408866</v>
      </c>
      <c r="Z166" s="74">
        <f t="shared" si="110"/>
        <v>-0.10688913373885742</v>
      </c>
      <c r="AA166" s="74">
        <f t="shared" si="111"/>
        <v>0.20697259229584006</v>
      </c>
      <c r="AB166" s="74">
        <f t="shared" si="112"/>
        <v>0.15693086301734874</v>
      </c>
      <c r="AC166" s="78">
        <f t="shared" si="113"/>
        <v>7.8059852373626208</v>
      </c>
      <c r="AD166" s="78"/>
      <c r="AE166" s="78">
        <f t="shared" si="114"/>
        <v>155.98951814636331</v>
      </c>
      <c r="AF166" s="79" t="str">
        <f t="shared" si="115"/>
        <v>0.05, (-0.11, 0.2)</v>
      </c>
      <c r="AG166" s="78">
        <f t="shared" si="97"/>
        <v>12.489576379780194</v>
      </c>
      <c r="AH166" s="2">
        <f t="shared" si="98"/>
        <v>10.333333333333334</v>
      </c>
      <c r="AI166" s="78">
        <f t="shared" si="99"/>
        <v>0.46392779050395644</v>
      </c>
      <c r="AJ166" s="85">
        <f t="shared" si="100"/>
        <v>3</v>
      </c>
    </row>
    <row r="167" spans="1:42" x14ac:dyDescent="0.25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</v>
      </c>
      <c r="H167" s="13">
        <v>0.05</v>
      </c>
      <c r="I167" s="14" t="s">
        <v>65</v>
      </c>
      <c r="J167" s="12"/>
      <c r="K167" s="13"/>
      <c r="L167" s="14"/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0.11</v>
      </c>
      <c r="T167" s="74">
        <v>19</v>
      </c>
      <c r="U167" s="102">
        <f>W167/G170*H170</f>
        <v>4.0162514832762619E-2</v>
      </c>
      <c r="V167" s="76" t="str">
        <f>I170</f>
        <v>p=0.02 *</v>
      </c>
      <c r="W167" s="74">
        <f t="shared" si="107"/>
        <v>0.11044691579009722</v>
      </c>
      <c r="X167" s="74">
        <f t="shared" si="108"/>
        <v>7.8282255885362237E-2</v>
      </c>
      <c r="Y167" s="74">
        <f t="shared" si="109"/>
        <v>7.6940941676869504E-2</v>
      </c>
      <c r="Z167" s="74">
        <f t="shared" si="110"/>
        <v>3.1728386717882487E-2</v>
      </c>
      <c r="AA167" s="74">
        <f t="shared" si="111"/>
        <v>0.18916544486231196</v>
      </c>
      <c r="AB167" s="74">
        <f t="shared" si="112"/>
        <v>7.871852907221473E-2</v>
      </c>
      <c r="AC167" s="78">
        <f t="shared" si="113"/>
        <v>68.471807889795897</v>
      </c>
      <c r="AD167" s="78"/>
      <c r="AE167" s="78">
        <f t="shared" si="114"/>
        <v>619.95219513350276</v>
      </c>
      <c r="AF167" s="79" t="str">
        <f t="shared" si="115"/>
        <v>0.11, (0.03, 0.19)</v>
      </c>
      <c r="AG167" s="78">
        <f t="shared" si="97"/>
        <v>24.898839232653053</v>
      </c>
      <c r="AH167" s="2">
        <f t="shared" si="98"/>
        <v>2</v>
      </c>
      <c r="AI167" s="78">
        <f t="shared" si="99"/>
        <v>0.16245835068721382</v>
      </c>
      <c r="AJ167" s="85">
        <f t="shared" si="100"/>
        <v>5</v>
      </c>
    </row>
    <row r="168" spans="1:42" x14ac:dyDescent="0.25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7">
        <v>0.16</v>
      </c>
      <c r="H168" s="18">
        <v>0.05</v>
      </c>
      <c r="I168" s="14" t="s">
        <v>45</v>
      </c>
      <c r="J168" s="17"/>
      <c r="K168" s="18"/>
      <c r="L168" s="14"/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0.01</v>
      </c>
      <c r="T168" s="2">
        <v>18</v>
      </c>
      <c r="U168" s="102">
        <f>W168/G172*H172</f>
        <v>8.0002666826677754E-2</v>
      </c>
      <c r="V168" s="76" t="str">
        <f>I172</f>
        <v>p=0.93</v>
      </c>
      <c r="W168" s="74">
        <f>0.5*LN((1+S168)/(1-S168))</f>
        <v>1.0000333353334718E-2</v>
      </c>
      <c r="X168" s="74">
        <f>S168-(EXP(2*Z168)-1)/(EXP(2*Z168)+1)</f>
        <v>0.15575927608758525</v>
      </c>
      <c r="Y168" s="74">
        <f>(EXP(2*AA168)-1)/(EXP(2*AA168)+1)-S168</f>
        <v>0.15527551567323594</v>
      </c>
      <c r="Z168" s="74">
        <f>W168-AB168</f>
        <v>-0.14680489362695368</v>
      </c>
      <c r="AA168" s="74">
        <f>W168+AB168</f>
        <v>0.16680556033362312</v>
      </c>
      <c r="AB168" s="74">
        <f>1.96*U168</f>
        <v>0.1568052269802884</v>
      </c>
      <c r="AC168" s="78">
        <f>IF(W168&lt;&gt;"",ABS(W168/U168^2),"")</f>
        <v>1.5624479152777115</v>
      </c>
      <c r="AD168" s="78"/>
      <c r="AE168" s="78">
        <f>U168^-2</f>
        <v>156.23958322916272</v>
      </c>
      <c r="AF168" s="79" t="str">
        <f>CONCATENATE(ROUND(S168,2),", (",ROUND(-(X168-S168),2),", ",ROUND(Y168+S168,2),")")</f>
        <v>0.01, (-0.15, 0.17)</v>
      </c>
      <c r="AG168" s="78">
        <f t="shared" si="97"/>
        <v>12.499583322221694</v>
      </c>
      <c r="AH168" s="2">
        <f t="shared" si="98"/>
        <v>3.1999999999999997</v>
      </c>
      <c r="AI168" s="78">
        <f t="shared" si="99"/>
        <v>0.87651629529362762</v>
      </c>
      <c r="AJ168" s="85">
        <f t="shared" si="100"/>
        <v>3</v>
      </c>
    </row>
    <row r="169" spans="1:42" x14ac:dyDescent="0.25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0.05</v>
      </c>
      <c r="H169" s="13">
        <v>0.08</v>
      </c>
      <c r="I169" s="14" t="s">
        <v>93</v>
      </c>
      <c r="J169" s="12"/>
      <c r="K169" s="13"/>
      <c r="L169" s="14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0.02</v>
      </c>
      <c r="T169" s="74">
        <v>17</v>
      </c>
      <c r="U169" s="102">
        <f>W169/G173*H173</f>
        <v>4.0005334613699206E-2</v>
      </c>
      <c r="V169" s="76" t="str">
        <f>I173</f>
        <v>p=0.68</v>
      </c>
      <c r="W169" s="74">
        <f>0.5*LN((1+S169)/(1-S169))</f>
        <v>2.0002667306849603E-2</v>
      </c>
      <c r="X169" s="74">
        <f>S169-(EXP(2*Z169)-1)/(EXP(2*Z169)+1)</f>
        <v>7.8341460243837174E-2</v>
      </c>
      <c r="Y169" s="74">
        <f>(EXP(2*AA169)-1)/(EXP(2*AA169)+1)-S169</f>
        <v>7.8096634139051976E-2</v>
      </c>
      <c r="Z169" s="74">
        <f>W169-AB169</f>
        <v>-5.8407788536000843E-2</v>
      </c>
      <c r="AA169" s="74">
        <f>W169+AB169</f>
        <v>9.8413123149700049E-2</v>
      </c>
      <c r="AB169" s="74">
        <f>1.96*U169</f>
        <v>7.8410455842850446E-2</v>
      </c>
      <c r="AC169" s="78">
        <f>IF(W169&lt;&gt;"",ABS(W169/U169^2),"")</f>
        <v>12.498333155518283</v>
      </c>
      <c r="AD169" s="78"/>
      <c r="AE169" s="78">
        <f>U169^-2</f>
        <v>624.83332666531044</v>
      </c>
      <c r="AF169" s="79" t="str">
        <f>CONCATENATE(ROUND(S169,2),", (",ROUND(-(X169-S169),2),", ",ROUND(Y169+S169,2),")")</f>
        <v>0.02, (-0.06, 0.1)</v>
      </c>
      <c r="AG169" s="78">
        <f t="shared" si="97"/>
        <v>24.996666311036567</v>
      </c>
      <c r="AH169" s="2">
        <f t="shared" si="98"/>
        <v>0.625</v>
      </c>
      <c r="AI169" s="78">
        <f t="shared" si="99"/>
        <v>0.55487296959600174</v>
      </c>
      <c r="AJ169" s="85">
        <f t="shared" si="100"/>
        <v>5</v>
      </c>
    </row>
    <row r="170" spans="1:42" x14ac:dyDescent="0.25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7">
        <v>0.11</v>
      </c>
      <c r="H170" s="18">
        <v>0.04</v>
      </c>
      <c r="I170" s="14" t="s">
        <v>66</v>
      </c>
      <c r="J170" s="17"/>
      <c r="K170" s="18"/>
      <c r="L170" s="14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0.08</v>
      </c>
      <c r="T170" s="2">
        <v>16</v>
      </c>
      <c r="U170" s="102">
        <f>W170/G160*H160</f>
        <v>5.0107078148493592E-2</v>
      </c>
      <c r="V170" s="76" t="str">
        <f>I160</f>
        <v>p=0.07 ^</v>
      </c>
      <c r="W170" s="74">
        <f>0.5*LN((1+S170)/(1-S170))</f>
        <v>8.0171325037589738E-2</v>
      </c>
      <c r="X170" s="74">
        <f>S170-(EXP(2*Z170)-1)/(EXP(2*Z170)+1)</f>
        <v>9.8036591871714318E-2</v>
      </c>
      <c r="Y170" s="74">
        <f>(EXP(2*AA170)-1)/(EXP(2*AA170)+1)-S170</f>
        <v>9.6512952430845331E-2</v>
      </c>
      <c r="Z170" s="74">
        <f>W170-AB170</f>
        <v>-1.8038548133457705E-2</v>
      </c>
      <c r="AA170" s="74">
        <f>W170+AB170</f>
        <v>0.17838119820863718</v>
      </c>
      <c r="AB170" s="74">
        <f>1.96*U170</f>
        <v>9.8209873171047443E-2</v>
      </c>
      <c r="AC170" s="78">
        <f>IF(W170&lt;&gt;"",ABS(W170/U170^2),"")</f>
        <v>31.931616432679618</v>
      </c>
      <c r="AD170" s="78"/>
      <c r="AE170" s="78">
        <f>U170^-2</f>
        <v>398.29223750147469</v>
      </c>
      <c r="AF170" s="79" t="str">
        <f>CONCATENATE(ROUND(S170,2),", (",ROUND(-(X170-S170),2),", ",ROUND(Y170+S170,2),")")</f>
        <v>0.08, (-0.02, 0.18)</v>
      </c>
      <c r="AG170" s="78">
        <f t="shared" si="97"/>
        <v>19.957260270424761</v>
      </c>
      <c r="AH170" s="2">
        <f t="shared" si="98"/>
        <v>2.75</v>
      </c>
      <c r="AI170" s="78">
        <f t="shared" si="99"/>
        <v>3.3735943356934653E-2</v>
      </c>
      <c r="AJ170" s="85">
        <f t="shared" si="100"/>
        <v>4</v>
      </c>
    </row>
    <row r="171" spans="1:42" x14ac:dyDescent="0.25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0.11</v>
      </c>
      <c r="H171" s="24">
        <v>0.05</v>
      </c>
      <c r="I171" s="25" t="s">
        <v>19</v>
      </c>
      <c r="J171" s="23"/>
      <c r="K171" s="24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0.11</v>
      </c>
      <c r="T171" s="74">
        <v>15</v>
      </c>
      <c r="U171" s="102">
        <f>W171/G171*H171</f>
        <v>5.0203143540953281E-2</v>
      </c>
      <c r="V171" s="76" t="str">
        <f>I171</f>
        <v>p=0.03 *</v>
      </c>
      <c r="W171" s="74">
        <f t="shared" si="107"/>
        <v>0.11044691579009722</v>
      </c>
      <c r="X171" s="74">
        <f t="shared" si="108"/>
        <v>9.7951828565519511E-2</v>
      </c>
      <c r="Y171" s="74">
        <f t="shared" si="109"/>
        <v>9.5860784325485879E-2</v>
      </c>
      <c r="Z171" s="74">
        <f t="shared" si="110"/>
        <v>1.2048754449828794E-2</v>
      </c>
      <c r="AA171" s="74">
        <f t="shared" si="111"/>
        <v>0.20884507713036565</v>
      </c>
      <c r="AB171" s="74">
        <f t="shared" si="112"/>
        <v>9.8398161340268422E-2</v>
      </c>
      <c r="AC171" s="78">
        <f t="shared" si="113"/>
        <v>43.821957049469361</v>
      </c>
      <c r="AD171" s="78"/>
      <c r="AE171" s="78">
        <f t="shared" si="114"/>
        <v>396.76940488544165</v>
      </c>
      <c r="AF171" s="79" t="str">
        <f t="shared" si="115"/>
        <v>0.11, (0.01, 0.21)</v>
      </c>
      <c r="AG171" s="78">
        <f t="shared" si="97"/>
        <v>19.91907138612244</v>
      </c>
      <c r="AH171" s="2">
        <f t="shared" si="98"/>
        <v>2.1999999999999997</v>
      </c>
      <c r="AI171" s="78">
        <f t="shared" si="99"/>
        <v>1.4993752603082066E-2</v>
      </c>
      <c r="AJ171" s="85">
        <f t="shared" si="100"/>
        <v>4</v>
      </c>
    </row>
    <row r="172" spans="1:42" x14ac:dyDescent="0.25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0.01</v>
      </c>
      <c r="H172" s="13">
        <v>0.08</v>
      </c>
      <c r="I172" s="14" t="s">
        <v>152</v>
      </c>
      <c r="J172" s="12"/>
      <c r="K172" s="13"/>
      <c r="L172" s="14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0.23</v>
      </c>
      <c r="T172" s="2">
        <v>14</v>
      </c>
      <c r="U172" s="102">
        <f>W172/G140*H140</f>
        <v>9.1639356558013099E-2</v>
      </c>
      <c r="V172" s="76" t="str">
        <f>I140</f>
        <v>p=0.01 **</v>
      </c>
      <c r="W172" s="74">
        <f>0.5*LN((1+S172)/(1-S172))</f>
        <v>0.2341894667593668</v>
      </c>
      <c r="X172" s="74">
        <f>S172-(EXP(2*Z172)-1)/(EXP(2*Z172)+1)</f>
        <v>0.17547779418484966</v>
      </c>
      <c r="Y172" s="74">
        <f>(EXP(2*AA172)-1)/(EXP(2*AA172)+1)-S172</f>
        <v>0.16169665270640285</v>
      </c>
      <c r="Z172" s="74">
        <f>W172-AB172</f>
        <v>5.4576327905661137E-2</v>
      </c>
      <c r="AA172" s="74">
        <f>W172+AB172</f>
        <v>0.41380260561307247</v>
      </c>
      <c r="AB172" s="74">
        <f>1.96*U172</f>
        <v>0.17961313885370567</v>
      </c>
      <c r="AC172" s="78">
        <f>IF(W172&lt;&gt;"",ABS(W172/U172^2),"")</f>
        <v>27.887096238369359</v>
      </c>
      <c r="AD172" s="78"/>
      <c r="AE172" s="78">
        <f>U172^-2</f>
        <v>119.07920806286207</v>
      </c>
      <c r="AF172" s="79" t="str">
        <f>CONCATENATE(ROUND(S172,2),", (",ROUND(-(X172-S172),2),", ",ROUND(Y172+S172,2),")")</f>
        <v>0.23, (0.05, 0.39)</v>
      </c>
      <c r="AG172" s="78">
        <f t="shared" si="97"/>
        <v>10.912342006318445</v>
      </c>
      <c r="AH172" s="2">
        <f t="shared" si="98"/>
        <v>0.125</v>
      </c>
      <c r="AI172" s="78">
        <f t="shared" si="99"/>
        <v>9.2327785233518977E-2</v>
      </c>
      <c r="AJ172" s="85">
        <f t="shared" si="100"/>
        <v>3</v>
      </c>
    </row>
    <row r="173" spans="1:42" x14ac:dyDescent="0.25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36">
        <v>0.02</v>
      </c>
      <c r="H173" s="37">
        <v>0.04</v>
      </c>
      <c r="I173" s="38" t="s">
        <v>124</v>
      </c>
      <c r="J173" s="36"/>
      <c r="K173" s="37"/>
      <c r="L173" s="38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0.1</v>
      </c>
      <c r="T173" s="74">
        <v>13</v>
      </c>
      <c r="U173" s="102">
        <f>W173/G141*H141</f>
        <v>8.02682781848605E-2</v>
      </c>
      <c r="V173" s="76" t="str">
        <f>I141</f>
        <v>p=0.25</v>
      </c>
      <c r="W173" s="74">
        <f>0.5*LN((1+S173)/(1-S173))</f>
        <v>0.10033534773107562</v>
      </c>
      <c r="X173" s="74">
        <f>S173-(EXP(2*Z173)-1)/(EXP(2*Z173)+1)</f>
        <v>0.15692885749802502</v>
      </c>
      <c r="Y173" s="74">
        <f>(EXP(2*AA173)-1)/(EXP(2*AA173)+1)-S173</f>
        <v>0.15210665084451389</v>
      </c>
      <c r="Z173" s="74">
        <f>W173-AB173</f>
        <v>-5.6990477511250956E-2</v>
      </c>
      <c r="AA173" s="74">
        <f>W173+AB173</f>
        <v>0.25766117297340219</v>
      </c>
      <c r="AB173" s="74">
        <f>1.96*U173</f>
        <v>0.15732582524232658</v>
      </c>
      <c r="AC173" s="78">
        <f>IF(W173&lt;&gt;"",ABS(W173/U173^2),"")</f>
        <v>15.572777045512408</v>
      </c>
      <c r="AD173" s="78"/>
      <c r="AE173" s="78">
        <f>U173^-2</f>
        <v>155.20728634191244</v>
      </c>
      <c r="AF173" s="79" t="str">
        <f>CONCATENATE(ROUND(S173,2),", (",ROUND(-(X173-S173),2),", ",ROUND(Y173+S173,2),")")</f>
        <v>0.1, (-0.06, 0.25)</v>
      </c>
      <c r="AG173" s="78">
        <f t="shared" si="97"/>
        <v>12.458221636409927</v>
      </c>
      <c r="AH173" s="2">
        <f t="shared" si="98"/>
        <v>0.5</v>
      </c>
      <c r="AI173" s="78">
        <f t="shared" si="99"/>
        <v>0.13122136609745941</v>
      </c>
      <c r="AJ173" s="85">
        <f t="shared" si="100"/>
        <v>3</v>
      </c>
    </row>
    <row r="174" spans="1:42" x14ac:dyDescent="0.25">
      <c r="A174" s="22"/>
      <c r="B174" s="21"/>
      <c r="C174" s="21"/>
      <c r="D174" s="21"/>
      <c r="E174" s="21"/>
      <c r="F174" s="21"/>
      <c r="G174" s="28"/>
      <c r="H174" s="29"/>
      <c r="I174" s="25"/>
      <c r="J174" s="28"/>
      <c r="K174" s="29"/>
      <c r="L174" s="25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29"/>
      <c r="AI174" s="78"/>
      <c r="AJ174" s="85"/>
    </row>
    <row r="175" spans="1:42" x14ac:dyDescent="0.25">
      <c r="A175" s="22"/>
      <c r="B175" s="21"/>
      <c r="C175" s="21"/>
      <c r="D175" s="21"/>
      <c r="E175" s="21"/>
      <c r="F175" s="21"/>
      <c r="G175" s="28"/>
      <c r="H175" s="29"/>
      <c r="I175" s="25"/>
      <c r="J175" s="28"/>
      <c r="K175" s="29"/>
      <c r="L175" s="25"/>
      <c r="M175" s="30"/>
      <c r="N175" s="29"/>
      <c r="O175" s="25"/>
      <c r="Q175" s="2" t="s">
        <v>323</v>
      </c>
      <c r="S175" s="84">
        <f>(EXP(2*AD175)-1)/(EXP(2*AD175)+1)</f>
        <v>0.16373983880325746</v>
      </c>
      <c r="T175" s="74">
        <v>11</v>
      </c>
      <c r="U175" s="103">
        <f>1/SQRT(AD175*AE175)</f>
        <v>3.0537608980577648E-2</v>
      </c>
      <c r="V175" s="80">
        <f>1/SQRT(AE175)</f>
        <v>1.241297151152088E-2</v>
      </c>
      <c r="W175" s="74">
        <f>0.5*LN((1+S175)/(1-S175))</f>
        <v>0.16522716742542776</v>
      </c>
      <c r="X175" s="74">
        <f>S175-(EXP(2*Z175)-1)/(EXP(2*Z175)+1)</f>
        <v>5.8754667532590246E-2</v>
      </c>
      <c r="Y175" s="74">
        <f>(EXP(2*AA175)-1)/(EXP(2*AA175)+1)-S175</f>
        <v>5.7615548474141604E-2</v>
      </c>
      <c r="Z175" s="74">
        <f>W175-AB175</f>
        <v>0.10537345382349557</v>
      </c>
      <c r="AA175" s="74">
        <f>W175+AB175</f>
        <v>0.22508088102735996</v>
      </c>
      <c r="AB175" s="74">
        <f>1.96*U175</f>
        <v>5.9853713601932187E-2</v>
      </c>
      <c r="AC175" s="78">
        <f>SUM(AC154,AC142,AC144,AC145,AC168,AC167,AC139,AC170,AC164,AC140,AC152,AC150,AC148,AC146,AC136,AC162,AC160,AC172,AC158,AC156)</f>
        <v>1072.333664412648</v>
      </c>
      <c r="AD175" s="78">
        <f>AC175/AE175</f>
        <v>0.16522716742542776</v>
      </c>
      <c r="AE175" s="78">
        <f>SUM(AE154,AE142,AE144,AE145,AE168,AE167,AE139,AE170,AE164,AE140,AE152,AE150,AE148,AE146,AE136,AE162,AE160,AE172,AE158,AE156)</f>
        <v>6490.0565755726948</v>
      </c>
      <c r="AF175" s="79" t="str">
        <f>CONCATENATE(ROUND(S175,2),", (",ROUND(-(X175-S175),2),", ",ROUND(Y175+S175,2),")")</f>
        <v>0.16, (0.1, 0.22)</v>
      </c>
      <c r="AG175" s="78">
        <f>SUM(AG154,AG142,AG144,AG145,AG168,AG167,AG139,AG170,AG164,AG140,AG152,AG150,AG148,AG146,AG136,AG162,AG160,AG172,AG158,AG156)</f>
        <v>321.10515163312721</v>
      </c>
      <c r="AH175" s="29"/>
      <c r="AI175" s="78">
        <f>SUM(AI154,AI142,AI144,AI145,AI168,AI167,AI139,AI170,AI164,AI140,AI152,AI150,AI148,AI146,AI136,AI162,AI160,AI172,AI158,AI156)</f>
        <v>29.809161801672943</v>
      </c>
      <c r="AJ175"/>
      <c r="AK175" s="81">
        <f>AK179-AK177</f>
        <v>20</v>
      </c>
      <c r="AL175">
        <f>CHIDIST(AI175,AK175-1)</f>
        <v>5.4277964821032046E-2</v>
      </c>
      <c r="AM175" s="82">
        <f>IF((AI175-AK175+1)/AI175&lt;0,0,(AI175-AK175+1)/AI175)</f>
        <v>0.36261206784641337</v>
      </c>
      <c r="AN175" s="74"/>
      <c r="AO175" s="77">
        <f>S175-Y175</f>
        <v>0.10612429032911586</v>
      </c>
      <c r="AP175">
        <f>S175+Z175</f>
        <v>0.26911329262675304</v>
      </c>
    </row>
    <row r="176" spans="1:42" x14ac:dyDescent="0.25">
      <c r="A176" s="22"/>
      <c r="B176" s="21"/>
      <c r="C176" s="21"/>
      <c r="D176" s="21"/>
      <c r="E176" s="21"/>
      <c r="F176" s="21"/>
      <c r="G176" s="28"/>
      <c r="H176" s="29"/>
      <c r="I176" s="25"/>
      <c r="J176" s="28"/>
      <c r="K176" s="29"/>
      <c r="L176" s="25"/>
      <c r="M176" s="30"/>
      <c r="N176" s="29"/>
      <c r="O176" s="25"/>
      <c r="T176" s="2">
        <v>10</v>
      </c>
      <c r="U176" s="75"/>
      <c r="AH176" s="29"/>
    </row>
    <row r="177" spans="1:42" x14ac:dyDescent="0.25">
      <c r="A177" s="22"/>
      <c r="B177" s="21"/>
      <c r="C177" s="21"/>
      <c r="D177" s="21"/>
      <c r="E177" s="21"/>
      <c r="F177" s="21"/>
      <c r="G177" s="28"/>
      <c r="H177" s="29"/>
      <c r="I177" s="25"/>
      <c r="J177" s="28"/>
      <c r="K177" s="29"/>
      <c r="L177" s="25"/>
      <c r="M177" s="30"/>
      <c r="N177" s="29"/>
      <c r="O177" s="25"/>
      <c r="Q177" s="2" t="s">
        <v>322</v>
      </c>
      <c r="S177" s="84">
        <f>(EXP(2*AD177)-1)/(EXP(2*AD177)+1)</f>
        <v>0.12957472053866301</v>
      </c>
      <c r="T177" s="74">
        <v>9</v>
      </c>
      <c r="U177" s="103">
        <f>1/SQRT(AD177*AE177)</f>
        <v>3.2325568772411203E-2</v>
      </c>
      <c r="V177" s="80">
        <f>1/SQRT(AE177)</f>
        <v>1.166891621852342E-2</v>
      </c>
      <c r="W177" s="74">
        <f>0.5*LN((1+S177)/(1-S177))</f>
        <v>0.13030728409166042</v>
      </c>
      <c r="X177" s="74">
        <f>S177-(EXP(2*Z177)-1)/(EXP(2*Z177)+1)</f>
        <v>6.2725398558218098E-2</v>
      </c>
      <c r="Y177" s="74">
        <f>(EXP(2*AA177)-1)/(EXP(2*AA177)+1)-S177</f>
        <v>6.1705236269182007E-2</v>
      </c>
      <c r="Z177" s="74">
        <f>W177-AB177</f>
        <v>6.6949169297734465E-2</v>
      </c>
      <c r="AA177" s="74">
        <f>W177+AB177</f>
        <v>0.19366539888558637</v>
      </c>
      <c r="AB177" s="74">
        <f>1.96*U177</f>
        <v>6.335811479392596E-2</v>
      </c>
      <c r="AC177" s="78">
        <f>SUM(AC155,AC143,AC166,AC171,AC169,AC138,AC141,AC165,AC153,AC151,AC149,AC147,AC137,AC163,AC161,AC173,AC159,AC157)</f>
        <v>956.99055123790117</v>
      </c>
      <c r="AD177" s="78">
        <f>AC177/AE177</f>
        <v>0.13030728409166045</v>
      </c>
      <c r="AE177" s="78">
        <f>SUM(AE155,AE143,AE166,AE171,AE169,AE138,AE141,AE165,AE153,AE151,AE149,AE147,AE137,AE163,AE161,AE173,AE159,AE157)</f>
        <v>7344.1063399398081</v>
      </c>
      <c r="AF177" s="79" t="str">
        <f>CONCATENATE(ROUND(S177,2),", (",ROUND(-(X177-S177),2),", ",ROUND(Y177+S177,2),")")</f>
        <v>0.13, (0.07, 0.19)</v>
      </c>
      <c r="AG177" s="78">
        <f>SUM(AG155,AG143,AG166,AG171,AG169,AG138,AG141,AG165,AG153,AG151,AG149,AG147,AG137,AG163,AG161,AG173,AG159,AG157)</f>
        <v>340.50621468395758</v>
      </c>
      <c r="AH177" s="29"/>
      <c r="AI177" s="78">
        <f>SUM(AI155,AI143,AI166,AI171,AI169,AI138,AI141,AI165,AI153,AI151,AI149,AI147,AI137,AI163,AI161,AI173,AI159,AI157)</f>
        <v>36.194520072536868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4.3200003775866252E-3</v>
      </c>
      <c r="AM177" s="82">
        <f>IF((AI177-AK177+1)/AI177&lt;0,0,(AI177-AK177+1)/AI177)</f>
        <v>0.53031563988331476</v>
      </c>
      <c r="AN177" s="74"/>
      <c r="AO177" s="77">
        <f>S177-Y177</f>
        <v>6.7869484269481001E-2</v>
      </c>
      <c r="AP177">
        <f>S177+Z177</f>
        <v>0.19652388983639746</v>
      </c>
    </row>
    <row r="178" spans="1:42" x14ac:dyDescent="0.25">
      <c r="A178" s="41"/>
      <c r="B178" s="42"/>
      <c r="C178" s="43"/>
      <c r="D178" s="43"/>
      <c r="E178" s="42"/>
      <c r="F178" s="44"/>
      <c r="G178" s="45"/>
      <c r="H178" s="42"/>
      <c r="I178" s="46"/>
      <c r="J178" s="45"/>
      <c r="K178" s="42"/>
      <c r="L178" s="46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47"/>
      <c r="AI178" s="78"/>
      <c r="AJ178" s="85"/>
    </row>
    <row r="179" spans="1:42" x14ac:dyDescent="0.25">
      <c r="A179" s="50"/>
      <c r="B179" s="51"/>
      <c r="C179" s="52"/>
      <c r="D179" s="52"/>
      <c r="E179" s="51"/>
      <c r="F179" s="53"/>
      <c r="G179" s="54"/>
      <c r="H179" s="51"/>
      <c r="I179" s="55"/>
      <c r="J179" s="54"/>
      <c r="K179" s="51"/>
      <c r="L179" s="55"/>
      <c r="M179" s="57"/>
      <c r="N179" s="58"/>
      <c r="Q179" s="2" t="s">
        <v>185</v>
      </c>
      <c r="S179" s="84">
        <f>(EXP(2*AD179)-1)/(EXP(2*AD179)+1)</f>
        <v>0.14564617474114769</v>
      </c>
      <c r="T179" s="74">
        <v>7</v>
      </c>
      <c r="U179" s="103">
        <f>1/SQRT(AD179*AE179)</f>
        <v>2.2198533319863316E-2</v>
      </c>
      <c r="V179" s="80">
        <f>1/SQRT(AE179)</f>
        <v>8.5020480897538692E-3</v>
      </c>
      <c r="W179" s="74">
        <f>0.5*LN((1+S179)/(1-S179))</f>
        <v>0.14668933914136792</v>
      </c>
      <c r="X179" s="74">
        <f>S179-(EXP(2*Z179)-1)/(EXP(2*Z179)+1)</f>
        <v>4.2830565897653994E-2</v>
      </c>
      <c r="Y179" s="74">
        <f>(EXP(2*AA179)-1)/(EXP(2*AA179)+1)-S179</f>
        <v>4.2291492837421479E-2</v>
      </c>
      <c r="Z179" s="74">
        <f>W179-AB179</f>
        <v>0.10318021383443582</v>
      </c>
      <c r="AA179" s="74">
        <f>W179+AB179</f>
        <v>0.19019846444830002</v>
      </c>
      <c r="AB179" s="74">
        <f>1.96*U179</f>
        <v>4.35091253069321E-2</v>
      </c>
      <c r="AC179" s="78">
        <f>SUM(AC136:AC173)</f>
        <v>2029.3242156505489</v>
      </c>
      <c r="AD179" s="78">
        <f>AC179/AE179</f>
        <v>0.14668933914136792</v>
      </c>
      <c r="AE179" s="78">
        <f>SUM(AE136:AE173)</f>
        <v>13834.162915512505</v>
      </c>
      <c r="AF179" s="79" t="str">
        <f>CONCATENATE(ROUND(S179,2),", (",ROUND(-(X179-S179),2),", ",ROUND(Y179+S179,2),")")</f>
        <v>0.15, (0.1, 0.19)</v>
      </c>
      <c r="AG179" s="78">
        <f>SUM(AG136:AG173)</f>
        <v>661.61136631708484</v>
      </c>
      <c r="AH179" s="56"/>
      <c r="AI179" s="78">
        <f>SUM(AI136:AI173)</f>
        <v>66.003681874209818</v>
      </c>
      <c r="AJ179"/>
      <c r="AK179" s="81">
        <f>COUNT(AI136:AI173)</f>
        <v>38</v>
      </c>
      <c r="AL179">
        <f>CHIDIST(AI179,AK179-1)</f>
        <v>2.3407248551002803E-3</v>
      </c>
      <c r="AM179" s="82">
        <f>IF((AI179-AK179+1)/AI179&lt;0,0,(AI179-AK179+1)/AI179)</f>
        <v>0.43942521160387982</v>
      </c>
    </row>
    <row r="180" spans="1:42" x14ac:dyDescent="0.25">
      <c r="A180" s="50"/>
      <c r="B180" s="51"/>
      <c r="C180" s="52"/>
      <c r="D180" s="52"/>
      <c r="E180" s="51"/>
      <c r="F180" s="53"/>
      <c r="G180" s="54"/>
      <c r="H180" s="51"/>
      <c r="I180" s="55"/>
      <c r="J180" s="54"/>
      <c r="K180" s="51"/>
      <c r="L180" s="55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56"/>
      <c r="AI180" s="78"/>
      <c r="AJ180"/>
      <c r="AK180" s="81"/>
      <c r="AL180"/>
      <c r="AM180" s="82"/>
    </row>
    <row r="181" spans="1:42" x14ac:dyDescent="0.25">
      <c r="A181" s="50"/>
      <c r="B181" s="51"/>
      <c r="C181" s="52"/>
      <c r="D181" s="52"/>
      <c r="E181" s="51"/>
      <c r="F181" s="53"/>
      <c r="G181" s="54"/>
      <c r="H181" s="51"/>
      <c r="I181" s="55"/>
      <c r="J181" s="54"/>
      <c r="K181" s="51"/>
      <c r="L181" s="55"/>
      <c r="M181" s="57"/>
      <c r="N181" s="58"/>
      <c r="Q181" s="2" t="s">
        <v>327</v>
      </c>
      <c r="S181" s="84">
        <f>(EXP(2*AD181)-1)/(EXP(2*AD181)+1)</f>
        <v>0.14722526725905138</v>
      </c>
      <c r="T181" s="74">
        <v>5</v>
      </c>
      <c r="U181" s="103">
        <f>1/SQRT(AD181*AE181)</f>
        <v>2.1454963097103191E-2</v>
      </c>
      <c r="V181" s="80">
        <f>1/SQRT(AE181)</f>
        <v>8.2623348466063957E-3</v>
      </c>
      <c r="W181" s="74">
        <f>0.5*LN((1+S181)/(1-S181))</f>
        <v>0.14830303518665283</v>
      </c>
      <c r="X181" s="74">
        <f>S181-(EXP(2*Z181)-1)/(EXP(2*Z181)+1)</f>
        <v>4.1371998127338827E-2</v>
      </c>
      <c r="Y181" s="74">
        <f>(EXP(2*AA181)-1)/(EXP(2*AA181)+1)-S181</f>
        <v>4.0863173749693088E-2</v>
      </c>
      <c r="Z181" s="74">
        <f>W181-AB181</f>
        <v>0.10625130751633058</v>
      </c>
      <c r="AA181" s="74">
        <f>W181+AB181</f>
        <v>0.19035476285697508</v>
      </c>
      <c r="AB181" s="74">
        <f>1.96*U181</f>
        <v>4.2051727670322253E-2</v>
      </c>
      <c r="AC181" s="78">
        <f>SUM(AC175,AC129,AC96,AC70,AC40,AC18)</f>
        <v>2172.4233207245452</v>
      </c>
      <c r="AD181" s="78">
        <f>AC181/AE181</f>
        <v>0.14830303518665272</v>
      </c>
      <c r="AE181" s="78">
        <f>SUM(AE175,AE129,AE96,AE70,AE40,AE18)</f>
        <v>14648.542546619865</v>
      </c>
      <c r="AF181" s="79" t="str">
        <f>CONCATENATE(ROUND(S181,2),", (",ROUND(-(X181-S181),2),", ",ROUND(Y181+S181,2),")")</f>
        <v>0.15, (0.11, 0.19)</v>
      </c>
      <c r="AG181" s="78">
        <f>SUM(AG175,AG129,AG96,AG70,AG40,AG18)</f>
        <v>1545.3376572103764</v>
      </c>
      <c r="AH181" s="56"/>
      <c r="AI181" s="78">
        <f>SUM(AI175,AI129,AI96,AI70,AI40,AI18)</f>
        <v>61.343758759992923</v>
      </c>
      <c r="AJ181"/>
      <c r="AK181" s="81">
        <f>AK185-AK183</f>
        <v>70</v>
      </c>
      <c r="AL181">
        <f>CHIDIST(AI181,AK181)</f>
        <v>0.76026019494415364</v>
      </c>
      <c r="AM181" s="82">
        <f>IF((AI181-AK181+1)/AI181&lt;0,0,(AI181-AK181+1)/AI181)</f>
        <v>0</v>
      </c>
      <c r="AN181" s="74"/>
      <c r="AO181" s="77">
        <f>S181-Y181</f>
        <v>0.1063620935093583</v>
      </c>
      <c r="AP181">
        <f>S181+Z181</f>
        <v>0.25347657477538199</v>
      </c>
    </row>
    <row r="182" spans="1:42" x14ac:dyDescent="0.25">
      <c r="A182" s="50"/>
      <c r="B182" s="51"/>
      <c r="C182" s="52"/>
      <c r="D182" s="52"/>
      <c r="E182" s="51"/>
      <c r="F182" s="53"/>
      <c r="G182" s="54"/>
      <c r="H182" s="51"/>
      <c r="I182" s="55"/>
      <c r="J182" s="54"/>
      <c r="K182" s="51"/>
      <c r="L182" s="55"/>
      <c r="M182" s="57"/>
      <c r="N182" s="58"/>
      <c r="T182" s="2">
        <v>4</v>
      </c>
      <c r="U182" s="75"/>
      <c r="AH182" s="56"/>
    </row>
    <row r="183" spans="1:42" x14ac:dyDescent="0.25">
      <c r="A183" s="50"/>
      <c r="B183" s="51"/>
      <c r="C183" s="52"/>
      <c r="D183" s="52"/>
      <c r="E183" s="51"/>
      <c r="F183" s="53"/>
      <c r="G183" s="54"/>
      <c r="H183" s="51"/>
      <c r="I183" s="55"/>
      <c r="J183" s="54"/>
      <c r="K183" s="51"/>
      <c r="L183" s="55"/>
      <c r="M183" s="57"/>
      <c r="N183" s="58"/>
      <c r="Q183" s="2" t="s">
        <v>328</v>
      </c>
      <c r="S183" s="84">
        <f>(EXP(2*AD183)-1)/(EXP(2*AD183)+1)</f>
        <v>0.15286593545280364</v>
      </c>
      <c r="T183" s="74">
        <v>3</v>
      </c>
      <c r="U183" s="103">
        <f>1/SQRT(AD183*AE183)</f>
        <v>1.9048617747781948E-2</v>
      </c>
      <c r="V183" s="80">
        <f>1/SQRT(AE183)</f>
        <v>7.4770043773650773E-3</v>
      </c>
      <c r="W183" s="74">
        <f>0.5*LN((1+S183)/(1-S183))</f>
        <v>0.15407363760090115</v>
      </c>
      <c r="X183" s="74">
        <f>S183-(EXP(2*Z183)-1)/(EXP(2*Z183)+1)</f>
        <v>3.6655011006296812E-2</v>
      </c>
      <c r="Y183" s="74">
        <f>(EXP(2*AA183)-1)/(EXP(2*AA183)+1)-S183</f>
        <v>3.6239175637536036E-2</v>
      </c>
      <c r="Z183" s="74">
        <f>W183-AB183</f>
        <v>0.11673834681524853</v>
      </c>
      <c r="AA183" s="74">
        <f>W183+AB183</f>
        <v>0.19140892838655377</v>
      </c>
      <c r="AB183" s="74">
        <f>1.96*U183</f>
        <v>3.7335290785652619E-2</v>
      </c>
      <c r="AC183" s="78">
        <f>SUM(AC177,AC131,AC98,AC72,AC42,AC20)</f>
        <v>2755.9609926609246</v>
      </c>
      <c r="AD183" s="78">
        <f>AC183/AE183</f>
        <v>0.15407363760090104</v>
      </c>
      <c r="AE183" s="78">
        <f>SUM(AE177,AE131,AE98,AE72,AE42,AE20)</f>
        <v>17887.297499911871</v>
      </c>
      <c r="AF183" s="79" t="str">
        <f>CONCATENATE(ROUND(S183,2),", (",ROUND(-(X183-S183),2),", ",ROUND(Y183+S183,2),")")</f>
        <v>0.15, (0.12, 0.19)</v>
      </c>
      <c r="AG183" s="78">
        <f>SUM(AG177,AG131,AG98,AG72,AG42,AG20)</f>
        <v>1696.6951165796661</v>
      </c>
      <c r="AH183" s="56"/>
      <c r="AI183" s="78">
        <f>SUM(AI177,AI131,AI98,AI72,AI42,AI20)</f>
        <v>67.074436702977636</v>
      </c>
      <c r="AJ183"/>
      <c r="AK183" s="78">
        <f>SUM(AK177,AK131,AK98,AK72,AK42,AK20)</f>
        <v>60</v>
      </c>
      <c r="AL183">
        <f>CHIDIST(AI183,AK183)</f>
        <v>0.24750300441685336</v>
      </c>
      <c r="AM183" s="82">
        <f>IF((AI183-AK183+1)/AI183&lt;0,0,(AI183-AK183+1)/AI183)</f>
        <v>0.12038023872989435</v>
      </c>
      <c r="AN183" s="74"/>
      <c r="AO183" s="77">
        <f>S183-Y183</f>
        <v>0.1166267598152676</v>
      </c>
      <c r="AP183">
        <f>S183+Z183</f>
        <v>0.26960428226805216</v>
      </c>
    </row>
    <row r="184" spans="1:42" x14ac:dyDescent="0.25">
      <c r="A184" s="59"/>
      <c r="B184" s="60"/>
      <c r="C184" s="61"/>
      <c r="D184" s="61"/>
      <c r="E184" s="60"/>
      <c r="F184" s="62"/>
      <c r="G184" s="63"/>
      <c r="H184" s="60"/>
      <c r="I184" s="64"/>
      <c r="J184" s="63"/>
      <c r="K184" s="60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65"/>
      <c r="AI184" s="78"/>
      <c r="AJ184" s="85"/>
    </row>
    <row r="185" spans="1:42" x14ac:dyDescent="0.25">
      <c r="A185" s="69"/>
      <c r="B185" s="42"/>
      <c r="C185" s="43"/>
      <c r="D185" s="43"/>
      <c r="E185" s="42"/>
      <c r="F185" s="44"/>
      <c r="G185" s="45"/>
      <c r="H185" s="42"/>
      <c r="I185" s="46"/>
      <c r="J185" s="45"/>
      <c r="K185" s="42"/>
      <c r="L185" s="46"/>
      <c r="M185" s="48"/>
      <c r="N185" s="49"/>
      <c r="Q185" s="2" t="s">
        <v>329</v>
      </c>
      <c r="S185" s="84">
        <f>(EXP(2*AD185)-1)/(EXP(2*AD185)+1)</f>
        <v>0.14996253982739366</v>
      </c>
      <c r="T185" s="74">
        <v>1</v>
      </c>
      <c r="U185" s="103">
        <f>1/SQRT(AD185*AE185)</f>
        <v>1.4151304450850763E-2</v>
      </c>
      <c r="V185" s="80">
        <f>1/SQRT(AE185)</f>
        <v>5.500874594350399E-3</v>
      </c>
      <c r="W185" s="74">
        <f>0.5*LN((1+S185)/(1-S185))</f>
        <v>0.15110211372951921</v>
      </c>
      <c r="X185" s="74">
        <f>S185-(EXP(2*Z185)-1)/(EXP(2*Z185)+1)</f>
        <v>2.7219032257505604E-2</v>
      </c>
      <c r="Y185" s="74">
        <f>(EXP(2*AA185)-1)/(EXP(2*AA185)+1)-S185</f>
        <v>2.6993595648687446E-2</v>
      </c>
      <c r="Z185" s="74">
        <f>W185-AB185</f>
        <v>0.12336555700585171</v>
      </c>
      <c r="AA185" s="74">
        <f>W185+AB185</f>
        <v>0.17883867045318669</v>
      </c>
      <c r="AB185" s="74">
        <f>1.96*U185</f>
        <v>2.7736556723667496E-2</v>
      </c>
      <c r="AC185" s="78">
        <f>SUM(AC179,AC133,AC100,AC74,AC44,AC22)</f>
        <v>4993.5229597763982</v>
      </c>
      <c r="AD185" s="78">
        <f>AC185/AE185</f>
        <v>0.15110211372951932</v>
      </c>
      <c r="AE185" s="78">
        <f>SUM(AE179,AE133,AE100,AE74,AE44,AE22)</f>
        <v>33047.340216001649</v>
      </c>
      <c r="AF185" s="79" t="str">
        <f>CONCATENATE(ROUND(S185,2),", (",ROUND(-(X185-S185),2),", ",ROUND(Y185+S185,2),")")</f>
        <v>0.15, (0.12, 0.18)</v>
      </c>
      <c r="AG185" s="78">
        <f>SUM(AG179,AG133,AG100,AG74,AG44,AG22)</f>
        <v>3263.1430678754678</v>
      </c>
      <c r="AH185" s="47"/>
      <c r="AI185" s="78">
        <f>SUM(AI179,AI133,AI100,AI74,AI44,AI22)</f>
        <v>129.91117236694964</v>
      </c>
      <c r="AJ185"/>
      <c r="AK185" s="78">
        <f>SUM(AK179,AK133,AK100,AK74,AK44,AK22)</f>
        <v>130</v>
      </c>
      <c r="AL185">
        <f>CHIDIST(AI185,AK185)</f>
        <v>0.48570004437785685</v>
      </c>
      <c r="AM185" s="82">
        <f>IF((AI185-AK185+1)/AI185&lt;0,0,(AI185-AK185+1)/AI185)</f>
        <v>7.0138106703858194E-3</v>
      </c>
    </row>
    <row r="186" spans="1:42" x14ac:dyDescent="0.25">
      <c r="A186" s="70"/>
      <c r="B186" s="42"/>
      <c r="C186" s="43"/>
      <c r="D186" s="43"/>
      <c r="E186" s="42"/>
      <c r="F186" s="44"/>
      <c r="G186" s="45"/>
      <c r="H186" s="42"/>
      <c r="I186" s="46"/>
      <c r="J186" s="45"/>
      <c r="K186" s="42"/>
      <c r="L186" s="46"/>
      <c r="M186" s="48"/>
      <c r="N186" s="49"/>
      <c r="T186" s="2">
        <v>0</v>
      </c>
      <c r="AH186" s="47"/>
    </row>
    <row r="187" spans="1:42" x14ac:dyDescent="0.25">
      <c r="A187" s="71"/>
      <c r="B187" s="51"/>
      <c r="C187" s="52"/>
      <c r="D187" s="52"/>
      <c r="E187" s="51"/>
      <c r="F187" s="53"/>
      <c r="G187" s="54"/>
      <c r="H187" s="51"/>
      <c r="I187" s="55"/>
      <c r="J187" s="54"/>
      <c r="K187" s="51"/>
      <c r="L187" s="55"/>
      <c r="M187" s="57"/>
      <c r="N187" s="58"/>
      <c r="AH187" s="56"/>
    </row>
    <row r="188" spans="1:42" x14ac:dyDescent="0.25">
      <c r="A188" s="71"/>
      <c r="B188" s="51"/>
      <c r="C188" s="52"/>
      <c r="D188" s="52"/>
      <c r="E188" s="51"/>
      <c r="F188" s="53"/>
      <c r="G188" s="54"/>
      <c r="H188" s="51"/>
      <c r="I188" s="55"/>
      <c r="J188" s="54"/>
      <c r="K188" s="51"/>
      <c r="L188" s="55"/>
      <c r="M188" s="57"/>
      <c r="N188" s="58"/>
      <c r="AH188" s="56"/>
    </row>
    <row r="189" spans="1:42" x14ac:dyDescent="0.25">
      <c r="A189" s="72"/>
      <c r="B189" s="60"/>
      <c r="C189" s="61"/>
      <c r="D189" s="61"/>
      <c r="E189" s="60"/>
      <c r="F189" s="62"/>
      <c r="G189" s="63"/>
      <c r="H189" s="60"/>
      <c r="I189" s="64"/>
      <c r="J189" s="63"/>
      <c r="K189" s="60"/>
      <c r="L189" s="64"/>
      <c r="M189" s="66"/>
      <c r="N189" s="67"/>
      <c r="O189" s="68"/>
      <c r="AH189" s="65"/>
    </row>
  </sheetData>
  <mergeCells count="6">
    <mergeCell ref="G1:I1"/>
    <mergeCell ref="J1:L1"/>
    <mergeCell ref="M1:O1"/>
    <mergeCell ref="G2:I2"/>
    <mergeCell ref="J2:L2"/>
    <mergeCell ref="M2:O2"/>
  </mergeCells>
  <phoneticPr fontId="17" type="noConversion"/>
  <pageMargins left="0.7" right="0.7" top="0.75" bottom="0.75" header="0.3" footer="0.3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5"/>
  <sheetViews>
    <sheetView workbookViewId="0">
      <selection activeCell="E173" sqref="E173"/>
    </sheetView>
  </sheetViews>
  <sheetFormatPr defaultColWidth="10.875" defaultRowHeight="12.75" x14ac:dyDescent="0.2"/>
  <cols>
    <col min="1" max="1" width="28.625" style="32" bestFit="1" customWidth="1"/>
    <col min="2" max="2" width="41.5" style="32" customWidth="1"/>
    <col min="3" max="3" width="16.875" style="32" bestFit="1" customWidth="1"/>
    <col min="4" max="16384" width="10.875" style="32"/>
  </cols>
  <sheetData>
    <row r="2" spans="1:3" ht="15.75" x14ac:dyDescent="0.25">
      <c r="A2" s="118" t="s">
        <v>335</v>
      </c>
      <c r="C2" s="101" t="s">
        <v>330</v>
      </c>
    </row>
    <row r="3" spans="1:3" x14ac:dyDescent="0.2">
      <c r="A3" s="119" t="s">
        <v>10</v>
      </c>
    </row>
    <row r="4" spans="1:3" x14ac:dyDescent="0.2">
      <c r="A4" s="120" t="s">
        <v>337</v>
      </c>
      <c r="C4" s="32" t="str">
        <f>'Calc-I'!AF4</f>
        <v>0.31, (0, 0.57)</v>
      </c>
    </row>
    <row r="5" spans="1:3" x14ac:dyDescent="0.2">
      <c r="A5" s="120" t="s">
        <v>338</v>
      </c>
      <c r="C5" s="32" t="str">
        <f>'Calc-I'!AF5</f>
        <v>0.18, (-0.02, 0.36)</v>
      </c>
    </row>
    <row r="6" spans="1:3" x14ac:dyDescent="0.2">
      <c r="A6" s="120" t="s">
        <v>339</v>
      </c>
      <c r="C6" s="32" t="str">
        <f>'Calc-I'!AF6</f>
        <v>0.27, (0, 0.51)</v>
      </c>
    </row>
    <row r="7" spans="1:3" x14ac:dyDescent="0.2">
      <c r="A7" s="120" t="s">
        <v>340</v>
      </c>
      <c r="C7" s="32" t="str">
        <f>'Calc-I'!AF7</f>
        <v>0.24, (0.02, 0.43)</v>
      </c>
    </row>
    <row r="8" spans="1:3" x14ac:dyDescent="0.2">
      <c r="A8" s="120" t="s">
        <v>341</v>
      </c>
      <c r="C8" s="32" t="str">
        <f>'Calc-I'!AF8</f>
        <v>0.66, (0.43, 0.81)</v>
      </c>
    </row>
    <row r="9" spans="1:3" x14ac:dyDescent="0.2">
      <c r="A9" s="120" t="s">
        <v>342</v>
      </c>
      <c r="C9" s="32" t="str">
        <f>'Calc-I'!AF9</f>
        <v>0.1, (-0.15, 0.34)</v>
      </c>
    </row>
    <row r="10" spans="1:3" x14ac:dyDescent="0.2">
      <c r="A10" s="120" t="s">
        <v>343</v>
      </c>
      <c r="C10" s="32" t="str">
        <f>'Calc-I'!AF10</f>
        <v>-0.02, (-0.18, 0.14)</v>
      </c>
    </row>
    <row r="11" spans="1:3" x14ac:dyDescent="0.2">
      <c r="A11" s="120" t="s">
        <v>344</v>
      </c>
      <c r="C11" s="32" t="str">
        <f>'Calc-I'!AF11</f>
        <v>0.19, (0.07, 0.3)</v>
      </c>
    </row>
    <row r="12" spans="1:3" x14ac:dyDescent="0.2">
      <c r="A12" s="120" t="s">
        <v>345</v>
      </c>
      <c r="C12" s="32" t="str">
        <f>'Calc-I'!AF12</f>
        <v>0.04, (-0.12, 0.19)</v>
      </c>
    </row>
    <row r="13" spans="1:3" x14ac:dyDescent="0.2">
      <c r="A13" s="120" t="s">
        <v>346</v>
      </c>
      <c r="C13" s="32" t="str">
        <f>'Calc-I'!AF13</f>
        <v>0.02, (-0.1, 0.14)</v>
      </c>
    </row>
    <row r="14" spans="1:3" x14ac:dyDescent="0.2">
      <c r="A14" s="120" t="s">
        <v>347</v>
      </c>
      <c r="C14" s="32" t="str">
        <f>'Calc-I'!AF14</f>
        <v>0.2, (0.06, 0.33)</v>
      </c>
    </row>
    <row r="15" spans="1:3" x14ac:dyDescent="0.2">
      <c r="A15" s="120" t="s">
        <v>348</v>
      </c>
      <c r="C15" s="32" t="str">
        <f>'Calc-I'!AF15</f>
        <v>0.16, (-0.08, 0.38)</v>
      </c>
    </row>
    <row r="16" spans="1:3" x14ac:dyDescent="0.2">
      <c r="A16" s="120" t="s">
        <v>349</v>
      </c>
      <c r="C16" s="32" t="str">
        <f>'Calc-I'!AF16</f>
        <v>-0.07, (-0.4, 0.28)</v>
      </c>
    </row>
    <row r="17" spans="1:3" x14ac:dyDescent="0.2">
      <c r="A17" s="121"/>
    </row>
    <row r="18" spans="1:3" x14ac:dyDescent="0.2">
      <c r="A18" s="120" t="s">
        <v>323</v>
      </c>
      <c r="C18" s="32" t="str">
        <f>'Calc-I'!AF18</f>
        <v>0.16, (-0.02, 0.33)</v>
      </c>
    </row>
    <row r="19" spans="1:3" x14ac:dyDescent="0.2">
      <c r="A19" s="120"/>
    </row>
    <row r="20" spans="1:3" x14ac:dyDescent="0.2">
      <c r="A20" s="120" t="s">
        <v>322</v>
      </c>
      <c r="C20" s="32" t="str">
        <f>'Calc-I'!AF20</f>
        <v>0.13, (-0.07, 0.31)</v>
      </c>
    </row>
    <row r="21" spans="1:3" x14ac:dyDescent="0.2">
      <c r="A21" s="121"/>
    </row>
    <row r="22" spans="1:3" x14ac:dyDescent="0.2">
      <c r="A22" s="121" t="s">
        <v>324</v>
      </c>
      <c r="C22" s="32" t="str">
        <f>'Calc-I'!AF22</f>
        <v>0.14, (0.01, 0.27)</v>
      </c>
    </row>
    <row r="23" spans="1:3" x14ac:dyDescent="0.2">
      <c r="A23" s="121"/>
    </row>
    <row r="24" spans="1:3" x14ac:dyDescent="0.2">
      <c r="A24" s="119" t="s">
        <v>50</v>
      </c>
    </row>
    <row r="25" spans="1:3" x14ac:dyDescent="0.2">
      <c r="A25" s="120" t="s">
        <v>350</v>
      </c>
      <c r="C25" s="32" t="str">
        <f>'Calc-I'!AF25</f>
        <v>0.4, (0.21, 0.56)</v>
      </c>
    </row>
    <row r="26" spans="1:3" x14ac:dyDescent="0.2">
      <c r="A26" s="120" t="s">
        <v>351</v>
      </c>
      <c r="C26" s="32" t="str">
        <f>'Calc-I'!AF26</f>
        <v>0.26, (0.11, 0.4)</v>
      </c>
    </row>
    <row r="27" spans="1:3" x14ac:dyDescent="0.2">
      <c r="A27" s="120" t="s">
        <v>352</v>
      </c>
      <c r="C27" s="32" t="str">
        <f>'Calc-I'!AF27</f>
        <v>0.16, (0.08, 0.24)</v>
      </c>
    </row>
    <row r="28" spans="1:3" x14ac:dyDescent="0.2">
      <c r="A28" s="120" t="s">
        <v>353</v>
      </c>
      <c r="C28" s="32" t="str">
        <f>'Calc-I'!AF28</f>
        <v>0.22, (0.14, 0.29)</v>
      </c>
    </row>
    <row r="29" spans="1:3" x14ac:dyDescent="0.2">
      <c r="A29" s="120" t="s">
        <v>354</v>
      </c>
      <c r="C29" s="32" t="str">
        <f>'Calc-I'!AF29</f>
        <v>0.36, (0.13, 0.55)</v>
      </c>
    </row>
    <row r="30" spans="1:3" x14ac:dyDescent="0.2">
      <c r="A30" s="120" t="s">
        <v>355</v>
      </c>
      <c r="C30" s="32" t="str">
        <f>'Calc-I'!AF30</f>
        <v>0.13, (-0.09, 0.33)</v>
      </c>
    </row>
    <row r="31" spans="1:3" x14ac:dyDescent="0.2">
      <c r="A31" s="120" t="s">
        <v>356</v>
      </c>
      <c r="C31" s="32" t="str">
        <f>'Calc-I'!AF31</f>
        <v>0.31, (0.1, 0.5)</v>
      </c>
    </row>
    <row r="32" spans="1:3" x14ac:dyDescent="0.2">
      <c r="A32" s="120" t="s">
        <v>357</v>
      </c>
      <c r="C32" s="32" t="str">
        <f>'Calc-I'!AF32</f>
        <v>0.38, (0.23, 0.51)</v>
      </c>
    </row>
    <row r="33" spans="1:3" x14ac:dyDescent="0.2">
      <c r="A33" s="120" t="s">
        <v>358</v>
      </c>
      <c r="C33" s="32" t="str">
        <f>'Calc-I'!AF33</f>
        <v>0.02, (-0.12, 0.16)</v>
      </c>
    </row>
    <row r="34" spans="1:3" x14ac:dyDescent="0.2">
      <c r="A34" s="120" t="s">
        <v>359</v>
      </c>
      <c r="C34" s="32" t="str">
        <f>'Calc-I'!AF34</f>
        <v>0.17, (0.09, 0.25)</v>
      </c>
    </row>
    <row r="35" spans="1:3" x14ac:dyDescent="0.2">
      <c r="A35" s="120" t="s">
        <v>360</v>
      </c>
      <c r="C35" s="32" t="str">
        <f>'Calc-I'!AF35</f>
        <v>0.16, (0.02, 0.29)</v>
      </c>
    </row>
    <row r="36" spans="1:3" x14ac:dyDescent="0.2">
      <c r="A36" s="120" t="s">
        <v>361</v>
      </c>
      <c r="C36" s="32" t="str">
        <f>'Calc-I'!AF36</f>
        <v>0.19, (0.11, 0.27)</v>
      </c>
    </row>
    <row r="37" spans="1:3" x14ac:dyDescent="0.2">
      <c r="A37" s="120" t="s">
        <v>362</v>
      </c>
      <c r="C37" s="32" t="str">
        <f>'Calc-I'!AF37</f>
        <v>0.2, (0.04, 0.35)</v>
      </c>
    </row>
    <row r="38" spans="1:3" x14ac:dyDescent="0.2">
      <c r="A38" s="120" t="s">
        <v>363</v>
      </c>
      <c r="C38" s="32" t="str">
        <f>'Calc-I'!AF38</f>
        <v>0.1, (-0.06, 0.25)</v>
      </c>
    </row>
    <row r="39" spans="1:3" x14ac:dyDescent="0.2">
      <c r="A39" s="121"/>
    </row>
    <row r="40" spans="1:3" x14ac:dyDescent="0.2">
      <c r="A40" s="120" t="s">
        <v>323</v>
      </c>
      <c r="C40" s="32" t="str">
        <f>'Calc-I'!AF40</f>
        <v>0.18, (0.06, 0.29)</v>
      </c>
    </row>
    <row r="41" spans="1:3" x14ac:dyDescent="0.2">
      <c r="A41" s="120"/>
    </row>
    <row r="42" spans="1:3" x14ac:dyDescent="0.2">
      <c r="A42" s="120" t="s">
        <v>322</v>
      </c>
      <c r="C42" s="32" t="str">
        <f>'Calc-I'!AF42</f>
        <v>0.2, (0.11, 0.29)</v>
      </c>
    </row>
    <row r="43" spans="1:3" x14ac:dyDescent="0.2">
      <c r="A43" s="121"/>
    </row>
    <row r="44" spans="1:3" x14ac:dyDescent="0.2">
      <c r="A44" s="121" t="s">
        <v>185</v>
      </c>
      <c r="C44" s="32" t="str">
        <f>'Calc-I'!AF44</f>
        <v>0.19, (0.12, 0.26)</v>
      </c>
    </row>
    <row r="45" spans="1:3" x14ac:dyDescent="0.2">
      <c r="A45" s="121"/>
    </row>
    <row r="46" spans="1:3" x14ac:dyDescent="0.2">
      <c r="A46" s="119" t="s">
        <v>78</v>
      </c>
    </row>
    <row r="47" spans="1:3" x14ac:dyDescent="0.2">
      <c r="A47" s="120" t="s">
        <v>364</v>
      </c>
      <c r="C47" s="32" t="str">
        <f>'Calc-I'!AF47</f>
        <v>0.01, (-0.22, 0.24)</v>
      </c>
    </row>
    <row r="48" spans="1:3" x14ac:dyDescent="0.2">
      <c r="A48" s="120" t="s">
        <v>365</v>
      </c>
      <c r="C48" s="32" t="str">
        <f>'Calc-I'!AF48</f>
        <v>0.13, (-0.05, 0.3)</v>
      </c>
    </row>
    <row r="49" spans="1:3" x14ac:dyDescent="0.2">
      <c r="A49" s="120" t="s">
        <v>366</v>
      </c>
      <c r="C49" s="32" t="str">
        <f>'Calc-I'!AF49</f>
        <v>-0.42, (-0.59, -0.21)</v>
      </c>
    </row>
    <row r="50" spans="1:3" x14ac:dyDescent="0.2">
      <c r="A50" s="120" t="s">
        <v>367</v>
      </c>
      <c r="C50" s="32" t="str">
        <f>'Calc-I'!AF50</f>
        <v>-0.13, (-0.3, 0.05)</v>
      </c>
    </row>
    <row r="51" spans="1:3" x14ac:dyDescent="0.2">
      <c r="A51" s="120" t="s">
        <v>368</v>
      </c>
      <c r="C51" s="32" t="str">
        <f>'Calc-I'!AF51</f>
        <v>0.16, (0.08, 0.24)</v>
      </c>
    </row>
    <row r="52" spans="1:3" x14ac:dyDescent="0.2">
      <c r="A52" s="120" t="s">
        <v>369</v>
      </c>
      <c r="C52" s="32" t="str">
        <f>'Calc-I'!AF52</f>
        <v>0.13, (0.07, 0.19)</v>
      </c>
    </row>
    <row r="53" spans="1:3" x14ac:dyDescent="0.2">
      <c r="A53" s="120" t="s">
        <v>370</v>
      </c>
      <c r="C53" s="32" t="str">
        <f>'Calc-I'!AF53</f>
        <v>0.31, (0.06, 0.53)</v>
      </c>
    </row>
    <row r="54" spans="1:3" x14ac:dyDescent="0.2">
      <c r="A54" s="120" t="s">
        <v>371</v>
      </c>
      <c r="C54" s="32" t="str">
        <f>'Calc-I'!AF54</f>
        <v>0.18, (-0.08, 0.41)</v>
      </c>
    </row>
    <row r="55" spans="1:3" x14ac:dyDescent="0.2">
      <c r="A55" s="120" t="s">
        <v>372</v>
      </c>
      <c r="C55" s="32" t="str">
        <f>'Calc-I'!AF55</f>
        <v>-0.09, (-0.35, 0.18)</v>
      </c>
    </row>
    <row r="56" spans="1:3" x14ac:dyDescent="0.2">
      <c r="A56" s="120" t="s">
        <v>373</v>
      </c>
      <c r="C56" s="32" t="str">
        <f>'Calc-I'!AF56</f>
        <v>0, (-0.19, 0.19)</v>
      </c>
    </row>
    <row r="57" spans="1:3" x14ac:dyDescent="0.2">
      <c r="A57" s="120" t="s">
        <v>374</v>
      </c>
      <c r="C57" s="32" t="str">
        <f>'Calc-I'!AF57</f>
        <v>0.16, (0.02, 0.29)</v>
      </c>
    </row>
    <row r="58" spans="1:3" x14ac:dyDescent="0.2">
      <c r="A58" s="120" t="s">
        <v>375</v>
      </c>
      <c r="C58" s="32" t="str">
        <f>'Calc-I'!AF58</f>
        <v>0.12, (0.04, 0.2)</v>
      </c>
    </row>
    <row r="59" spans="1:3" x14ac:dyDescent="0.2">
      <c r="A59" s="120" t="s">
        <v>376</v>
      </c>
      <c r="C59" s="32" t="str">
        <f>'Calc-I'!AF59</f>
        <v>0.08, (-0.06, 0.21)</v>
      </c>
    </row>
    <row r="60" spans="1:3" x14ac:dyDescent="0.2">
      <c r="A60" s="120" t="s">
        <v>377</v>
      </c>
      <c r="C60" s="32" t="str">
        <f>'Calc-I'!AF60</f>
        <v>0.13, (0.05, 0.21)</v>
      </c>
    </row>
    <row r="61" spans="1:3" x14ac:dyDescent="0.2">
      <c r="A61" s="120" t="s">
        <v>378</v>
      </c>
      <c r="C61" s="32" t="str">
        <f>'Calc-I'!AF61</f>
        <v>-0.02, (-0.18, 0.14)</v>
      </c>
    </row>
    <row r="62" spans="1:3" x14ac:dyDescent="0.2">
      <c r="A62" s="120" t="s">
        <v>379</v>
      </c>
      <c r="C62" s="32" t="str">
        <f>'Calc-I'!AF62</f>
        <v>0.18, (0.08, 0.27)</v>
      </c>
    </row>
    <row r="63" spans="1:3" x14ac:dyDescent="0.2">
      <c r="A63" s="120" t="s">
        <v>380</v>
      </c>
      <c r="C63" s="32" t="str">
        <f>'Calc-I'!AF63</f>
        <v>0.03, (-0.07, 0.13)</v>
      </c>
    </row>
    <row r="64" spans="1:3" x14ac:dyDescent="0.2">
      <c r="A64" s="120" t="s">
        <v>381</v>
      </c>
      <c r="C64" s="32" t="str">
        <f>'Calc-I'!AF64</f>
        <v>0.04, (-0.06, 0.14)</v>
      </c>
    </row>
    <row r="65" spans="1:3" x14ac:dyDescent="0.2">
      <c r="A65" s="120" t="s">
        <v>382</v>
      </c>
      <c r="C65" s="32" t="str">
        <f>'Calc-I'!AF65</f>
        <v>0.2, (0.02, 0.36)</v>
      </c>
    </row>
    <row r="66" spans="1:3" x14ac:dyDescent="0.2">
      <c r="A66" s="120" t="s">
        <v>383</v>
      </c>
      <c r="C66" s="32" t="str">
        <f>'Calc-I'!AF66</f>
        <v>0.09, (-0.11, 0.28)</v>
      </c>
    </row>
    <row r="67" spans="1:3" x14ac:dyDescent="0.2">
      <c r="A67" s="120" t="s">
        <v>384</v>
      </c>
      <c r="C67" s="32" t="str">
        <f>'Calc-I'!AF67</f>
        <v>0.15, (-0.03, 0.32)</v>
      </c>
    </row>
    <row r="68" spans="1:3" x14ac:dyDescent="0.2">
      <c r="A68" s="120" t="s">
        <v>385</v>
      </c>
      <c r="C68" s="32" t="str">
        <f>'Calc-I'!AF68</f>
        <v>0.31, (0.12, 0.48)</v>
      </c>
    </row>
    <row r="69" spans="1:3" x14ac:dyDescent="0.2">
      <c r="A69" s="121"/>
    </row>
    <row r="70" spans="1:3" x14ac:dyDescent="0.2">
      <c r="A70" s="120" t="s">
        <v>323</v>
      </c>
      <c r="C70" s="32" t="str">
        <f>'Calc-I'!AF70</f>
        <v>0.11, (-0.01, 0.23)</v>
      </c>
    </row>
    <row r="71" spans="1:3" x14ac:dyDescent="0.2">
      <c r="A71" s="120"/>
    </row>
    <row r="72" spans="1:3" x14ac:dyDescent="0.2">
      <c r="A72" s="120" t="s">
        <v>322</v>
      </c>
      <c r="C72" s="32" t="str">
        <f>'Calc-I'!AF72</f>
        <v>0.14, (0.04, 0.22)</v>
      </c>
    </row>
    <row r="73" spans="1:3" x14ac:dyDescent="0.2">
      <c r="A73" s="121"/>
    </row>
    <row r="74" spans="1:3" x14ac:dyDescent="0.2">
      <c r="A74" s="121" t="s">
        <v>185</v>
      </c>
      <c r="C74" s="32" t="str">
        <f>'Calc-I'!AF74</f>
        <v>0.13, (0.05, 0.2)</v>
      </c>
    </row>
    <row r="75" spans="1:3" x14ac:dyDescent="0.2">
      <c r="A75" s="121"/>
    </row>
    <row r="76" spans="1:3" x14ac:dyDescent="0.2">
      <c r="A76" s="119" t="s">
        <v>110</v>
      </c>
    </row>
    <row r="77" spans="1:3" x14ac:dyDescent="0.2">
      <c r="A77" s="120" t="s">
        <v>386</v>
      </c>
      <c r="C77" s="32" t="str">
        <f>'Calc-I'!AF77</f>
        <v>0.31, (0.1, 0.5)</v>
      </c>
    </row>
    <row r="78" spans="1:3" x14ac:dyDescent="0.2">
      <c r="A78" s="120" t="s">
        <v>387</v>
      </c>
      <c r="C78" s="32" t="str">
        <f>'Calc-I'!AF78</f>
        <v>0.25, (0.06, 0.43)</v>
      </c>
    </row>
    <row r="79" spans="1:3" x14ac:dyDescent="0.2">
      <c r="A79" s="120" t="s">
        <v>388</v>
      </c>
      <c r="C79" s="32" t="str">
        <f>'Calc-I'!AF79</f>
        <v>0.18, (0.08, 0.27)</v>
      </c>
    </row>
    <row r="80" spans="1:3" x14ac:dyDescent="0.2">
      <c r="A80" s="120" t="s">
        <v>389</v>
      </c>
      <c r="C80" s="32" t="str">
        <f>'Calc-I'!AF80</f>
        <v>0.29, (0.2, 0.38)</v>
      </c>
    </row>
    <row r="81" spans="1:3" x14ac:dyDescent="0.2">
      <c r="A81" s="120" t="s">
        <v>390</v>
      </c>
      <c r="C81" s="32" t="str">
        <f>'Calc-I'!AF81</f>
        <v>0.3, (0.07, 0.5)</v>
      </c>
    </row>
    <row r="82" spans="1:3" x14ac:dyDescent="0.2">
      <c r="A82" s="120" t="s">
        <v>391</v>
      </c>
      <c r="C82" s="32" t="str">
        <f>'Calc-I'!AF82</f>
        <v>0.24, (0.06, 0.4)</v>
      </c>
    </row>
    <row r="83" spans="1:3" x14ac:dyDescent="0.2">
      <c r="A83" s="120" t="s">
        <v>392</v>
      </c>
      <c r="C83" s="32" t="str">
        <f>'Calc-I'!AF83</f>
        <v>0.29, (0.04, 0.51)</v>
      </c>
    </row>
    <row r="84" spans="1:3" x14ac:dyDescent="0.2">
      <c r="A84" s="120" t="s">
        <v>393</v>
      </c>
      <c r="C84" s="32" t="str">
        <f>'Calc-I'!AF84</f>
        <v>0.2, (-0.04, 0.41)</v>
      </c>
    </row>
    <row r="85" spans="1:3" x14ac:dyDescent="0.2">
      <c r="A85" s="120" t="s">
        <v>394</v>
      </c>
      <c r="C85" s="32" t="str">
        <f>'Calc-I'!AF85</f>
        <v>0.2, (0.04, 0.35)</v>
      </c>
    </row>
    <row r="86" spans="1:3" x14ac:dyDescent="0.2">
      <c r="A86" s="120" t="s">
        <v>395</v>
      </c>
      <c r="C86" s="32" t="str">
        <f>'Calc-I'!AF86</f>
        <v>0.24, (0.06, 0.4)</v>
      </c>
    </row>
    <row r="87" spans="1:3" x14ac:dyDescent="0.2">
      <c r="A87" s="120" t="s">
        <v>396</v>
      </c>
      <c r="C87" s="32" t="str">
        <f>'Calc-I'!AF87</f>
        <v>0.19, (0.07, 0.3)</v>
      </c>
    </row>
    <row r="88" spans="1:3" x14ac:dyDescent="0.2">
      <c r="A88" s="120" t="s">
        <v>397</v>
      </c>
      <c r="C88" s="32" t="str">
        <f>'Calc-I'!AF88</f>
        <v>-0.01, (-0.13, 0.11)</v>
      </c>
    </row>
    <row r="89" spans="1:3" x14ac:dyDescent="0.2">
      <c r="A89" s="120" t="s">
        <v>398</v>
      </c>
      <c r="C89" s="32" t="str">
        <f>'Calc-I'!AF89</f>
        <v>0.15, (-0.01, 0.3)</v>
      </c>
    </row>
    <row r="90" spans="1:3" x14ac:dyDescent="0.2">
      <c r="A90" s="120" t="s">
        <v>399</v>
      </c>
      <c r="C90" s="32" t="str">
        <f>'Calc-I'!AF90</f>
        <v>0.14, (0.04, 0.24)</v>
      </c>
    </row>
    <row r="91" spans="1:3" x14ac:dyDescent="0.2">
      <c r="A91" s="120" t="s">
        <v>400</v>
      </c>
      <c r="C91" s="32" t="str">
        <f>'Calc-I'!AF91</f>
        <v>0.08, (-0.08, 0.23)</v>
      </c>
    </row>
    <row r="92" spans="1:3" x14ac:dyDescent="0.2">
      <c r="A92" s="120" t="s">
        <v>401</v>
      </c>
      <c r="C92" s="32" t="str">
        <f>'Calc-I'!AF92</f>
        <v>0.18, (0.08, 0.27)</v>
      </c>
    </row>
    <row r="93" spans="1:3" x14ac:dyDescent="0.2">
      <c r="A93" s="120" t="s">
        <v>402</v>
      </c>
      <c r="C93" s="32" t="str">
        <f>'Calc-I'!AF93</f>
        <v>0.19, (0.03, 0.34)</v>
      </c>
    </row>
    <row r="94" spans="1:3" x14ac:dyDescent="0.2">
      <c r="A94" s="120" t="s">
        <v>403</v>
      </c>
      <c r="C94" s="32" t="str">
        <f>'Calc-I'!AF94</f>
        <v>0.29, (0.14, 0.43)</v>
      </c>
    </row>
    <row r="95" spans="1:3" x14ac:dyDescent="0.2">
      <c r="A95" s="121"/>
    </row>
    <row r="96" spans="1:3" x14ac:dyDescent="0.2">
      <c r="A96" s="120" t="s">
        <v>323</v>
      </c>
      <c r="C96" s="32" t="str">
        <f>'Calc-I'!AF96</f>
        <v>0.16, (0.05, 0.27)</v>
      </c>
    </row>
    <row r="97" spans="1:3" x14ac:dyDescent="0.2">
      <c r="A97" s="120"/>
    </row>
    <row r="98" spans="1:3" x14ac:dyDescent="0.2">
      <c r="A98" s="120" t="s">
        <v>322</v>
      </c>
      <c r="C98" s="32" t="str">
        <f>'Calc-I'!AF98</f>
        <v>0.22, (0.12, 0.31)</v>
      </c>
    </row>
    <row r="99" spans="1:3" x14ac:dyDescent="0.2">
      <c r="A99" s="121"/>
    </row>
    <row r="100" spans="1:3" x14ac:dyDescent="0.2">
      <c r="A100" s="121" t="s">
        <v>185</v>
      </c>
      <c r="C100" s="32" t="str">
        <f>'Calc-I'!AF100</f>
        <v>0.19, (0.11, 0.26)</v>
      </c>
    </row>
    <row r="101" spans="1:3" x14ac:dyDescent="0.2">
      <c r="A101" s="121"/>
    </row>
    <row r="102" spans="1:3" x14ac:dyDescent="0.2">
      <c r="A102" s="119" t="s">
        <v>326</v>
      </c>
    </row>
    <row r="103" spans="1:3" x14ac:dyDescent="0.2">
      <c r="A103" s="120" t="s">
        <v>404</v>
      </c>
      <c r="C103" s="32" t="str">
        <f>'Calc-I'!AF103</f>
        <v>0.04, (-0.23, 0.3)</v>
      </c>
    </row>
    <row r="104" spans="1:3" x14ac:dyDescent="0.2">
      <c r="A104" s="120" t="s">
        <v>405</v>
      </c>
      <c r="C104" s="32" t="str">
        <f>'Calc-I'!AF104</f>
        <v>0.17, (-0.01, 0.34)</v>
      </c>
    </row>
    <row r="105" spans="1:3" x14ac:dyDescent="0.2">
      <c r="A105" s="120" t="s">
        <v>406</v>
      </c>
      <c r="C105" s="32" t="str">
        <f>'Calc-I'!AF105</f>
        <v>0.07, (-0.14, 0.28)</v>
      </c>
    </row>
    <row r="106" spans="1:3" x14ac:dyDescent="0.2">
      <c r="A106" s="120" t="s">
        <v>407</v>
      </c>
      <c r="C106" s="32" t="str">
        <f>'Calc-I'!AF106</f>
        <v>0.26, (0.09, 0.42)</v>
      </c>
    </row>
    <row r="107" spans="1:3" x14ac:dyDescent="0.2">
      <c r="A107" s="120" t="s">
        <v>408</v>
      </c>
      <c r="C107" s="32" t="str">
        <f>'Calc-I'!AF107</f>
        <v>0.14, (-0.08, 0.34)</v>
      </c>
    </row>
    <row r="108" spans="1:3" x14ac:dyDescent="0.2">
      <c r="A108" s="120" t="s">
        <v>409</v>
      </c>
      <c r="C108" s="32" t="str">
        <f>'Calc-I'!AF108</f>
        <v>0.19, (0.03, 0.34)</v>
      </c>
    </row>
    <row r="109" spans="1:3" x14ac:dyDescent="0.2">
      <c r="A109" s="120" t="s">
        <v>410</v>
      </c>
      <c r="C109" s="32" t="str">
        <f>'Calc-I'!AF109</f>
        <v>-0.01, (-0.26, 0.24)</v>
      </c>
    </row>
    <row r="110" spans="1:3" x14ac:dyDescent="0.2">
      <c r="A110" s="120" t="s">
        <v>411</v>
      </c>
      <c r="C110" s="32" t="str">
        <f>'Calc-I'!AF110</f>
        <v>0.03, (-0.15, 0.2)</v>
      </c>
    </row>
    <row r="111" spans="1:3" x14ac:dyDescent="0.2">
      <c r="A111" s="120" t="s">
        <v>412</v>
      </c>
      <c r="C111" s="32" t="str">
        <f>'Calc-I'!AF111</f>
        <v>0.06, (-0.17, 0.29)</v>
      </c>
    </row>
    <row r="112" spans="1:3" x14ac:dyDescent="0.2">
      <c r="A112" s="120" t="s">
        <v>413</v>
      </c>
      <c r="C112" s="32" t="str">
        <f>'Calc-I'!AF112</f>
        <v>0.11, (-0.07, 0.28)</v>
      </c>
    </row>
    <row r="113" spans="1:3" x14ac:dyDescent="0.2">
      <c r="A113" s="120" t="s">
        <v>414</v>
      </c>
      <c r="C113" s="32" t="str">
        <f>'Calc-I'!AF113</f>
        <v>0.11, (-0.14, 0.35)</v>
      </c>
    </row>
    <row r="114" spans="1:3" x14ac:dyDescent="0.2">
      <c r="A114" s="120" t="s">
        <v>415</v>
      </c>
      <c r="C114" s="32" t="str">
        <f>'Calc-I'!AF114</f>
        <v>0.16, (-0.04, 0.34)</v>
      </c>
    </row>
    <row r="115" spans="1:3" x14ac:dyDescent="0.2">
      <c r="A115" s="120" t="s">
        <v>416</v>
      </c>
      <c r="C115" s="32" t="str">
        <f>'Calc-I'!AF115</f>
        <v>0.07, (-0.09, 0.22)</v>
      </c>
    </row>
    <row r="116" spans="1:3" x14ac:dyDescent="0.2">
      <c r="A116" s="120" t="s">
        <v>417</v>
      </c>
      <c r="C116" s="32" t="str">
        <f>'Calc-I'!AF116</f>
        <v>0.08, (-0.02, 0.18)</v>
      </c>
    </row>
    <row r="117" spans="1:3" x14ac:dyDescent="0.2">
      <c r="A117" s="120" t="s">
        <v>418</v>
      </c>
      <c r="C117" s="32" t="str">
        <f>'Calc-I'!AF117</f>
        <v>0.16, (0.02, 0.29)</v>
      </c>
    </row>
    <row r="118" spans="1:3" x14ac:dyDescent="0.2">
      <c r="A118" s="120" t="s">
        <v>419</v>
      </c>
      <c r="C118" s="32" t="str">
        <f>'Calc-I'!AF118</f>
        <v>0.23, (0.15, 0.3)</v>
      </c>
    </row>
    <row r="119" spans="1:3" x14ac:dyDescent="0.2">
      <c r="A119" s="120" t="s">
        <v>420</v>
      </c>
      <c r="C119" s="32" t="str">
        <f>'Calc-I'!AF119</f>
        <v>0.11, (-0.01, 0.22)</v>
      </c>
    </row>
    <row r="120" spans="1:3" x14ac:dyDescent="0.2">
      <c r="A120" s="120" t="s">
        <v>421</v>
      </c>
      <c r="C120" s="32" t="str">
        <f>'Calc-I'!AF120</f>
        <v>0.15, (0.07, 0.23)</v>
      </c>
    </row>
    <row r="121" spans="1:3" x14ac:dyDescent="0.2">
      <c r="A121" s="120" t="s">
        <v>422</v>
      </c>
      <c r="C121" s="32" t="str">
        <f>'Calc-I'!AF121</f>
        <v>-0.05, (-0.15, 0.05)</v>
      </c>
    </row>
    <row r="122" spans="1:3" x14ac:dyDescent="0.2">
      <c r="A122" s="120" t="s">
        <v>423</v>
      </c>
      <c r="C122" s="32" t="str">
        <f>'Calc-I'!AF122</f>
        <v>0.11, (-0.09, 0.3)</v>
      </c>
    </row>
    <row r="123" spans="1:3" x14ac:dyDescent="0.2">
      <c r="A123" s="120" t="s">
        <v>424</v>
      </c>
      <c r="C123" s="32" t="str">
        <f>'Calc-I'!AF123</f>
        <v>0.27, (0.08, 0.44)</v>
      </c>
    </row>
    <row r="124" spans="1:3" x14ac:dyDescent="0.2">
      <c r="A124" s="120" t="s">
        <v>425</v>
      </c>
      <c r="C124" s="32" t="str">
        <f>'Calc-I'!AF124</f>
        <v>0.11, (-0.05, 0.26)</v>
      </c>
    </row>
    <row r="125" spans="1:3" x14ac:dyDescent="0.2">
      <c r="A125" s="120" t="s">
        <v>426</v>
      </c>
      <c r="C125" s="32" t="str">
        <f>'Calc-I'!AF125</f>
        <v>0.03, (-0.11, 0.17)</v>
      </c>
    </row>
    <row r="126" spans="1:3" x14ac:dyDescent="0.2">
      <c r="A126" s="120" t="s">
        <v>427</v>
      </c>
      <c r="C126" s="32" t="str">
        <f>'Calc-I'!AF126</f>
        <v>0.13, (-0.03, 0.28)</v>
      </c>
    </row>
    <row r="127" spans="1:3" x14ac:dyDescent="0.2">
      <c r="A127" s="120" t="s">
        <v>428</v>
      </c>
      <c r="C127" s="32" t="str">
        <f>'Calc-I'!AF127</f>
        <v>0.18, (0.04, 0.31)</v>
      </c>
    </row>
    <row r="128" spans="1:3" x14ac:dyDescent="0.2">
      <c r="A128" s="121"/>
    </row>
    <row r="129" spans="1:3" x14ac:dyDescent="0.2">
      <c r="A129" s="120" t="s">
        <v>323</v>
      </c>
      <c r="C129" s="32" t="str">
        <f>'Calc-I'!AF129</f>
        <v>0.09, (-0.06, 0.24)</v>
      </c>
    </row>
    <row r="130" spans="1:3" x14ac:dyDescent="0.2">
      <c r="A130" s="120"/>
    </row>
    <row r="131" spans="1:3" x14ac:dyDescent="0.2">
      <c r="A131" s="120" t="s">
        <v>322</v>
      </c>
      <c r="C131" s="32" t="str">
        <f>'Calc-I'!AF131</f>
        <v>0.16, (0.06, 0.26)</v>
      </c>
    </row>
    <row r="132" spans="1:3" x14ac:dyDescent="0.2">
      <c r="A132" s="121"/>
    </row>
    <row r="133" spans="1:3" x14ac:dyDescent="0.2">
      <c r="A133" s="121" t="s">
        <v>185</v>
      </c>
      <c r="C133" s="32" t="str">
        <f>'Calc-I'!AF133</f>
        <v>0.13, (0.05, 0.21)</v>
      </c>
    </row>
    <row r="134" spans="1:3" x14ac:dyDescent="0.2">
      <c r="A134" s="121"/>
    </row>
    <row r="135" spans="1:3" x14ac:dyDescent="0.2">
      <c r="A135" s="119" t="s">
        <v>304</v>
      </c>
    </row>
    <row r="136" spans="1:3" x14ac:dyDescent="0.2">
      <c r="A136" s="120" t="s">
        <v>429</v>
      </c>
      <c r="C136" s="32" t="str">
        <f>'Calc-I'!AF136</f>
        <v>0.07, (-0.16, 0.3)</v>
      </c>
    </row>
    <row r="137" spans="1:3" x14ac:dyDescent="0.2">
      <c r="A137" s="120" t="s">
        <v>430</v>
      </c>
      <c r="C137" s="32" t="str">
        <f>'Calc-I'!AF137</f>
        <v>0.11, (-0.03, 0.24)</v>
      </c>
    </row>
    <row r="138" spans="1:3" x14ac:dyDescent="0.2">
      <c r="A138" s="120" t="s">
        <v>431</v>
      </c>
      <c r="C138" s="32" t="str">
        <f>'Calc-I'!AF138</f>
        <v>0.07, (-0.16, 0.3)</v>
      </c>
    </row>
    <row r="139" spans="1:3" x14ac:dyDescent="0.2">
      <c r="A139" s="120" t="s">
        <v>432</v>
      </c>
      <c r="C139" s="32" t="str">
        <f>'Calc-I'!AF139</f>
        <v>0.29, (0.1, 0.46)</v>
      </c>
    </row>
    <row r="140" spans="1:3" x14ac:dyDescent="0.2">
      <c r="A140" s="120" t="s">
        <v>433</v>
      </c>
      <c r="C140" s="32" t="str">
        <f>'Calc-I'!AF140</f>
        <v>0.27, (0.21, 0.32)</v>
      </c>
    </row>
    <row r="141" spans="1:3" x14ac:dyDescent="0.2">
      <c r="A141" s="120" t="s">
        <v>434</v>
      </c>
      <c r="C141" s="32" t="str">
        <f>'Calc-I'!AF141</f>
        <v>0.28, (0.22, 0.33)</v>
      </c>
    </row>
    <row r="142" spans="1:3" x14ac:dyDescent="0.2">
      <c r="A142" s="120" t="s">
        <v>435</v>
      </c>
      <c r="C142" s="32" t="str">
        <f>'Calc-I'!AF142</f>
        <v>0.26, (0.2, 0.32)</v>
      </c>
    </row>
    <row r="143" spans="1:3" x14ac:dyDescent="0.2">
      <c r="A143" s="120" t="s">
        <v>436</v>
      </c>
      <c r="C143" s="32" t="str">
        <f>'Calc-I'!AF143</f>
        <v>0.31, (0.25, 0.36)</v>
      </c>
    </row>
    <row r="144" spans="1:3" x14ac:dyDescent="0.2">
      <c r="A144" s="120" t="s">
        <v>437</v>
      </c>
      <c r="C144" s="32" t="str">
        <f>'Calc-I'!AF144</f>
        <v>0.1, (0, 0.2)</v>
      </c>
    </row>
    <row r="145" spans="1:3" x14ac:dyDescent="0.2">
      <c r="A145" s="120" t="s">
        <v>438</v>
      </c>
      <c r="C145" s="32" t="str">
        <f>'Calc-I'!AF145</f>
        <v>0.16, (0.06, 0.25)</v>
      </c>
    </row>
    <row r="146" spans="1:3" x14ac:dyDescent="0.2">
      <c r="A146" s="120" t="s">
        <v>439</v>
      </c>
      <c r="C146" s="32" t="str">
        <f>'Calc-I'!AF146</f>
        <v>0.58, (0.37, 0.73)</v>
      </c>
    </row>
    <row r="147" spans="1:3" x14ac:dyDescent="0.2">
      <c r="A147" s="120" t="s">
        <v>440</v>
      </c>
      <c r="C147" s="32" t="str">
        <f>'Calc-I'!AF147</f>
        <v>0.13, (-0.07, 0.32)</v>
      </c>
    </row>
    <row r="148" spans="1:3" x14ac:dyDescent="0.2">
      <c r="A148" s="120" t="s">
        <v>441</v>
      </c>
      <c r="C148" s="32" t="str">
        <f>'Calc-I'!AF148</f>
        <v>0.51, (0.19, 0.73)</v>
      </c>
    </row>
    <row r="149" spans="1:3" x14ac:dyDescent="0.2">
      <c r="A149" s="120" t="s">
        <v>442</v>
      </c>
      <c r="C149" s="32" t="str">
        <f>'Calc-I'!AF149</f>
        <v>0.07, (-0.07, 0.2)</v>
      </c>
    </row>
    <row r="150" spans="1:3" x14ac:dyDescent="0.2">
      <c r="A150" s="120" t="s">
        <v>443</v>
      </c>
      <c r="C150" s="32" t="str">
        <f>'Calc-I'!AF150</f>
        <v>0.22, (-0.04, 0.45)</v>
      </c>
    </row>
    <row r="151" spans="1:3" x14ac:dyDescent="0.2">
      <c r="A151" s="120" t="s">
        <v>444</v>
      </c>
      <c r="C151" s="32" t="str">
        <f>'Calc-I'!AF151</f>
        <v>0.15, (-0.03, 0.32)</v>
      </c>
    </row>
    <row r="152" spans="1:3" x14ac:dyDescent="0.2">
      <c r="A152" s="120" t="s">
        <v>445</v>
      </c>
      <c r="C152" s="32" t="str">
        <f>'Calc-I'!AF152</f>
        <v>0.06, (-0.02, 0.14)</v>
      </c>
    </row>
    <row r="153" spans="1:3" x14ac:dyDescent="0.2">
      <c r="A153" s="120" t="s">
        <v>446</v>
      </c>
      <c r="C153" s="32" t="str">
        <f>'Calc-I'!AF153</f>
        <v>0.05, (-0.03, 0.13)</v>
      </c>
    </row>
    <row r="154" spans="1:3" x14ac:dyDescent="0.2">
      <c r="A154" s="120" t="s">
        <v>447</v>
      </c>
      <c r="C154" s="32" t="str">
        <f>'Calc-I'!AF154</f>
        <v>0.06, (-0.02, 0.14)</v>
      </c>
    </row>
    <row r="155" spans="1:3" x14ac:dyDescent="0.2">
      <c r="A155" s="120" t="s">
        <v>448</v>
      </c>
      <c r="C155" s="32" t="str">
        <f>'Calc-I'!AF155</f>
        <v>0.07, (-0.01, 0.15)</v>
      </c>
    </row>
    <row r="156" spans="1:3" x14ac:dyDescent="0.2">
      <c r="A156" s="120" t="s">
        <v>449</v>
      </c>
      <c r="C156" s="32" t="str">
        <f>'Calc-I'!AF156</f>
        <v>0.13, (-0.07, 0.32)</v>
      </c>
    </row>
    <row r="157" spans="1:3" x14ac:dyDescent="0.2">
      <c r="A157" s="120" t="s">
        <v>450</v>
      </c>
      <c r="C157" s="32" t="str">
        <f>'Calc-I'!AF157</f>
        <v>0.02, (-0.1, 0.14)</v>
      </c>
    </row>
    <row r="158" spans="1:3" x14ac:dyDescent="0.2">
      <c r="A158" s="120" t="s">
        <v>451</v>
      </c>
      <c r="C158" s="32" t="str">
        <f>'Calc-I'!AF158</f>
        <v>0.16, (-0.06, 0.36)</v>
      </c>
    </row>
    <row r="159" spans="1:3" x14ac:dyDescent="0.2">
      <c r="A159" s="120" t="s">
        <v>452</v>
      </c>
      <c r="C159" s="32" t="str">
        <f>'Calc-I'!AF159</f>
        <v>0.09, (-0.03, 0.21)</v>
      </c>
    </row>
    <row r="160" spans="1:3" x14ac:dyDescent="0.2">
      <c r="A160" s="120" t="s">
        <v>453</v>
      </c>
      <c r="C160" s="32" t="str">
        <f>'Calc-I'!AF160</f>
        <v>0.14, (0, 0.27)</v>
      </c>
    </row>
    <row r="161" spans="1:3" x14ac:dyDescent="0.2">
      <c r="A161" s="120" t="s">
        <v>454</v>
      </c>
      <c r="C161" s="32" t="str">
        <f>'Calc-I'!AF161</f>
        <v>0.05, (-0.03, 0.13)</v>
      </c>
    </row>
    <row r="162" spans="1:3" x14ac:dyDescent="0.2">
      <c r="A162" s="120" t="s">
        <v>455</v>
      </c>
      <c r="C162" s="32" t="str">
        <f>'Calc-I'!AF162</f>
        <v>0.11, (-0.03, 0.24)</v>
      </c>
    </row>
    <row r="163" spans="1:3" x14ac:dyDescent="0.2">
      <c r="A163" s="120" t="s">
        <v>456</v>
      </c>
      <c r="C163" s="32" t="str">
        <f>'Calc-I'!AF163</f>
        <v>0.04, (-0.06, 0.14)</v>
      </c>
    </row>
    <row r="164" spans="1:3" x14ac:dyDescent="0.2">
      <c r="A164" s="120" t="s">
        <v>457</v>
      </c>
      <c r="C164" s="32" t="str">
        <f>'Calc-I'!AF164</f>
        <v>0.1, (-0.06, 0.25)</v>
      </c>
    </row>
    <row r="165" spans="1:3" x14ac:dyDescent="0.2">
      <c r="A165" s="120" t="s">
        <v>458</v>
      </c>
      <c r="C165" s="32" t="str">
        <f>'Calc-I'!AF165</f>
        <v>0.04, (-0.06, 0.14)</v>
      </c>
    </row>
    <row r="166" spans="1:3" x14ac:dyDescent="0.2">
      <c r="A166" s="120" t="s">
        <v>459</v>
      </c>
      <c r="C166" s="32" t="str">
        <f>'Calc-I'!AF166</f>
        <v>0.05, (-0.11, 0.2)</v>
      </c>
    </row>
    <row r="167" spans="1:3" x14ac:dyDescent="0.2">
      <c r="A167" s="120" t="s">
        <v>460</v>
      </c>
      <c r="C167" s="32" t="str">
        <f>'Calc-I'!AF167</f>
        <v>0.11, (0.03, 0.19)</v>
      </c>
    </row>
    <row r="168" spans="1:3" x14ac:dyDescent="0.2">
      <c r="A168" s="120" t="s">
        <v>461</v>
      </c>
      <c r="C168" s="32" t="str">
        <f>'Calc-I'!AF168</f>
        <v>0.01, (-0.15, 0.17)</v>
      </c>
    </row>
    <row r="169" spans="1:3" x14ac:dyDescent="0.2">
      <c r="A169" s="120" t="s">
        <v>462</v>
      </c>
      <c r="C169" s="32" t="str">
        <f>'Calc-I'!AF169</f>
        <v>0.02, (-0.06, 0.1)</v>
      </c>
    </row>
    <row r="170" spans="1:3" x14ac:dyDescent="0.2">
      <c r="A170" s="120" t="s">
        <v>463</v>
      </c>
      <c r="C170" s="32" t="str">
        <f>'Calc-I'!AF170</f>
        <v>0.08, (-0.02, 0.18)</v>
      </c>
    </row>
    <row r="171" spans="1:3" x14ac:dyDescent="0.2">
      <c r="A171" s="120" t="s">
        <v>464</v>
      </c>
      <c r="C171" s="32" t="str">
        <f>'Calc-I'!AF171</f>
        <v>0.11, (0.01, 0.21)</v>
      </c>
    </row>
    <row r="172" spans="1:3" x14ac:dyDescent="0.2">
      <c r="A172" s="120" t="s">
        <v>465</v>
      </c>
      <c r="C172" s="32" t="str">
        <f>'Calc-I'!AF172</f>
        <v>0.23, (0.05, 0.39)</v>
      </c>
    </row>
    <row r="173" spans="1:3" x14ac:dyDescent="0.2">
      <c r="A173" s="120" t="s">
        <v>466</v>
      </c>
      <c r="C173" s="32" t="str">
        <f>'Calc-I'!AF173</f>
        <v>0.1, (-0.06, 0.25)</v>
      </c>
    </row>
    <row r="174" spans="1:3" x14ac:dyDescent="0.2">
      <c r="A174" s="121"/>
    </row>
    <row r="175" spans="1:3" x14ac:dyDescent="0.2">
      <c r="A175" s="120" t="s">
        <v>323</v>
      </c>
      <c r="C175" s="32" t="str">
        <f>'Calc-I'!AF175</f>
        <v>0.16, (0.1, 0.22)</v>
      </c>
    </row>
    <row r="176" spans="1:3" x14ac:dyDescent="0.2">
      <c r="A176" s="120"/>
    </row>
    <row r="177" spans="1:3" x14ac:dyDescent="0.2">
      <c r="A177" s="120" t="s">
        <v>322</v>
      </c>
      <c r="C177" s="32" t="str">
        <f>'Calc-I'!AF177</f>
        <v>0.13, (0.07, 0.19)</v>
      </c>
    </row>
    <row r="178" spans="1:3" x14ac:dyDescent="0.2">
      <c r="A178" s="121"/>
    </row>
    <row r="179" spans="1:3" x14ac:dyDescent="0.2">
      <c r="A179" s="121" t="s">
        <v>185</v>
      </c>
      <c r="C179" s="32" t="str">
        <f>'Calc-I'!AF179</f>
        <v>0.15, (0.1, 0.19)</v>
      </c>
    </row>
    <row r="180" spans="1:3" x14ac:dyDescent="0.2">
      <c r="A180" s="121"/>
    </row>
    <row r="181" spans="1:3" x14ac:dyDescent="0.2">
      <c r="A181" s="119" t="s">
        <v>327</v>
      </c>
      <c r="C181" s="32" t="str">
        <f>'Calc-I'!AF181</f>
        <v>0.15, (0.11, 0.19)</v>
      </c>
    </row>
    <row r="182" spans="1:3" x14ac:dyDescent="0.2">
      <c r="A182" s="119"/>
    </row>
    <row r="183" spans="1:3" x14ac:dyDescent="0.2">
      <c r="A183" s="119" t="s">
        <v>328</v>
      </c>
      <c r="C183" s="32" t="str">
        <f>'Calc-I'!AF183</f>
        <v>0.15, (0.12, 0.19)</v>
      </c>
    </row>
    <row r="184" spans="1:3" x14ac:dyDescent="0.2">
      <c r="A184" s="119"/>
    </row>
    <row r="185" spans="1:3" x14ac:dyDescent="0.2">
      <c r="A185" s="119" t="s">
        <v>467</v>
      </c>
      <c r="C185" s="32" t="str">
        <f>'Calc-I'!AF185</f>
        <v>0.15, (0.12, 0.18)</v>
      </c>
    </row>
  </sheetData>
  <phoneticPr fontId="17" type="noConversion"/>
  <pageMargins left="0.75" right="0.75" top="1" bottom="1" header="0.5" footer="0.5"/>
  <pageSetup scale="80" orientation="portrait" horizontalDpi="4294967292" verticalDpi="4294967292"/>
  <rowBreaks count="2" manualBreakCount="2">
    <brk id="66" max="16383" man="1"/>
    <brk id="133" max="16383" man="1"/>
  </rowBreaks>
  <colBreaks count="1" manualBreakCount="1">
    <brk id="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topLeftCell="K1" workbookViewId="0">
      <selection activeCell="U149" sqref="U149"/>
    </sheetView>
  </sheetViews>
  <sheetFormatPr defaultColWidth="10.875" defaultRowHeight="15.75" x14ac:dyDescent="0.25"/>
  <cols>
    <col min="1" max="1" width="8.625" style="2" customWidth="1"/>
    <col min="2" max="2" width="6.375" style="2" bestFit="1" customWidth="1"/>
    <col min="3" max="3" width="9.125" style="2" bestFit="1" customWidth="1"/>
    <col min="4" max="4" width="11.875" style="2" customWidth="1"/>
    <col min="5" max="5" width="6.375" style="2" bestFit="1" customWidth="1"/>
    <col min="6" max="6" width="5.125" style="2" customWidth="1"/>
    <col min="7" max="7" width="6.625" style="75" customWidth="1"/>
    <col min="8" max="8" width="6.375" style="2" customWidth="1"/>
    <col min="9" max="9" width="8.875" style="2" customWidth="1"/>
    <col min="10" max="10" width="6.5" style="2" customWidth="1"/>
    <col min="11" max="11" width="7.375" style="73" customWidth="1"/>
    <col min="12" max="12" width="9" style="2" customWidth="1"/>
    <col min="13" max="13" width="6.5" style="2" customWidth="1"/>
    <col min="14" max="14" width="6.125" style="2" customWidth="1"/>
    <col min="15" max="15" width="10.5" style="2" customWidth="1"/>
    <col min="16" max="16" width="10.875" style="2"/>
    <col min="17" max="17" width="31.5" style="2" bestFit="1" customWidth="1"/>
    <col min="18" max="18" width="15.375" style="2" customWidth="1"/>
    <col min="19" max="19" width="10.875" style="75"/>
    <col min="20" max="28" width="10.875" style="2"/>
    <col min="29" max="29" width="11.125" style="2" bestFit="1" customWidth="1"/>
    <col min="30" max="30" width="11.125" style="2" customWidth="1"/>
    <col min="31" max="31" width="11.125" style="2" bestFit="1" customWidth="1"/>
    <col min="32" max="32" width="17.125" style="2" bestFit="1" customWidth="1"/>
    <col min="33" max="33" width="11.125" style="2" bestFit="1" customWidth="1"/>
    <col min="34" max="34" width="6.375" style="2" customWidth="1"/>
    <col min="35" max="16384" width="10.875" style="2"/>
  </cols>
  <sheetData>
    <row r="1" spans="1:73" ht="14.1" customHeight="1" x14ac:dyDescent="0.25">
      <c r="A1" s="1"/>
      <c r="G1" s="123" t="s">
        <v>0</v>
      </c>
      <c r="H1" s="123"/>
      <c r="I1" s="123"/>
      <c r="J1" s="123" t="s">
        <v>0</v>
      </c>
      <c r="K1" s="123"/>
      <c r="L1" s="123"/>
      <c r="M1" s="123"/>
      <c r="N1" s="123"/>
      <c r="O1" s="123"/>
      <c r="W1" s="74"/>
      <c r="X1" s="74"/>
      <c r="Y1" s="74"/>
      <c r="Z1" s="74"/>
      <c r="AA1" s="74"/>
      <c r="AB1" s="74"/>
      <c r="AC1" s="78"/>
      <c r="AD1" s="78"/>
      <c r="AE1" s="78"/>
      <c r="AF1" s="79"/>
      <c r="AG1" s="78"/>
      <c r="AH1" s="107"/>
      <c r="AI1" s="78"/>
      <c r="AJ1" s="85"/>
    </row>
    <row r="2" spans="1:73" ht="14.1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24" t="s">
        <v>8</v>
      </c>
      <c r="H2" s="124"/>
      <c r="I2" s="124"/>
      <c r="J2" s="124" t="s">
        <v>7</v>
      </c>
      <c r="K2" s="124"/>
      <c r="L2" s="124"/>
      <c r="M2" s="124"/>
      <c r="N2" s="124"/>
      <c r="O2" s="124"/>
      <c r="AF2" s="101" t="s">
        <v>330</v>
      </c>
      <c r="AH2" s="106"/>
      <c r="AI2" s="2" t="s">
        <v>334</v>
      </c>
      <c r="AJ2" s="2" t="s">
        <v>331</v>
      </c>
      <c r="AK2" s="2" t="s">
        <v>333</v>
      </c>
      <c r="AL2" s="2" t="s">
        <v>248</v>
      </c>
      <c r="AM2" s="2" t="s">
        <v>332</v>
      </c>
    </row>
    <row r="3" spans="1:73" ht="14.1" customHeight="1" x14ac:dyDescent="0.25">
      <c r="A3" s="6" t="s">
        <v>10</v>
      </c>
      <c r="B3" s="7"/>
      <c r="C3" s="7"/>
      <c r="D3" s="7"/>
      <c r="E3" s="7"/>
      <c r="F3" s="8"/>
      <c r="G3" s="95"/>
      <c r="H3" s="9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H3" s="9"/>
      <c r="AJ3" s="2">
        <f>MODE(AJ6:AJ16,AJ27:AJ38,AJ57:AJ68,AJ77:AJ94,AJ122:AJ127,AJ156:AJ173)</f>
        <v>3</v>
      </c>
    </row>
    <row r="4" spans="1:73" ht="14.1" customHeight="1" x14ac:dyDescent="0.25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-0.17</v>
      </c>
      <c r="H4" s="15">
        <v>0.53</v>
      </c>
      <c r="I4" s="14" t="s">
        <v>16</v>
      </c>
      <c r="J4" s="12">
        <v>0.27</v>
      </c>
      <c r="K4" s="13">
        <v>0.14000000000000001</v>
      </c>
      <c r="L4" s="14" t="s">
        <v>15</v>
      </c>
      <c r="M4" s="12"/>
      <c r="N4" s="74"/>
      <c r="O4" s="14"/>
      <c r="Q4" s="2" t="str">
        <f>CONCATENATE(B8,"_",E8,"_",D8,"_",C8)</f>
        <v>EAS_Men_MMSE_PEF</v>
      </c>
      <c r="S4" s="75">
        <f>G8</f>
        <v>0.76</v>
      </c>
      <c r="T4" s="2">
        <v>182</v>
      </c>
      <c r="U4" s="102">
        <f>W4*H8/G8</f>
        <v>1.4418902507626492</v>
      </c>
      <c r="V4" s="76" t="str">
        <f>I8</f>
        <v>p=0.49</v>
      </c>
      <c r="W4" s="74">
        <f>0.5*LN((1+S4)/(1-S4))</f>
        <v>0.99621508234510314</v>
      </c>
      <c r="X4" s="74">
        <f>S4-(EXP(2*Z4)-1)/(EXP(2*Z4)+1)</f>
        <v>1.7098152945468863</v>
      </c>
      <c r="Y4" s="74">
        <f>(EXP(2*AA4)-1)/(EXP(2*AA4)+1)-S4</f>
        <v>0.23904325269953208</v>
      </c>
      <c r="Z4" s="74">
        <f>W4-AB4</f>
        <v>-1.8298898091496896</v>
      </c>
      <c r="AA4" s="74">
        <f>W4+AB4</f>
        <v>3.8223199738398956</v>
      </c>
      <c r="AB4" s="74">
        <f>1.96*U4</f>
        <v>2.8261048914947926</v>
      </c>
      <c r="AC4" s="78">
        <f>IF(W4&lt;&gt;"",ABS(W4/U4^2),"")</f>
        <v>0.47916898705962752</v>
      </c>
      <c r="AD4" s="78"/>
      <c r="AE4" s="105">
        <f>U4^-2</f>
        <v>0.48098949268230068</v>
      </c>
      <c r="AF4" s="79" t="str">
        <f>CONCATENATE(ROUND(S4,2),", (",ROUND(-(X4-S4),2),", ",ROUND(Y4+S4,2),")")</f>
        <v>0.76, (-0.95, 1)</v>
      </c>
      <c r="AG4" s="78">
        <f>AE4</f>
        <v>0.48098949268230068</v>
      </c>
      <c r="AH4" s="2">
        <f t="shared" ref="AH4:AH16" si="0">G4/H4</f>
        <v>-0.32075471698113206</v>
      </c>
      <c r="AI4" s="78">
        <f t="shared" ref="AI4:AI16" si="1">(Z4/1.96)^2*AE4</f>
        <v>0.41925024352800677</v>
      </c>
      <c r="AJ4" s="85">
        <f>ROUND(AG4/AG$22*100,0)</f>
        <v>0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ht="14.1" customHeight="1" x14ac:dyDescent="0.25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2">
        <v>0.11</v>
      </c>
      <c r="H5" s="18">
        <v>0.31</v>
      </c>
      <c r="I5" s="20" t="s">
        <v>17</v>
      </c>
      <c r="J5" s="17">
        <v>0.24</v>
      </c>
      <c r="K5" s="18">
        <v>0.11</v>
      </c>
      <c r="L5" s="14" t="s">
        <v>19</v>
      </c>
      <c r="M5" s="19"/>
      <c r="N5" s="18"/>
      <c r="O5" s="14"/>
      <c r="Q5" s="2" t="str">
        <f>CONCATENATE(B9,"_",E9,"_",D9,"_",C9)</f>
        <v>EAS_Women_MMSE_PEF</v>
      </c>
      <c r="S5" s="75">
        <f>G9</f>
        <v>7.0000000000000007E-2</v>
      </c>
      <c r="T5" s="74">
        <v>181</v>
      </c>
      <c r="U5" s="102">
        <f>W5*H9/G9</f>
        <v>0.73119585110939078</v>
      </c>
      <c r="V5" s="76" t="str">
        <f>I9</f>
        <v>p=0.92</v>
      </c>
      <c r="W5" s="74">
        <f>0.5*LN((1+S5)/(1-S5))</f>
        <v>7.0114670654325154E-2</v>
      </c>
      <c r="X5" s="74">
        <f>S5-(EXP(2*Z5)-1)/(EXP(2*Z5)+1)</f>
        <v>0.94709378259993215</v>
      </c>
      <c r="Y5" s="74">
        <f>(EXP(2*AA5)-1)/(EXP(2*AA5)+1)-S5</f>
        <v>0.83573535952070666</v>
      </c>
      <c r="Z5" s="74">
        <f>W5-AB5</f>
        <v>-1.3630291975200808</v>
      </c>
      <c r="AA5" s="74">
        <f>W5+AB5</f>
        <v>1.5032585388287312</v>
      </c>
      <c r="AB5" s="74">
        <f>1.96*U5</f>
        <v>1.433143868174406</v>
      </c>
      <c r="AC5" s="78">
        <f>IF(W5&lt;&gt;"",ABS(W5/U5^2),"")</f>
        <v>0.1311418969533491</v>
      </c>
      <c r="AD5" s="78"/>
      <c r="AE5" s="78">
        <f>U5^-2</f>
        <v>1.8703916845006157</v>
      </c>
      <c r="AF5" s="79" t="str">
        <f>CONCATENATE(ROUND(S5,2),", (",ROUND(-(X5-S5),2),", ",ROUND(Y5+S5,2),")")</f>
        <v>0.07, (-0.88, 0.91)</v>
      </c>
      <c r="AG5" s="78">
        <f t="shared" ref="AG5:AG16" si="2">AE5</f>
        <v>1.8703916845006157</v>
      </c>
      <c r="AH5" s="2">
        <f t="shared" si="0"/>
        <v>0.35483870967741937</v>
      </c>
      <c r="AI5" s="78">
        <f t="shared" si="1"/>
        <v>0.90454616825150036</v>
      </c>
      <c r="AJ5" s="85">
        <f t="shared" ref="AJ5:AJ16" si="3">ROUND(AG5/AG$22*100,0)</f>
        <v>2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ht="14.1" customHeight="1" x14ac:dyDescent="0.25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-0.36</v>
      </c>
      <c r="H6" s="15">
        <v>0.38</v>
      </c>
      <c r="I6" s="14" t="s">
        <v>25</v>
      </c>
      <c r="J6" s="12">
        <v>-0.02</v>
      </c>
      <c r="K6" s="13">
        <v>0.08</v>
      </c>
      <c r="L6" s="14" t="s">
        <v>24</v>
      </c>
      <c r="M6" s="12"/>
      <c r="N6" s="16"/>
      <c r="O6" s="14"/>
      <c r="Q6" s="2" t="str">
        <f>CONCATENATE(B4,"_",E4,"_",D4,"_",C4)</f>
        <v>OCTO_Men_Clock_PEF</v>
      </c>
      <c r="S6" s="75">
        <f>G4</f>
        <v>-0.17</v>
      </c>
      <c r="T6" s="2">
        <v>180</v>
      </c>
      <c r="U6" s="102">
        <f>W6*H4/G4</f>
        <v>0.53519606856062896</v>
      </c>
      <c r="V6" s="76" t="str">
        <f>I4</f>
        <v>p=0.74</v>
      </c>
      <c r="W6" s="74">
        <f t="shared" ref="W6:W16" si="4">0.5*LN((1+S6)/(1-S6))</f>
        <v>-0.17166666350057908</v>
      </c>
      <c r="X6" s="74">
        <f>S6-(EXP(2*Z6)-1)/(EXP(2*Z6)+1)</f>
        <v>0.6698460908489029</v>
      </c>
      <c r="Y6" s="74">
        <f t="shared" ref="Y6:Y16" si="5">(EXP(2*AA6)-1)/(EXP(2*AA6)+1)-S6</f>
        <v>0.87507298134248568</v>
      </c>
      <c r="Z6" s="74">
        <f>W6-AB6</f>
        <v>-1.2206509578794118</v>
      </c>
      <c r="AA6" s="74">
        <f>W6+AB6</f>
        <v>0.87731763087825376</v>
      </c>
      <c r="AB6" s="74">
        <f t="shared" ref="AB6:AB16" si="6">1.96*U6</f>
        <v>1.0489842943788328</v>
      </c>
      <c r="AC6" s="78">
        <f t="shared" ref="AC6:AC16" si="7">IF(W6&lt;&gt;"",ABS(W6/U6^2),"")</f>
        <v>0.5993218856105923</v>
      </c>
      <c r="AD6" s="78"/>
      <c r="AE6" s="78">
        <f t="shared" ref="AE6:AE16" si="8">U6^-2</f>
        <v>3.4911955145477074</v>
      </c>
      <c r="AF6" s="79" t="str">
        <f t="shared" ref="AF6:AF16" si="9">CONCATENATE(ROUND(S6,2),", (",ROUND(-(X6-S6),2),", ",ROUND(Y6+S6,2),")")</f>
        <v>-0.17, (-0.84, 0.71)</v>
      </c>
      <c r="AG6" s="78">
        <f t="shared" si="2"/>
        <v>3.4911955145477074</v>
      </c>
      <c r="AH6" s="2">
        <f t="shared" si="0"/>
        <v>-0.94736842105263153</v>
      </c>
      <c r="AI6" s="78">
        <f t="shared" si="1"/>
        <v>1.3540821738420665</v>
      </c>
      <c r="AJ6" s="85">
        <f t="shared" si="3"/>
        <v>4</v>
      </c>
    </row>
    <row r="7" spans="1:73" ht="14.1" customHeight="1" x14ac:dyDescent="0.25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2">
        <v>-0.24</v>
      </c>
      <c r="H7" s="18">
        <v>0.56000000000000005</v>
      </c>
      <c r="I7" s="20" t="s">
        <v>28</v>
      </c>
      <c r="J7" s="17">
        <v>0.19</v>
      </c>
      <c r="K7" s="18">
        <v>0.06</v>
      </c>
      <c r="L7" s="14" t="s">
        <v>27</v>
      </c>
      <c r="M7" s="19"/>
      <c r="N7" s="18"/>
      <c r="O7" s="14"/>
      <c r="Q7" s="2" t="str">
        <f>CONCATENATE(B5,"_",E5,"_",D5,"_",C5)</f>
        <v>OCTO_Women_Clock_PEF</v>
      </c>
      <c r="S7" s="75">
        <f>G5</f>
        <v>0.11</v>
      </c>
      <c r="T7" s="74">
        <v>179</v>
      </c>
      <c r="U7" s="102">
        <f>W7*H5/G5</f>
        <v>0.31125948995391034</v>
      </c>
      <c r="V7" s="76" t="str">
        <f>I5</f>
        <v>p=0.72</v>
      </c>
      <c r="W7" s="74">
        <f t="shared" si="4"/>
        <v>0.11044691579009722</v>
      </c>
      <c r="X7" s="74">
        <f t="shared" ref="X7:X16" si="10">S7-(EXP(2*Z7)-1)/(EXP(2*Z7)+1)</f>
        <v>0.57181957989799204</v>
      </c>
      <c r="Y7" s="74">
        <f t="shared" si="5"/>
        <v>0.50722852381172268</v>
      </c>
      <c r="Z7" s="74">
        <f t="shared" ref="Z7:Z16" si="11">W7-AB7</f>
        <v>-0.49962168451956701</v>
      </c>
      <c r="AA7" s="74">
        <f t="shared" ref="AA7:AA16" si="12">W7+AB7</f>
        <v>0.7205155160997615</v>
      </c>
      <c r="AB7" s="74">
        <f t="shared" si="6"/>
        <v>0.61006860030966426</v>
      </c>
      <c r="AC7" s="78">
        <f t="shared" si="7"/>
        <v>1.1400092884877566</v>
      </c>
      <c r="AD7" s="78"/>
      <c r="AE7" s="78">
        <f t="shared" si="8"/>
        <v>10.321784726468305</v>
      </c>
      <c r="AF7" s="79" t="str">
        <f t="shared" si="9"/>
        <v>0.11, (-0.46, 0.62)</v>
      </c>
      <c r="AG7" s="78">
        <f t="shared" si="2"/>
        <v>10.321784726468305</v>
      </c>
      <c r="AH7" s="104">
        <f t="shared" si="0"/>
        <v>-0.42857142857142849</v>
      </c>
      <c r="AI7" s="78">
        <f t="shared" si="1"/>
        <v>0.67069522281082128</v>
      </c>
      <c r="AJ7" s="85">
        <f t="shared" si="3"/>
        <v>11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ht="14.1" customHeight="1" x14ac:dyDescent="0.25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0.76</v>
      </c>
      <c r="H8" s="15">
        <v>1.1000000000000001</v>
      </c>
      <c r="I8" s="14" t="s">
        <v>33</v>
      </c>
      <c r="J8" s="12">
        <v>0.31</v>
      </c>
      <c r="K8" s="13">
        <v>0.16</v>
      </c>
      <c r="L8" s="14" t="s">
        <v>32</v>
      </c>
      <c r="M8" s="12"/>
      <c r="N8" s="16"/>
      <c r="O8" s="14"/>
      <c r="Q8" s="2" t="str">
        <f>CONCATENATE(B13,"_",E13,"_",D13,"_",C13)</f>
        <v>OCTO_Men_MMSE_PEF</v>
      </c>
      <c r="S8" s="75">
        <f>G13</f>
        <v>0.15</v>
      </c>
      <c r="T8" s="2">
        <v>178</v>
      </c>
      <c r="U8" s="102">
        <f>W8*H13/G13</f>
        <v>0.37281307530995134</v>
      </c>
      <c r="V8" s="76" t="str">
        <f>I13</f>
        <v>p=0.69</v>
      </c>
      <c r="W8" s="74">
        <f>0.5*LN((1+S8)/(1-S8))</f>
        <v>0.15114043593646675</v>
      </c>
      <c r="X8" s="74">
        <f>S8-(EXP(2*Z8)-1)/(EXP(2*Z8)+1)</f>
        <v>0.67235514729564894</v>
      </c>
      <c r="Y8" s="74">
        <f>(EXP(2*AA8)-1)/(EXP(2*AA8)+1)-S8</f>
        <v>0.55734693783748901</v>
      </c>
      <c r="Z8" s="74">
        <f>W8-AB8</f>
        <v>-0.57957319167103782</v>
      </c>
      <c r="AA8" s="74">
        <f>W8+AB8</f>
        <v>0.88185406354397133</v>
      </c>
      <c r="AB8" s="74">
        <f>1.96*U8</f>
        <v>0.73071362760750458</v>
      </c>
      <c r="AC8" s="78">
        <f>IF(W8&lt;&gt;"",ABS(W8/U8^2),"")</f>
        <v>1.0874227119538586</v>
      </c>
      <c r="AD8" s="78"/>
      <c r="AE8" s="78">
        <f>U8^-2</f>
        <v>7.194783482105124</v>
      </c>
      <c r="AF8" s="79" t="str">
        <f>CONCATENATE(ROUND(S8,2),", (",ROUND(-(X8-S8),2),", ",ROUND(Y8+S8,2),")")</f>
        <v>0.15, (-0.52, 0.71)</v>
      </c>
      <c r="AG8" s="78">
        <f t="shared" si="2"/>
        <v>7.194783482105124</v>
      </c>
      <c r="AH8" s="2">
        <f t="shared" si="0"/>
        <v>0.69090909090909081</v>
      </c>
      <c r="AI8" s="78">
        <f t="shared" si="1"/>
        <v>0.62910359057234799</v>
      </c>
      <c r="AJ8" s="85">
        <f t="shared" si="3"/>
        <v>7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ht="14.1" customHeight="1" x14ac:dyDescent="0.25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2">
        <v>7.0000000000000007E-2</v>
      </c>
      <c r="H9" s="18">
        <v>0.73</v>
      </c>
      <c r="I9" s="20" t="s">
        <v>35</v>
      </c>
      <c r="J9" s="17">
        <v>0.18</v>
      </c>
      <c r="K9" s="18">
        <v>0.1</v>
      </c>
      <c r="L9" s="14" t="s">
        <v>34</v>
      </c>
      <c r="M9" s="19"/>
      <c r="N9" s="18"/>
      <c r="O9" s="14"/>
      <c r="Q9" s="2" t="str">
        <f>CONCATENATE(B14,"_",E14,"_",D14,"_",C14)</f>
        <v>OCTO_Women_MMSE_PEF</v>
      </c>
      <c r="S9" s="75">
        <f>G14</f>
        <v>0.2</v>
      </c>
      <c r="T9" s="74">
        <v>177</v>
      </c>
      <c r="U9" s="102">
        <f>W9*H14/G14</f>
        <v>0.32437208648653137</v>
      </c>
      <c r="V9" s="76" t="str">
        <f>I14</f>
        <v>p=0.52</v>
      </c>
      <c r="W9" s="74">
        <f>0.5*LN((1+S9)/(1-S9))</f>
        <v>0.20273255405408211</v>
      </c>
      <c r="X9" s="74">
        <f>S9-(EXP(2*Z9)-1)/(EXP(2*Z9)+1)</f>
        <v>0.60785602530427718</v>
      </c>
      <c r="Y9" s="74">
        <f>(EXP(2*AA9)-1)/(EXP(2*AA9)+1)-S9</f>
        <v>0.48501472426117392</v>
      </c>
      <c r="Z9" s="74">
        <f>W9-AB9</f>
        <v>-0.43303673545951937</v>
      </c>
      <c r="AA9" s="74">
        <f>W9+AB9</f>
        <v>0.83850184356768354</v>
      </c>
      <c r="AB9" s="74">
        <f>1.96*U9</f>
        <v>0.63576928951360145</v>
      </c>
      <c r="AC9" s="78">
        <f>IF(W9&lt;&gt;"",ABS(W9/U9^2),"")</f>
        <v>1.926799579981588</v>
      </c>
      <c r="AD9" s="78"/>
      <c r="AE9" s="78">
        <f>U9^-2</f>
        <v>9.5041449508280937</v>
      </c>
      <c r="AF9" s="79" t="str">
        <f>CONCATENATE(ROUND(S9,2),", (",ROUND(-(X9-S9),2),", ",ROUND(Y9+S9,2),")")</f>
        <v>0.2, (-0.41, 0.69)</v>
      </c>
      <c r="AG9" s="78">
        <f t="shared" si="2"/>
        <v>9.5041449508280937</v>
      </c>
      <c r="AH9" s="2">
        <f t="shared" si="0"/>
        <v>9.5890410958904118E-2</v>
      </c>
      <c r="AI9" s="78">
        <f t="shared" si="1"/>
        <v>0.46392779050395666</v>
      </c>
      <c r="AJ9" s="85">
        <f t="shared" si="3"/>
        <v>10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ht="14.1" customHeight="1" x14ac:dyDescent="0.25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-0.57999999999999996</v>
      </c>
      <c r="H10" s="15">
        <v>0.79</v>
      </c>
      <c r="I10" s="14" t="s">
        <v>29</v>
      </c>
      <c r="J10" s="12">
        <v>0.04</v>
      </c>
      <c r="K10" s="13">
        <v>0.08</v>
      </c>
      <c r="L10" s="14" t="s">
        <v>28</v>
      </c>
      <c r="M10" s="12"/>
      <c r="N10" s="16"/>
      <c r="O10" s="14"/>
      <c r="Q10" s="2" t="str">
        <f>CONCATENATE(B6,"_",E6,"_",D6,"_",C6)</f>
        <v>MAP_Men_Ideas_FEV1</v>
      </c>
      <c r="S10" s="75">
        <f>G6</f>
        <v>-0.36</v>
      </c>
      <c r="T10" s="2">
        <v>176</v>
      </c>
      <c r="U10" s="102">
        <f>W10*H6/G6</f>
        <v>0.39782400680975616</v>
      </c>
      <c r="V10" s="76" t="str">
        <f>I6</f>
        <v>p=0.34</v>
      </c>
      <c r="W10" s="74">
        <f t="shared" si="4"/>
        <v>-0.37688590118819004</v>
      </c>
      <c r="X10" s="74">
        <f t="shared" si="10"/>
        <v>0.45993561293159058</v>
      </c>
      <c r="Y10" s="74">
        <f t="shared" si="5"/>
        <v>0.74238416457504286</v>
      </c>
      <c r="Z10" s="74">
        <f t="shared" si="11"/>
        <v>-1.1566209545353121</v>
      </c>
      <c r="AA10" s="74">
        <f t="shared" si="12"/>
        <v>0.40284915215893197</v>
      </c>
      <c r="AB10" s="74">
        <f t="shared" si="6"/>
        <v>0.77973505334712201</v>
      </c>
      <c r="AC10" s="78">
        <f t="shared" si="7"/>
        <v>2.3813756958756733</v>
      </c>
      <c r="AD10" s="78"/>
      <c r="AE10" s="78">
        <f t="shared" si="8"/>
        <v>6.3185587159615801</v>
      </c>
      <c r="AF10" s="79" t="str">
        <f t="shared" si="9"/>
        <v>-0.36, (-0.82, 0.38)</v>
      </c>
      <c r="AG10" s="78">
        <f t="shared" si="2"/>
        <v>6.3185587159615801</v>
      </c>
      <c r="AH10" s="2">
        <f t="shared" si="0"/>
        <v>-0.73417721518987333</v>
      </c>
      <c r="AI10" s="78">
        <f t="shared" si="1"/>
        <v>2.2003308870611393</v>
      </c>
      <c r="AJ10" s="85">
        <f t="shared" si="3"/>
        <v>6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ht="14.1" customHeight="1" x14ac:dyDescent="0.25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2">
        <v>-0.2</v>
      </c>
      <c r="H11" s="18">
        <v>0.56999999999999995</v>
      </c>
      <c r="I11" s="20" t="s">
        <v>17</v>
      </c>
      <c r="J11" s="17">
        <v>0.02</v>
      </c>
      <c r="K11" s="18">
        <v>0.06</v>
      </c>
      <c r="L11" s="14" t="s">
        <v>36</v>
      </c>
      <c r="M11" s="19"/>
      <c r="N11" s="18"/>
      <c r="O11" s="14"/>
      <c r="Q11" s="2" t="str">
        <f>CONCATENATE(B7,"_",E7,"_",D7,"_",C7)</f>
        <v>MAP_Women_Ideas_FEV1</v>
      </c>
      <c r="S11" s="75">
        <f>G7</f>
        <v>-0.24</v>
      </c>
      <c r="T11" s="74">
        <v>175</v>
      </c>
      <c r="U11" s="102">
        <f>W11*H7/G7</f>
        <v>0.57113959620515686</v>
      </c>
      <c r="V11" s="76" t="str">
        <f>I7</f>
        <v>p=0.66</v>
      </c>
      <c r="W11" s="74">
        <f t="shared" si="4"/>
        <v>-0.24477411265935289</v>
      </c>
      <c r="X11" s="74">
        <f t="shared" si="10"/>
        <v>0.6373653947894492</v>
      </c>
      <c r="Y11" s="74">
        <f t="shared" si="5"/>
        <v>0.94373377268644287</v>
      </c>
      <c r="Z11" s="74">
        <f t="shared" si="11"/>
        <v>-1.3642077212214603</v>
      </c>
      <c r="AA11" s="74">
        <f t="shared" si="12"/>
        <v>0.8746594959027546</v>
      </c>
      <c r="AB11" s="74">
        <f t="shared" si="6"/>
        <v>1.1194336085621075</v>
      </c>
      <c r="AC11" s="78">
        <f t="shared" si="7"/>
        <v>0.75037947188218235</v>
      </c>
      <c r="AD11" s="78"/>
      <c r="AE11" s="78">
        <f t="shared" si="8"/>
        <v>3.0655998043652191</v>
      </c>
      <c r="AF11" s="79" t="str">
        <f t="shared" si="9"/>
        <v>-0.24, (-0.88, 0.7)</v>
      </c>
      <c r="AG11" s="78">
        <f t="shared" si="2"/>
        <v>3.0655998043652191</v>
      </c>
      <c r="AH11" s="2">
        <f t="shared" si="0"/>
        <v>-0.35087719298245618</v>
      </c>
      <c r="AI11" s="78">
        <f t="shared" si="1"/>
        <v>1.4851294953633261</v>
      </c>
      <c r="AJ11" s="85">
        <f t="shared" si="3"/>
        <v>3</v>
      </c>
    </row>
    <row r="12" spans="1:73" ht="14.1" customHeight="1" x14ac:dyDescent="0.25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-0.12</v>
      </c>
      <c r="H12" s="15">
        <v>0.23</v>
      </c>
      <c r="I12" s="14" t="s">
        <v>40</v>
      </c>
      <c r="J12" s="12">
        <v>0.2</v>
      </c>
      <c r="K12" s="13">
        <v>7.0000000000000007E-2</v>
      </c>
      <c r="L12" s="14" t="s">
        <v>39</v>
      </c>
      <c r="M12" s="12"/>
      <c r="N12" s="16"/>
      <c r="O12" s="14"/>
      <c r="Q12" s="2" t="str">
        <f>CONCATENATE(B10,"_",E10,"_",D10,"_",C10)</f>
        <v>MAP_Men_MMSE_FEV1</v>
      </c>
      <c r="S12" s="75">
        <f>G10</f>
        <v>-0.57999999999999996</v>
      </c>
      <c r="T12" s="2">
        <v>174</v>
      </c>
      <c r="U12" s="102">
        <f>W12*H10/G10</f>
        <v>0.9023198945236578</v>
      </c>
      <c r="V12" s="76" t="str">
        <f>I10</f>
        <v>p=0.46</v>
      </c>
      <c r="W12" s="74">
        <f t="shared" si="4"/>
        <v>-0.66246270737179924</v>
      </c>
      <c r="X12" s="74">
        <f t="shared" si="10"/>
        <v>0.40464904064933738</v>
      </c>
      <c r="Y12" s="74">
        <f t="shared" si="5"/>
        <v>1.382673885826053</v>
      </c>
      <c r="Z12" s="74">
        <f t="shared" si="11"/>
        <v>-2.4310097006381683</v>
      </c>
      <c r="AA12" s="74">
        <f t="shared" si="12"/>
        <v>1.1060842858945701</v>
      </c>
      <c r="AB12" s="74">
        <f t="shared" si="6"/>
        <v>1.7685469932663693</v>
      </c>
      <c r="AC12" s="78">
        <f t="shared" si="7"/>
        <v>0.81365513455452676</v>
      </c>
      <c r="AD12" s="78"/>
      <c r="AE12" s="78">
        <f t="shared" si="8"/>
        <v>1.2282278315447464</v>
      </c>
      <c r="AF12" s="79" t="str">
        <f t="shared" si="9"/>
        <v>-0.58, (-0.98, 0.8)</v>
      </c>
      <c r="AG12" s="78">
        <f t="shared" si="2"/>
        <v>1.2282278315447464</v>
      </c>
      <c r="AH12" s="2">
        <f t="shared" si="0"/>
        <v>-0.52173913043478259</v>
      </c>
      <c r="AI12" s="78">
        <f t="shared" si="1"/>
        <v>1.8894707587589179</v>
      </c>
      <c r="AJ12" s="85">
        <f t="shared" si="3"/>
        <v>1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ht="14.1" customHeight="1" x14ac:dyDescent="0.25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0.15</v>
      </c>
      <c r="H13" s="15">
        <v>0.37</v>
      </c>
      <c r="I13" s="14" t="s">
        <v>42</v>
      </c>
      <c r="J13" s="12">
        <v>0.66</v>
      </c>
      <c r="K13" s="13">
        <v>0.14000000000000001</v>
      </c>
      <c r="L13" s="14" t="s">
        <v>27</v>
      </c>
      <c r="M13" s="12"/>
      <c r="N13" s="16"/>
      <c r="O13" s="14"/>
      <c r="Q13" s="2" t="str">
        <f>CONCATENATE(B11,"_",E11,"_",D11,"_",C11)</f>
        <v>MAP_Women_MMSE_FEV1</v>
      </c>
      <c r="S13" s="75">
        <f>G11</f>
        <v>-0.2</v>
      </c>
      <c r="T13" s="74">
        <v>173</v>
      </c>
      <c r="U13" s="102">
        <f>W13*H11/G11</f>
        <v>0.57778777905413403</v>
      </c>
      <c r="V13" s="76" t="str">
        <f>I11</f>
        <v>p=0.72</v>
      </c>
      <c r="W13" s="74">
        <f t="shared" si="4"/>
        <v>-0.20273255405408214</v>
      </c>
      <c r="X13" s="74">
        <f t="shared" si="10"/>
        <v>0.67051368886235752</v>
      </c>
      <c r="Y13" s="74">
        <f t="shared" si="5"/>
        <v>0.93046868478023281</v>
      </c>
      <c r="Z13" s="74">
        <f t="shared" si="11"/>
        <v>-1.3351966010001848</v>
      </c>
      <c r="AA13" s="74">
        <f t="shared" si="12"/>
        <v>0.92973149289202062</v>
      </c>
      <c r="AB13" s="74">
        <f t="shared" si="6"/>
        <v>1.1324640469461027</v>
      </c>
      <c r="AC13" s="78">
        <f t="shared" si="7"/>
        <v>0.60727693748881084</v>
      </c>
      <c r="AD13" s="78"/>
      <c r="AE13" s="78">
        <f t="shared" si="8"/>
        <v>2.9954584271000209</v>
      </c>
      <c r="AF13" s="79" t="str">
        <f t="shared" si="9"/>
        <v>-0.2, (-0.87, 0.73)</v>
      </c>
      <c r="AG13" s="78">
        <f t="shared" si="2"/>
        <v>2.9954584271000209</v>
      </c>
      <c r="AH13" s="2">
        <f t="shared" si="0"/>
        <v>0.40540540540540537</v>
      </c>
      <c r="AI13" s="78">
        <f t="shared" si="1"/>
        <v>1.390085745795105</v>
      </c>
      <c r="AJ13" s="85">
        <f t="shared" si="3"/>
        <v>3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ht="14.1" customHeight="1" x14ac:dyDescent="0.25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2">
        <v>0.2</v>
      </c>
      <c r="H14" s="18">
        <v>0.32</v>
      </c>
      <c r="I14" s="20" t="s">
        <v>44</v>
      </c>
      <c r="J14" s="17">
        <v>0.1</v>
      </c>
      <c r="K14" s="18">
        <v>0.13</v>
      </c>
      <c r="L14" s="14" t="s">
        <v>26</v>
      </c>
      <c r="M14" s="19"/>
      <c r="N14" s="18"/>
      <c r="O14" s="14"/>
      <c r="Q14" s="2" t="str">
        <f>CONCATENATE(B12,"_",E12,"_",D12,"_",C12)</f>
        <v>NAS_Men_MMSE_FEV1</v>
      </c>
      <c r="S14" s="75">
        <f>G12</f>
        <v>-0.12</v>
      </c>
      <c r="T14" s="2">
        <v>172</v>
      </c>
      <c r="U14" s="102">
        <f>W14*H12/G12</f>
        <v>0.2311136377828511</v>
      </c>
      <c r="V14" s="76" t="str">
        <f>I12</f>
        <v>p=0.61</v>
      </c>
      <c r="W14" s="74">
        <f t="shared" si="4"/>
        <v>-0.12058102840844405</v>
      </c>
      <c r="X14" s="74">
        <f t="shared" si="10"/>
        <v>0.39797171028597955</v>
      </c>
      <c r="Y14" s="74">
        <f t="shared" si="5"/>
        <v>0.4406771589817417</v>
      </c>
      <c r="Z14" s="74">
        <f t="shared" si="11"/>
        <v>-0.57356375846283225</v>
      </c>
      <c r="AA14" s="74">
        <f t="shared" si="12"/>
        <v>0.33240170164594413</v>
      </c>
      <c r="AB14" s="74">
        <f t="shared" si="6"/>
        <v>0.45298273005438816</v>
      </c>
      <c r="AC14" s="78">
        <f t="shared" si="7"/>
        <v>2.2575004030051931</v>
      </c>
      <c r="AD14" s="78"/>
      <c r="AE14" s="78">
        <f t="shared" si="8"/>
        <v>18.721853950012463</v>
      </c>
      <c r="AF14" s="79" t="str">
        <f t="shared" si="9"/>
        <v>-0.12, (-0.52, 0.32)</v>
      </c>
      <c r="AG14" s="78">
        <f t="shared" si="2"/>
        <v>18.721853950012463</v>
      </c>
      <c r="AH14" s="2">
        <f t="shared" si="0"/>
        <v>0.625</v>
      </c>
      <c r="AI14" s="78">
        <f t="shared" si="1"/>
        <v>1.6032458120395645</v>
      </c>
      <c r="AJ14" s="85">
        <f t="shared" si="3"/>
        <v>19</v>
      </c>
    </row>
    <row r="15" spans="1:73" ht="14.1" customHeight="1" x14ac:dyDescent="0.25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0.35</v>
      </c>
      <c r="H15" s="15">
        <v>0.3</v>
      </c>
      <c r="I15" s="14" t="s">
        <v>48</v>
      </c>
      <c r="J15" s="12">
        <v>0.16</v>
      </c>
      <c r="K15" s="13">
        <v>0.12</v>
      </c>
      <c r="L15" s="14" t="s">
        <v>47</v>
      </c>
      <c r="M15" s="12"/>
      <c r="N15" s="16"/>
      <c r="O15" s="14"/>
      <c r="Q15" s="2" t="str">
        <f>CONCATENATE(B15,"_",E15,"_",D15,"_",C15)</f>
        <v>SATSA_Men_MMSE_FEV1</v>
      </c>
      <c r="S15" s="75">
        <f>G15</f>
        <v>0.35</v>
      </c>
      <c r="T15" s="74">
        <v>171</v>
      </c>
      <c r="U15" s="102">
        <f>W15*H15/G15</f>
        <v>0.31323750366119674</v>
      </c>
      <c r="V15" s="76" t="str">
        <f>I15</f>
        <v>p=0.24</v>
      </c>
      <c r="W15" s="74">
        <f t="shared" si="4"/>
        <v>0.36544375427139619</v>
      </c>
      <c r="X15" s="74">
        <f t="shared" si="10"/>
        <v>0.59350977195051957</v>
      </c>
      <c r="Y15" s="74">
        <f t="shared" si="5"/>
        <v>0.4028013995729447</v>
      </c>
      <c r="Z15" s="74">
        <f t="shared" si="11"/>
        <v>-0.24850175290454946</v>
      </c>
      <c r="AA15" s="74">
        <f t="shared" si="12"/>
        <v>0.97938926144734184</v>
      </c>
      <c r="AB15" s="74">
        <f t="shared" si="6"/>
        <v>0.61394550717594565</v>
      </c>
      <c r="AC15" s="78">
        <f t="shared" si="7"/>
        <v>3.7245433673502717</v>
      </c>
      <c r="AD15" s="78"/>
      <c r="AE15" s="78">
        <f t="shared" si="8"/>
        <v>10.191837523057641</v>
      </c>
      <c r="AF15" s="79" t="str">
        <f t="shared" si="9"/>
        <v>0.35, (-0.24, 0.75)</v>
      </c>
      <c r="AG15" s="78">
        <f t="shared" si="2"/>
        <v>10.191837523057641</v>
      </c>
      <c r="AH15" s="2">
        <f t="shared" si="0"/>
        <v>1.1666666666666667</v>
      </c>
      <c r="AI15" s="78">
        <f t="shared" si="1"/>
        <v>0.16383219954648531</v>
      </c>
      <c r="AJ15" s="85">
        <f t="shared" si="3"/>
        <v>10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ht="14.1" customHeight="1" x14ac:dyDescent="0.25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2">
        <v>0.36</v>
      </c>
      <c r="H16" s="18">
        <v>0.2</v>
      </c>
      <c r="I16" s="20" t="s">
        <v>37</v>
      </c>
      <c r="J16" s="17">
        <v>-7.0000000000000007E-2</v>
      </c>
      <c r="K16" s="18">
        <v>0.18</v>
      </c>
      <c r="L16" s="14" t="s">
        <v>17</v>
      </c>
      <c r="M16" s="19"/>
      <c r="N16" s="18"/>
      <c r="O16" s="14"/>
      <c r="Q16" s="2" t="str">
        <f>CONCATENATE(B16,"_",E16,"_",D16,"_",C16)</f>
        <v>SATSA_Women_MMSE_FEV1</v>
      </c>
      <c r="S16" s="75">
        <f>G16</f>
        <v>0.36</v>
      </c>
      <c r="T16" s="2">
        <v>170</v>
      </c>
      <c r="U16" s="102">
        <f>W16*H16/G16</f>
        <v>0.20938105621566114</v>
      </c>
      <c r="V16" s="76" t="str">
        <f>I16</f>
        <v>p=0.07^</v>
      </c>
      <c r="W16" s="74">
        <f t="shared" si="4"/>
        <v>0.37688590118818999</v>
      </c>
      <c r="X16" s="74">
        <f t="shared" si="10"/>
        <v>0.39348844173913378</v>
      </c>
      <c r="Y16" s="74">
        <f t="shared" si="5"/>
        <v>0.29686129230136205</v>
      </c>
      <c r="Z16" s="74">
        <f t="shared" si="11"/>
        <v>-3.3500968994505831E-2</v>
      </c>
      <c r="AA16" s="74">
        <f t="shared" si="12"/>
        <v>0.7872727713708858</v>
      </c>
      <c r="AB16" s="74">
        <f t="shared" si="6"/>
        <v>0.41038687018269582</v>
      </c>
      <c r="AC16" s="78">
        <f t="shared" si="7"/>
        <v>8.5967662621111796</v>
      </c>
      <c r="AD16" s="78"/>
      <c r="AE16" s="78">
        <f t="shared" si="8"/>
        <v>22.809996964621305</v>
      </c>
      <c r="AF16" s="79" t="str">
        <f t="shared" si="9"/>
        <v>0.36, (-0.03, 0.66)</v>
      </c>
      <c r="AG16" s="78">
        <f t="shared" si="2"/>
        <v>22.809996964621305</v>
      </c>
      <c r="AH16" s="2">
        <f t="shared" si="0"/>
        <v>1.7999999999999998</v>
      </c>
      <c r="AI16" s="78">
        <f t="shared" si="1"/>
        <v>6.6638900458142651E-3</v>
      </c>
      <c r="AJ16" s="85">
        <f t="shared" si="3"/>
        <v>23</v>
      </c>
      <c r="AQ16" s="2" t="s">
        <v>217</v>
      </c>
      <c r="BB16" s="2" t="s">
        <v>217</v>
      </c>
      <c r="BM16" s="2" t="s">
        <v>217</v>
      </c>
    </row>
    <row r="17" spans="1:75" x14ac:dyDescent="0.25">
      <c r="A17" s="10"/>
      <c r="B17" s="11"/>
      <c r="C17" s="11"/>
      <c r="D17" s="11"/>
      <c r="E17" s="11"/>
      <c r="F17" s="11"/>
      <c r="G17" s="12"/>
      <c r="H17" s="18"/>
      <c r="I17" s="20"/>
      <c r="J17" s="17"/>
      <c r="K17" s="18"/>
      <c r="L17" s="14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18"/>
      <c r="AI17" s="78"/>
      <c r="AJ17" s="85"/>
    </row>
    <row r="18" spans="1:75" x14ac:dyDescent="0.25">
      <c r="A18" s="10"/>
      <c r="B18" s="11"/>
      <c r="C18" s="11"/>
      <c r="D18" s="11"/>
      <c r="E18" s="11"/>
      <c r="F18" s="11"/>
      <c r="G18" s="12"/>
      <c r="H18" s="18"/>
      <c r="I18" s="20"/>
      <c r="J18" s="17"/>
      <c r="K18" s="18"/>
      <c r="L18" s="14"/>
      <c r="M18" s="19"/>
      <c r="N18" s="18"/>
      <c r="O18" s="14"/>
      <c r="Q18" s="2" t="s">
        <v>323</v>
      </c>
      <c r="S18" s="84">
        <f>(EXP(2*AD18)-1)/(EXP(2*AD18)+1)</f>
        <v>0.23375774640182209</v>
      </c>
      <c r="T18" s="2">
        <v>168</v>
      </c>
      <c r="U18" s="103">
        <f>1/SQRT(AD18*AE18)</f>
        <v>0.29691781786346233</v>
      </c>
      <c r="V18" s="80">
        <f>1/SQRT(AE18)</f>
        <v>0.14490098944554317</v>
      </c>
      <c r="W18" s="74">
        <f>0.5*LN((1+S18)/(1-S18))</f>
        <v>0.23816074588523656</v>
      </c>
      <c r="X18" s="74">
        <f>S18-(EXP(2*Z18)-1)/(EXP(2*Z18)+1)</f>
        <v>0.56462176770814176</v>
      </c>
      <c r="Y18" s="74">
        <f>(EXP(2*AA18)-1)/(EXP(2*AA18)+1)-S18</f>
        <v>0.44137725664216976</v>
      </c>
      <c r="Z18" s="74">
        <f>W18-AB18</f>
        <v>-0.34379817712714961</v>
      </c>
      <c r="AA18" s="74">
        <f>W18+AB18</f>
        <v>0.82011966889762267</v>
      </c>
      <c r="AB18" s="74">
        <f>1.96*U18</f>
        <v>0.58195892301238616</v>
      </c>
      <c r="AC18" s="78">
        <f>SUM(AC10,AC4,AC12,AC14,AC15,AC8,AC6)</f>
        <v>11.342988185409745</v>
      </c>
      <c r="AD18" s="78">
        <f>AC18/AE18</f>
        <v>0.23816074588523659</v>
      </c>
      <c r="AE18" s="105">
        <f>SUM(AE10,AE4,AE12,AE14,AE15,AE8,AE6)</f>
        <v>47.627446509911557</v>
      </c>
      <c r="AF18" s="79" t="str">
        <f>CONCATENATE(ROUND(S18,2),", (",ROUND(-(X18-S18),2),", ",ROUND(Y18+S18,2),")")</f>
        <v>0.23, (-0.33, 0.68)</v>
      </c>
      <c r="AG18" s="78">
        <f>SUM(AG10,AG4,AG12,AG14,AG15,AG8,AG6)</f>
        <v>47.627446509911557</v>
      </c>
      <c r="AH18" s="18"/>
      <c r="AI18" s="78">
        <f>SUM(AI10,AI4,AI12,AI14,AI15,AI8,AI6)</f>
        <v>8.2593156653485291</v>
      </c>
      <c r="AJ18"/>
      <c r="AK18" s="81">
        <f>AK22-AK20</f>
        <v>7</v>
      </c>
      <c r="AL18">
        <f>CHIDIST(AI18,AK18-1)</f>
        <v>0.21971413275984675</v>
      </c>
      <c r="AM18" s="82">
        <f>IF((AI18-AK18+1)/AI18&lt;0,0,(AI18-AK18+1)/AI18)</f>
        <v>0.27354756215788611</v>
      </c>
      <c r="AN18" s="74"/>
      <c r="AO18" s="77">
        <f>S18-Y18</f>
        <v>-0.20761951024034767</v>
      </c>
      <c r="AP18">
        <f>S18+Z18</f>
        <v>-0.11004043072532751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5">
      <c r="A19" s="10"/>
      <c r="B19" s="11"/>
      <c r="C19" s="11"/>
      <c r="D19" s="11"/>
      <c r="E19" s="11"/>
      <c r="F19" s="11"/>
      <c r="G19" s="12"/>
      <c r="H19" s="18"/>
      <c r="I19" s="20"/>
      <c r="J19" s="17"/>
      <c r="K19" s="18"/>
      <c r="L19" s="14"/>
      <c r="M19" s="19"/>
      <c r="N19" s="18"/>
      <c r="O19" s="14"/>
      <c r="T19" s="74">
        <v>167</v>
      </c>
      <c r="U19" s="75"/>
      <c r="AH19" s="18"/>
    </row>
    <row r="20" spans="1:75" x14ac:dyDescent="0.25">
      <c r="A20" s="10"/>
      <c r="B20" s="11"/>
      <c r="C20" s="11"/>
      <c r="D20" s="11"/>
      <c r="E20" s="11"/>
      <c r="F20" s="11"/>
      <c r="G20" s="12"/>
      <c r="H20" s="18"/>
      <c r="I20" s="20"/>
      <c r="J20" s="17"/>
      <c r="K20" s="18"/>
      <c r="L20" s="14"/>
      <c r="M20" s="19"/>
      <c r="N20" s="18"/>
      <c r="O20" s="14"/>
      <c r="Q20" s="2" t="s">
        <v>322</v>
      </c>
      <c r="S20" s="84">
        <f>(EXP(2*AD20)-1)/(EXP(2*AD20)+1)</f>
        <v>0.25438534215138275</v>
      </c>
      <c r="T20" s="2">
        <v>166</v>
      </c>
      <c r="U20" s="103">
        <f>1/SQRT(AD20*AE20)</f>
        <v>0.27573883371068747</v>
      </c>
      <c r="V20" s="80">
        <f>1/SQRT(AE20)</f>
        <v>0.14062572954612607</v>
      </c>
      <c r="W20" s="74">
        <f>0.5*LN((1+S20)/(1-S20))</f>
        <v>0.26009602103541174</v>
      </c>
      <c r="X20" s="74">
        <f>S20-(EXP(2*Z20)-1)/(EXP(2*Z20)+1)</f>
        <v>0.52761626153180452</v>
      </c>
      <c r="Y20" s="74">
        <f>(EXP(2*AA20)-1)/(EXP(2*AA20)+1)-S20</f>
        <v>0.40995551975459676</v>
      </c>
      <c r="Z20" s="74">
        <f>W20-AB20</f>
        <v>-0.28035209303753572</v>
      </c>
      <c r="AA20" s="74">
        <f>W20+AB20</f>
        <v>0.8005441351083592</v>
      </c>
      <c r="AB20" s="74">
        <f>1.96*U20</f>
        <v>0.54044811407294746</v>
      </c>
      <c r="AC20" s="78">
        <f>SUM(AC7,AC11,AC5,AC13,AC9,AC16)</f>
        <v>13.152373436904867</v>
      </c>
      <c r="AD20" s="78">
        <f>AC20/AE20</f>
        <v>0.26009602103541168</v>
      </c>
      <c r="AE20" s="78">
        <f>SUM(AE7,AE11,AE5,AE13,AE9,AE16)</f>
        <v>50.567376557883563</v>
      </c>
      <c r="AF20" s="79" t="str">
        <f>CONCATENATE(ROUND(S20,2),", (",ROUND(-(X20-S20),2),", ",ROUND(Y20+S20,2),")")</f>
        <v>0.25, (-0.27, 0.66)</v>
      </c>
      <c r="AG20" s="78">
        <f>SUM(AG7,AG11,AG5,AG13,AG9,AG16)</f>
        <v>50.567376557883563</v>
      </c>
      <c r="AH20" s="18"/>
      <c r="AI20" s="78">
        <f>SUM(AI7,AI11,AI5,AI13,AI9,AI16)</f>
        <v>4.9210483127705231</v>
      </c>
      <c r="AJ20"/>
      <c r="AK20" s="81">
        <f>COUNT(AI7,AI11,AI5,AI13,AI9,AI16)</f>
        <v>6</v>
      </c>
      <c r="AL20">
        <f>CHIDIST(AI20,AK20-1)</f>
        <v>0.42559143341184036</v>
      </c>
      <c r="AM20" s="82">
        <f>IF((AI20-AK20+1)/AI20&lt;0,0,(AI20-AK20+1)/AI20)</f>
        <v>0</v>
      </c>
      <c r="AN20" s="74"/>
      <c r="AO20" s="77">
        <f>S20-Y20</f>
        <v>-0.15557017760321401</v>
      </c>
      <c r="AP20">
        <f>S20+Z20</f>
        <v>-2.5966750886152967E-2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5">
      <c r="A21" s="10"/>
      <c r="B21" s="11"/>
      <c r="C21" s="11"/>
      <c r="D21" s="11"/>
      <c r="E21" s="11"/>
      <c r="F21" s="11"/>
      <c r="G21" s="12"/>
      <c r="H21" s="18"/>
      <c r="I21" s="20"/>
      <c r="J21" s="17"/>
      <c r="K21" s="18"/>
      <c r="L21" s="14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1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5">
      <c r="A22" s="10"/>
      <c r="B22" s="11"/>
      <c r="C22" s="11"/>
      <c r="D22" s="11"/>
      <c r="E22" s="11"/>
      <c r="F22" s="11"/>
      <c r="G22" s="12"/>
      <c r="H22" s="18"/>
      <c r="I22" s="20"/>
      <c r="J22" s="17"/>
      <c r="K22" s="18"/>
      <c r="L22" s="14"/>
      <c r="M22" s="19"/>
      <c r="N22" s="18"/>
      <c r="O22" s="14"/>
      <c r="Q22" s="2" t="s">
        <v>324</v>
      </c>
      <c r="S22" s="84">
        <f>(EXP(2*AD22)-1)/(EXP(2*AD22)+1)</f>
        <v>0.24440793328157528</v>
      </c>
      <c r="T22" s="2">
        <v>164</v>
      </c>
      <c r="U22" s="103">
        <f>1/SQRT(AD22*AE22)</f>
        <v>0.20204963598971409</v>
      </c>
      <c r="V22" s="80">
        <f>1/SQRT(AE22)</f>
        <v>0.10091499523377982</v>
      </c>
      <c r="W22" s="74">
        <f>0.5*LN((1+S22)/(1-S22))</f>
        <v>0.24945675196545414</v>
      </c>
      <c r="X22" s="74">
        <f>S22-(EXP(2*Z22)-1)/(EXP(2*Z22)+1)</f>
        <v>0.38992803339786819</v>
      </c>
      <c r="Y22" s="74">
        <f>(EXP(2*AA22)-1)/(EXP(2*AA22)+1)-S22</f>
        <v>0.3242073023529819</v>
      </c>
      <c r="Z22" s="74">
        <f>W22-AB22</f>
        <v>-0.1465605345743855</v>
      </c>
      <c r="AA22" s="74">
        <f>W22+AB22</f>
        <v>0.64547403850529372</v>
      </c>
      <c r="AB22" s="74">
        <f>1.96*U22</f>
        <v>0.39601728653983964</v>
      </c>
      <c r="AC22" s="78">
        <f>SUM(AC4:AC16)</f>
        <v>24.495361622314611</v>
      </c>
      <c r="AD22" s="78">
        <f>AC22/AE22</f>
        <v>0.24945675196545405</v>
      </c>
      <c r="AE22" s="78">
        <f>SUM(AE4:AE16)</f>
        <v>98.194823067795113</v>
      </c>
      <c r="AF22" s="79" t="str">
        <f>CONCATENATE(ROUND(S22,2),", (",ROUND(-(X22-S22),2),", ",ROUND(Y22+S22,2),")")</f>
        <v>0.24, (-0.15, 0.57)</v>
      </c>
      <c r="AG22" s="78">
        <f>SUM(AG4:AG16)</f>
        <v>98.194823067795113</v>
      </c>
      <c r="AH22" s="18"/>
      <c r="AI22" s="78">
        <f>SUM(AI4:AI16)</f>
        <v>13.180363978119052</v>
      </c>
      <c r="AJ22"/>
      <c r="AK22" s="81">
        <f>COUNT(AI4:AI16)</f>
        <v>13</v>
      </c>
      <c r="AL22">
        <f>CHIDIST(AI22,AK22-1)</f>
        <v>0.35606855843178142</v>
      </c>
      <c r="AM22" s="82">
        <f>IF((AI22-AK22+1)/AI22&lt;0,0,(AI22-AK22+1)/AI22)</f>
        <v>8.9554733092241962E-2</v>
      </c>
      <c r="AN22" s="74"/>
      <c r="AO22" s="77">
        <f>S22-Y22</f>
        <v>-7.9799369071406612E-2</v>
      </c>
      <c r="AP22">
        <f>S22+Z22</f>
        <v>9.7847398707189781E-2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5">
      <c r="A23" s="10" t="s">
        <v>50</v>
      </c>
      <c r="B23" s="11"/>
      <c r="C23" s="11"/>
      <c r="D23" s="11"/>
      <c r="E23" s="11"/>
      <c r="F23" s="11"/>
      <c r="G23" s="12"/>
      <c r="H23" s="18"/>
      <c r="I23" s="20"/>
      <c r="J23" s="17"/>
      <c r="K23" s="18"/>
      <c r="L23" s="14"/>
      <c r="M23" s="19"/>
      <c r="N23" s="18"/>
      <c r="O23" s="14"/>
      <c r="T23" s="74">
        <v>163</v>
      </c>
      <c r="U23" s="75"/>
      <c r="AH23" s="18"/>
      <c r="AQ23" s="2" t="s">
        <v>227</v>
      </c>
      <c r="BB23" s="2" t="s">
        <v>227</v>
      </c>
      <c r="BM23" s="2" t="s">
        <v>227</v>
      </c>
    </row>
    <row r="24" spans="1:75" x14ac:dyDescent="0.25">
      <c r="A24" s="10"/>
      <c r="B24" s="11"/>
      <c r="C24" s="11"/>
      <c r="D24" s="11"/>
      <c r="E24" s="11"/>
      <c r="F24" s="11"/>
      <c r="G24" s="12"/>
      <c r="H24" s="18"/>
      <c r="I24" s="20"/>
      <c r="J24" s="12">
        <v>0.16</v>
      </c>
      <c r="K24" s="13">
        <v>0.04</v>
      </c>
      <c r="L24" s="14" t="s">
        <v>27</v>
      </c>
      <c r="M24" s="19"/>
      <c r="N24" s="18"/>
      <c r="O24" s="14"/>
      <c r="Q24" s="1" t="s">
        <v>50</v>
      </c>
      <c r="T24" s="2">
        <v>162</v>
      </c>
      <c r="U24" s="75"/>
      <c r="AH24" s="18"/>
    </row>
    <row r="25" spans="1:75" x14ac:dyDescent="0.25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0.18</v>
      </c>
      <c r="H25" s="15">
        <v>0.12</v>
      </c>
      <c r="I25" s="14" t="s">
        <v>53</v>
      </c>
      <c r="J25" s="17">
        <v>0.22</v>
      </c>
      <c r="K25" s="18">
        <v>0.04</v>
      </c>
      <c r="L25" s="14" t="s">
        <v>27</v>
      </c>
      <c r="M25" s="12"/>
      <c r="N25" s="16"/>
      <c r="O25" s="14"/>
      <c r="Q25" s="2" t="str">
        <f>CONCATENATE(B31,"_",E31,"_",D31,"_",C31)</f>
        <v>EAS_Men_Symbol_PEF</v>
      </c>
      <c r="S25" s="75">
        <f>G31</f>
        <v>0.67</v>
      </c>
      <c r="T25" s="74">
        <v>161</v>
      </c>
      <c r="U25" s="102">
        <f>W25*H31/G31</f>
        <v>0.38722059724185665</v>
      </c>
      <c r="V25" s="76" t="str">
        <f>I31</f>
        <v>p=0.04 *</v>
      </c>
      <c r="W25" s="74">
        <f>0.5*LN((1+S25)/(1-S25))</f>
        <v>0.81074312547513749</v>
      </c>
      <c r="X25" s="74">
        <f>S25-(EXP(2*Z25)-1)/(EXP(2*Z25)+1)</f>
        <v>0.61825550129890339</v>
      </c>
      <c r="Y25" s="74">
        <f>(EXP(2*AA25)-1)/(EXP(2*AA25)+1)-S25</f>
        <v>0.24697731233126785</v>
      </c>
      <c r="Z25" s="74">
        <f>W25-AB25</f>
        <v>5.1790754881098522E-2</v>
      </c>
      <c r="AA25" s="74">
        <f>W25+AB25</f>
        <v>1.5696954960691765</v>
      </c>
      <c r="AB25" s="74">
        <f>1.96*U25</f>
        <v>0.75895237059403897</v>
      </c>
      <c r="AC25" s="78">
        <f>IF(W25&lt;&gt;"",ABS(W25/U25^2),"")</f>
        <v>5.4071245561667558</v>
      </c>
      <c r="AD25" s="78"/>
      <c r="AE25" s="78">
        <f>U25^-2</f>
        <v>6.6693436999516962</v>
      </c>
      <c r="AF25" s="79" t="str">
        <f>CONCATENATE(ROUND(S25,2),", (",ROUND(-(X25-S25),2),", ",ROUND(Y25+S25,2),")")</f>
        <v>0.67, (0.05, 0.92)</v>
      </c>
      <c r="AG25" s="78">
        <f t="shared" ref="AG25:AG38" si="13">1.96/AB25</f>
        <v>2.5825072507065099</v>
      </c>
      <c r="AH25" s="2">
        <f t="shared" ref="AH25:AH38" si="14">G25/H25</f>
        <v>1.5</v>
      </c>
      <c r="AI25" s="78">
        <f>(Z25/1.96)^2*AE25</f>
        <v>4.6566697469804606E-3</v>
      </c>
      <c r="AJ25" s="85">
        <f t="shared" ref="AJ25:AJ38" si="15">ROUND(AG25/AG$44*100,0)</f>
        <v>5</v>
      </c>
      <c r="AR25" s="2" t="s">
        <v>228</v>
      </c>
      <c r="BC25" s="2" t="s">
        <v>228</v>
      </c>
      <c r="BN25" s="2" t="s">
        <v>228</v>
      </c>
    </row>
    <row r="26" spans="1:75" x14ac:dyDescent="0.25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2">
        <v>-0.03</v>
      </c>
      <c r="H26" s="18">
        <v>0.3</v>
      </c>
      <c r="I26" s="20" t="s">
        <v>35</v>
      </c>
      <c r="J26" s="12">
        <v>0.02</v>
      </c>
      <c r="K26" s="13">
        <v>7.0000000000000007E-2</v>
      </c>
      <c r="L26" s="14" t="s">
        <v>55</v>
      </c>
      <c r="M26" s="19"/>
      <c r="N26" s="18"/>
      <c r="O26" s="14"/>
      <c r="Q26" s="2" t="str">
        <f>CONCATENATE(B32,"_",E32,"_",D32,"_",C32)</f>
        <v>EAS_Women_Symbol_PEF</v>
      </c>
      <c r="S26" s="75">
        <f>G32</f>
        <v>0.46</v>
      </c>
      <c r="T26" s="2">
        <v>160</v>
      </c>
      <c r="U26" s="102">
        <f>W26*H32/G32</f>
        <v>0.27027787368045159</v>
      </c>
      <c r="V26" s="76" t="str">
        <f>I32</f>
        <v>p=0.07^</v>
      </c>
      <c r="W26" s="74">
        <f>0.5*LN((1+S26)/(1-S26))</f>
        <v>0.49731128757203097</v>
      </c>
      <c r="X26" s="74">
        <f>S26-(EXP(2*Z26)-1)/(EXP(2*Z26)+1)</f>
        <v>0.49242197717667008</v>
      </c>
      <c r="Y26" s="74">
        <f>(EXP(2*AA26)-1)/(EXP(2*AA26)+1)-S26</f>
        <v>0.31272487676977273</v>
      </c>
      <c r="Z26" s="74">
        <f>W26-AB26</f>
        <v>-3.243334484165411E-2</v>
      </c>
      <c r="AA26" s="74">
        <f>W26+AB26</f>
        <v>1.0270559199857161</v>
      </c>
      <c r="AB26" s="74">
        <f>1.96*U26</f>
        <v>0.52974463241368508</v>
      </c>
      <c r="AC26" s="78">
        <f>IF(W26&lt;&gt;"",ABS(W26/U26^2),"")</f>
        <v>6.8078084785268977</v>
      </c>
      <c r="AD26" s="78"/>
      <c r="AE26" s="78">
        <f>U26^-2</f>
        <v>13.689229761431564</v>
      </c>
      <c r="AF26" s="79" t="str">
        <f>CONCATENATE(ROUND(S26,2),", (",ROUND(-(X26-S26),2),", ",ROUND(Y26+S26,2),")")</f>
        <v>0.46, (-0.03, 0.77)</v>
      </c>
      <c r="AG26" s="78">
        <f t="shared" si="13"/>
        <v>3.6998959122428792</v>
      </c>
      <c r="AH26" s="2">
        <f t="shared" si="14"/>
        <v>-0.1</v>
      </c>
      <c r="AI26" s="78">
        <f>(Z26/1.96)^2*AE26</f>
        <v>3.7484381507704931E-3</v>
      </c>
      <c r="AJ26" s="85">
        <f t="shared" si="15"/>
        <v>7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x14ac:dyDescent="0.25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-0.75</v>
      </c>
      <c r="H27" s="15">
        <v>0.49</v>
      </c>
      <c r="I27" s="14" t="s">
        <v>53</v>
      </c>
      <c r="J27" s="17">
        <v>0.17</v>
      </c>
      <c r="K27" s="18">
        <v>0.04</v>
      </c>
      <c r="L27" s="14" t="s">
        <v>27</v>
      </c>
      <c r="M27" s="12"/>
      <c r="N27" s="16"/>
      <c r="O27" s="14"/>
      <c r="Q27" s="2" t="str">
        <f>CONCATENATE(B25,"_",E25,"_",D25,"_",C25)</f>
        <v>LASA_Men_Coding_PEF</v>
      </c>
      <c r="S27" s="75">
        <f>G25</f>
        <v>0.18</v>
      </c>
      <c r="T27" s="74">
        <v>159</v>
      </c>
      <c r="U27" s="102">
        <f>W27/G25*H25</f>
        <v>0.12132179240047049</v>
      </c>
      <c r="V27" s="76" t="str">
        <f>I25</f>
        <v>p=0.13</v>
      </c>
      <c r="W27" s="74">
        <f t="shared" ref="W27:W38" si="16">0.5*LN((1+S27)/(1-S27))</f>
        <v>0.18198268860070574</v>
      </c>
      <c r="X27" s="74">
        <f t="shared" ref="X27:X38" si="17">S27-(EXP(2*Z27)-1)/(EXP(2*Z27)+1)</f>
        <v>0.23575015790117482</v>
      </c>
      <c r="Y27" s="74">
        <f t="shared" ref="Y27:Y38" si="18">(EXP(2*AA27)-1)/(EXP(2*AA27)+1)-S27</f>
        <v>0.21673951795751312</v>
      </c>
      <c r="Z27" s="74">
        <f t="shared" ref="Z27:Z38" si="19">W27-AB27</f>
        <v>-5.5808024504216402E-2</v>
      </c>
      <c r="AA27" s="74">
        <f t="shared" ref="AA27:AA38" si="20">W27+AB27</f>
        <v>0.41977340170562788</v>
      </c>
      <c r="AB27" s="74">
        <f t="shared" ref="AB27:AB38" si="21">1.96*U27</f>
        <v>0.23779071310492214</v>
      </c>
      <c r="AC27" s="78">
        <f t="shared" ref="AC27:AC38" si="22">IF(W27&lt;&gt;"",ABS(W27/U27^2),"")</f>
        <v>12.363813378627459</v>
      </c>
      <c r="AD27" s="78"/>
      <c r="AE27" s="78">
        <f t="shared" ref="AE27:AE38" si="23">U27^-2</f>
        <v>67.939502782901016</v>
      </c>
      <c r="AF27" s="79" t="str">
        <f t="shared" ref="AF27:AF38" si="24">CONCATENATE(ROUND(S27,2),", (",ROUND(-(X27-S27),2),", ",ROUND(Y27+S27,2),")")</f>
        <v>0.18, (-0.06, 0.4)</v>
      </c>
      <c r="AG27" s="78">
        <f t="shared" si="13"/>
        <v>8.2425422524183052</v>
      </c>
      <c r="AH27" s="2">
        <f t="shared" si="14"/>
        <v>-1.5306122448979591</v>
      </c>
      <c r="AI27" s="78">
        <f>(Z27/1.96)^2*AE27</f>
        <v>5.5081216159933312E-2</v>
      </c>
      <c r="AJ27" s="85">
        <f t="shared" si="15"/>
        <v>16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x14ac:dyDescent="0.25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2">
        <v>-0.1</v>
      </c>
      <c r="H28" s="18">
        <v>0.6</v>
      </c>
      <c r="I28" s="20" t="s">
        <v>57</v>
      </c>
      <c r="J28" s="12">
        <v>0.36</v>
      </c>
      <c r="K28" s="13">
        <v>0.12</v>
      </c>
      <c r="L28" s="14" t="s">
        <v>45</v>
      </c>
      <c r="M28" s="19"/>
      <c r="N28" s="18"/>
      <c r="O28" s="14"/>
      <c r="Q28" s="2" t="str">
        <f>CONCATENATE(B26,"_",E26,"_",D26,"_",C26)</f>
        <v>LASA_Women_Coding_PEF</v>
      </c>
      <c r="S28" s="75">
        <f>G26</f>
        <v>-0.03</v>
      </c>
      <c r="T28" s="2">
        <v>158</v>
      </c>
      <c r="U28" s="102">
        <f>W28/G26*H26</f>
        <v>0.3000900486312652</v>
      </c>
      <c r="V28" s="76" t="str">
        <f>I26</f>
        <v>p=0.92</v>
      </c>
      <c r="W28" s="74">
        <f t="shared" si="16"/>
        <v>-3.000900486312652E-2</v>
      </c>
      <c r="X28" s="74">
        <f t="shared" si="17"/>
        <v>0.51986340544851739</v>
      </c>
      <c r="Y28" s="74">
        <f t="shared" si="18"/>
        <v>0.53661652076664468</v>
      </c>
      <c r="Z28" s="74">
        <f t="shared" si="19"/>
        <v>-0.6181855001804063</v>
      </c>
      <c r="AA28" s="74">
        <f t="shared" si="20"/>
        <v>0.55816749045415326</v>
      </c>
      <c r="AB28" s="74">
        <f t="shared" si="21"/>
        <v>0.58817649531727978</v>
      </c>
      <c r="AC28" s="78">
        <f t="shared" si="22"/>
        <v>0.33323330932201195</v>
      </c>
      <c r="AD28" s="78"/>
      <c r="AE28" s="78">
        <f t="shared" si="23"/>
        <v>11.104443844169969</v>
      </c>
      <c r="AF28" s="79" t="str">
        <f t="shared" si="24"/>
        <v>-0.03, (-0.55, 0.51)</v>
      </c>
      <c r="AG28" s="78">
        <f t="shared" si="13"/>
        <v>3.3323330932201194</v>
      </c>
      <c r="AH28" s="2">
        <f t="shared" si="14"/>
        <v>-0.16666666666666669</v>
      </c>
      <c r="AI28" s="78">
        <f>(Z28/1.96)^2*AE28</f>
        <v>1.1046438983756768</v>
      </c>
      <c r="AJ28" s="85">
        <f t="shared" si="15"/>
        <v>7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5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0.51</v>
      </c>
      <c r="H29" s="15">
        <v>0.28999999999999998</v>
      </c>
      <c r="I29" s="14" t="s">
        <v>60</v>
      </c>
      <c r="J29" s="17">
        <v>0.13</v>
      </c>
      <c r="K29" s="18">
        <v>0.11</v>
      </c>
      <c r="L29" s="14" t="s">
        <v>62</v>
      </c>
      <c r="M29" s="12"/>
      <c r="N29" s="16"/>
      <c r="O29" s="14"/>
      <c r="Q29" s="2" t="str">
        <f>CONCATENATE(B29,"_",E29,"_",D29,"_",C29)</f>
        <v>OCTO_Men_Percp_Speed_PEF</v>
      </c>
      <c r="S29" s="75">
        <f>G29</f>
        <v>0.51</v>
      </c>
      <c r="T29" s="74">
        <v>157</v>
      </c>
      <c r="U29" s="102">
        <f>W29/G29*H29</f>
        <v>0.3199835943374964</v>
      </c>
      <c r="V29" s="76" t="str">
        <f>I29</f>
        <v>p=0.08 ^</v>
      </c>
      <c r="W29" s="74">
        <f t="shared" si="16"/>
        <v>0.56272976935214891</v>
      </c>
      <c r="X29" s="74">
        <f t="shared" si="17"/>
        <v>0.57434903543264604</v>
      </c>
      <c r="Y29" s="74">
        <f t="shared" si="18"/>
        <v>0.32054711205139497</v>
      </c>
      <c r="Z29" s="74">
        <f t="shared" si="19"/>
        <v>-6.4438075549343998E-2</v>
      </c>
      <c r="AA29" s="74">
        <f t="shared" si="20"/>
        <v>1.1898976142536419</v>
      </c>
      <c r="AB29" s="74">
        <f t="shared" si="21"/>
        <v>0.62716784490149291</v>
      </c>
      <c r="AC29" s="78">
        <f t="shared" si="22"/>
        <v>5.495971420960732</v>
      </c>
      <c r="AD29" s="78"/>
      <c r="AE29" s="78">
        <f t="shared" si="23"/>
        <v>9.7666263991827762</v>
      </c>
      <c r="AF29" s="79" t="str">
        <f t="shared" si="24"/>
        <v>0.51, (-0.06, 0.83)</v>
      </c>
      <c r="AG29" s="78">
        <f t="shared" si="13"/>
        <v>3.1251602197619848</v>
      </c>
      <c r="AH29" s="2">
        <f t="shared" si="14"/>
        <v>1.7586206896551726</v>
      </c>
      <c r="AI29" s="78">
        <f>(Z29/1.96)^2*AE29</f>
        <v>1.0556441752123662E-2</v>
      </c>
      <c r="AJ29" s="85">
        <f t="shared" si="15"/>
        <v>6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5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2">
        <v>7.0000000000000007E-2</v>
      </c>
      <c r="H30" s="18">
        <v>0.35</v>
      </c>
      <c r="I30" s="20" t="s">
        <v>63</v>
      </c>
      <c r="J30" s="12">
        <v>0.4</v>
      </c>
      <c r="K30" s="13">
        <v>0.1</v>
      </c>
      <c r="L30" s="14" t="s">
        <v>27</v>
      </c>
      <c r="M30" s="19"/>
      <c r="N30" s="18"/>
      <c r="O30" s="14"/>
      <c r="Q30" s="2" t="str">
        <f>CONCATENATE(B30,"_",E30,"_",D30,"_",C30)</f>
        <v>OCTO_Women_Percp_Speed_PEF</v>
      </c>
      <c r="S30" s="75">
        <f>G30</f>
        <v>7.0000000000000007E-2</v>
      </c>
      <c r="T30" s="2">
        <v>156</v>
      </c>
      <c r="U30" s="102">
        <f>W30/G30*H30</f>
        <v>0.3505733532716257</v>
      </c>
      <c r="V30" s="76" t="str">
        <f>I30</f>
        <v>p=0.84</v>
      </c>
      <c r="W30" s="74">
        <f t="shared" si="16"/>
        <v>7.0114670654325154E-2</v>
      </c>
      <c r="X30" s="74">
        <f t="shared" si="17"/>
        <v>0.61904215996157208</v>
      </c>
      <c r="Y30" s="74">
        <f t="shared" si="18"/>
        <v>0.56944746734404372</v>
      </c>
      <c r="Z30" s="74">
        <f t="shared" si="19"/>
        <v>-0.61700910175806112</v>
      </c>
      <c r="AA30" s="74">
        <f t="shared" si="20"/>
        <v>0.75723844306671151</v>
      </c>
      <c r="AB30" s="74">
        <f t="shared" si="21"/>
        <v>0.68712377241238631</v>
      </c>
      <c r="AC30" s="78">
        <f t="shared" si="22"/>
        <v>0.57049401539950817</v>
      </c>
      <c r="AD30" s="78"/>
      <c r="AE30" s="78">
        <f t="shared" si="23"/>
        <v>8.1365855401663527</v>
      </c>
      <c r="AF30" s="79" t="str">
        <f t="shared" si="24"/>
        <v>0.07, (-0.55, 0.64)</v>
      </c>
      <c r="AG30" s="78">
        <f t="shared" si="13"/>
        <v>2.8524700769975402</v>
      </c>
      <c r="AH30" s="2">
        <f t="shared" si="14"/>
        <v>0.20000000000000004</v>
      </c>
      <c r="AI30" s="78">
        <f t="shared" ref="AI30:AI38" si="25">(Z30/1.96)^2*AE30</f>
        <v>0.80633069554352321</v>
      </c>
      <c r="AJ30" s="85">
        <f t="shared" si="15"/>
        <v>6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5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0.67</v>
      </c>
      <c r="H31" s="15">
        <v>0.32</v>
      </c>
      <c r="I31" s="14" t="s">
        <v>65</v>
      </c>
      <c r="J31" s="17">
        <v>0.26</v>
      </c>
      <c r="K31" s="18">
        <v>0.08</v>
      </c>
      <c r="L31" s="14" t="s">
        <v>27</v>
      </c>
      <c r="M31" s="12"/>
      <c r="N31" s="16"/>
      <c r="O31" s="14"/>
      <c r="Q31" s="2" t="str">
        <f>CONCATENATE(B35,"_",E35,"_",D35,"_",C35)</f>
        <v>OCTO_Men_Symbol_PEF</v>
      </c>
      <c r="S31" s="75">
        <f>G35</f>
        <v>0.73</v>
      </c>
      <c r="T31" s="74">
        <v>155</v>
      </c>
      <c r="U31" s="102">
        <f>W31/G35*H35</f>
        <v>0.17811209725279656</v>
      </c>
      <c r="V31" s="76" t="str">
        <f>I35</f>
        <v>p&lt;0.01 ***</v>
      </c>
      <c r="W31" s="74">
        <f>0.5*LN((1+S31)/(1-S31))</f>
        <v>0.92872736424672486</v>
      </c>
      <c r="X31" s="74">
        <f>S31-(EXP(2*Z31)-1)/(EXP(2*Z31)+1)</f>
        <v>0.2076052520834627</v>
      </c>
      <c r="Y31" s="74">
        <f>(EXP(2*AA31)-1)/(EXP(2*AA31)+1)-S31</f>
        <v>0.12590489668106286</v>
      </c>
      <c r="Z31" s="74">
        <f>W31-AB31</f>
        <v>0.57962765363124369</v>
      </c>
      <c r="AA31" s="74">
        <f>W31+AB31</f>
        <v>1.277827074862206</v>
      </c>
      <c r="AB31" s="74">
        <f>1.96*U31</f>
        <v>0.34909971061548123</v>
      </c>
      <c r="AC31" s="78">
        <f>IF(W31&lt;&gt;"",ABS(W31/U31^2),"")</f>
        <v>29.275303557203177</v>
      </c>
      <c r="AD31" s="78"/>
      <c r="AE31" s="78">
        <f>U31^-2</f>
        <v>31.521956479604629</v>
      </c>
      <c r="AF31" s="79" t="str">
        <f>CONCATENATE(ROUND(S31,2),", (",ROUND(-(X31-S31),2),", ",ROUND(Y31+S31,2),")")</f>
        <v>0.73, (0.52, 0.86)</v>
      </c>
      <c r="AG31" s="78">
        <f t="shared" si="13"/>
        <v>5.6144417780937612</v>
      </c>
      <c r="AH31" s="2">
        <f t="shared" si="14"/>
        <v>2.09375</v>
      </c>
      <c r="AI31" s="78">
        <f t="shared" si="25"/>
        <v>2.7567616384329661</v>
      </c>
      <c r="AJ31" s="85">
        <f t="shared" si="15"/>
        <v>11</v>
      </c>
    </row>
    <row r="32" spans="1:75" x14ac:dyDescent="0.25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2">
        <v>0.46</v>
      </c>
      <c r="H32" s="18">
        <v>0.25</v>
      </c>
      <c r="I32" s="20" t="s">
        <v>37</v>
      </c>
      <c r="J32" s="12">
        <v>0.16</v>
      </c>
      <c r="K32" s="13">
        <v>7.0000000000000007E-2</v>
      </c>
      <c r="L32" s="14" t="s">
        <v>66</v>
      </c>
      <c r="M32" s="19"/>
      <c r="N32" s="18"/>
      <c r="O32" s="14"/>
      <c r="Q32" s="2" t="str">
        <f>CONCATENATE(B36,"_",E36,"_",D36,"_",C36)</f>
        <v>OCTO_Women_Symbol_PEF</v>
      </c>
      <c r="S32" s="75">
        <f>G36</f>
        <v>0.66</v>
      </c>
      <c r="T32" s="2">
        <v>154</v>
      </c>
      <c r="U32" s="102">
        <f>W32/G36*H36</f>
        <v>0.20420957184535227</v>
      </c>
      <c r="V32" s="76" t="str">
        <f>I36</f>
        <v>p&lt;.01 ***</v>
      </c>
      <c r="W32" s="74">
        <f>0.5*LN((1+S32)/(1-S32))</f>
        <v>0.79281363187019105</v>
      </c>
      <c r="X32" s="74">
        <f>S32-(EXP(2*Z32)-1)/(EXP(2*Z32)+1)</f>
        <v>0.28643244821460817</v>
      </c>
      <c r="Y32" s="74">
        <f>(EXP(2*AA32)-1)/(EXP(2*AA32)+1)-S32</f>
        <v>0.17152683967276128</v>
      </c>
      <c r="Z32" s="74">
        <f>W32-AB32</f>
        <v>0.39256287105330062</v>
      </c>
      <c r="AA32" s="74">
        <f>W32+AB32</f>
        <v>1.1930643926870814</v>
      </c>
      <c r="AB32" s="74">
        <f>1.96*U32</f>
        <v>0.40025076081689043</v>
      </c>
      <c r="AC32" s="78">
        <f>IF(W32&lt;&gt;"",ABS(W32/U32^2),"")</f>
        <v>19.011610994006553</v>
      </c>
      <c r="AD32" s="78"/>
      <c r="AE32" s="78">
        <f>U32^-2</f>
        <v>23.97992444852331</v>
      </c>
      <c r="AF32" s="79" t="str">
        <f>CONCATENATE(ROUND(S32,2),", (",ROUND(-(X32-S32),2),", ",ROUND(Y32+S32,2),")")</f>
        <v>0.66, (0.37, 0.83)</v>
      </c>
      <c r="AG32" s="78">
        <f t="shared" si="13"/>
        <v>4.8969301045168399</v>
      </c>
      <c r="AH32" s="2">
        <f t="shared" si="14"/>
        <v>1.84</v>
      </c>
      <c r="AI32" s="78">
        <f t="shared" si="25"/>
        <v>0.96195356894258255</v>
      </c>
      <c r="AJ32" s="85">
        <f t="shared" si="15"/>
        <v>10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x14ac:dyDescent="0.25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-0.36</v>
      </c>
      <c r="H33" s="15">
        <v>0.81</v>
      </c>
      <c r="I33" s="14" t="s">
        <v>67</v>
      </c>
      <c r="J33" s="17">
        <v>0.19</v>
      </c>
      <c r="K33" s="18">
        <v>0.04</v>
      </c>
      <c r="L33" s="14" t="s">
        <v>27</v>
      </c>
      <c r="M33" s="12"/>
      <c r="N33" s="16"/>
      <c r="O33" s="14"/>
      <c r="Q33" s="2" t="str">
        <f>CONCATENATE(B27,"_",E27,"_",D27,"_",C27)</f>
        <v>MAP_Men_Num_Comp_FEV1</v>
      </c>
      <c r="S33" s="75">
        <f>G27</f>
        <v>-0.75</v>
      </c>
      <c r="T33" s="74">
        <v>153</v>
      </c>
      <c r="U33" s="102">
        <f>W33/G27*H27</f>
        <v>0.63566398202473573</v>
      </c>
      <c r="V33" s="76" t="str">
        <f>I27</f>
        <v>p=0.13</v>
      </c>
      <c r="W33" s="74">
        <f>0.5*LN((1+S33)/(1-S33))</f>
        <v>-0.97295507452765673</v>
      </c>
      <c r="X33" s="74">
        <f>S33-(EXP(2*Z33)-1)/(EXP(2*Z33)+1)</f>
        <v>0.22663040312419258</v>
      </c>
      <c r="Y33" s="74">
        <f>(EXP(2*AA33)-1)/(EXP(2*AA33)+1)-S33</f>
        <v>1.0163642657820753</v>
      </c>
      <c r="Z33" s="74">
        <f>W33-AB33</f>
        <v>-2.2188564792961385</v>
      </c>
      <c r="AA33" s="74">
        <f>W33+AB33</f>
        <v>0.27294633024082526</v>
      </c>
      <c r="AB33" s="74">
        <f>1.96*U33</f>
        <v>1.245901404768482</v>
      </c>
      <c r="AC33" s="78">
        <f>IF(W33&lt;&gt;"",ABS(W33/U33^2),"")</f>
        <v>2.4078951901956245</v>
      </c>
      <c r="AD33" s="78"/>
      <c r="AE33" s="78">
        <f>U33^-2</f>
        <v>2.4748266936832537</v>
      </c>
      <c r="AF33" s="79" t="str">
        <f>CONCATENATE(ROUND(S33,2),", (",ROUND(-(X33-S33),2),", ",ROUND(Y33+S33,2),")")</f>
        <v>-0.75, (-0.98, 0.27)</v>
      </c>
      <c r="AG33" s="78">
        <f t="shared" si="13"/>
        <v>1.5731581909278081</v>
      </c>
      <c r="AH33" s="2">
        <f t="shared" si="14"/>
        <v>-0.44444444444444442</v>
      </c>
      <c r="AI33" s="78">
        <f t="shared" si="25"/>
        <v>3.1716924834005535</v>
      </c>
      <c r="AJ33" s="85">
        <f t="shared" si="15"/>
        <v>3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ht="14.1" customHeight="1" x14ac:dyDescent="0.25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2">
        <v>0.12</v>
      </c>
      <c r="H34" s="18">
        <v>0.39</v>
      </c>
      <c r="I34" s="20" t="s">
        <v>69</v>
      </c>
      <c r="J34" s="12">
        <v>0.31</v>
      </c>
      <c r="K34" s="13">
        <v>0.11</v>
      </c>
      <c r="L34" s="14" t="s">
        <v>45</v>
      </c>
      <c r="M34" s="19"/>
      <c r="N34" s="18"/>
      <c r="O34" s="14"/>
      <c r="Q34" s="2" t="str">
        <f>CONCATENATE(B28,"_",E28,"_",D28,"_",C28)</f>
        <v>MAP_Women_Num_Comp_FEV1</v>
      </c>
      <c r="S34" s="75">
        <f>G28</f>
        <v>-0.1</v>
      </c>
      <c r="T34" s="2">
        <v>152</v>
      </c>
      <c r="U34" s="102">
        <f>W34/G28*H28</f>
        <v>0.60201208638645365</v>
      </c>
      <c r="V34" s="76" t="str">
        <f>I28</f>
        <v>p=0.86</v>
      </c>
      <c r="W34" s="74">
        <f>0.5*LN((1+S34)/(1-S34))</f>
        <v>-0.10033534773107562</v>
      </c>
      <c r="X34" s="74">
        <f>S34-(EXP(2*Z34)-1)/(EXP(2*Z34)+1)</f>
        <v>0.756559242549525</v>
      </c>
      <c r="Y34" s="74">
        <f>(EXP(2*AA34)-1)/(EXP(2*AA34)+1)-S34</f>
        <v>0.89305381123281002</v>
      </c>
      <c r="Z34" s="74">
        <f>W34-AB34</f>
        <v>-1.2802790370485246</v>
      </c>
      <c r="AA34" s="74">
        <f>W34+AB34</f>
        <v>1.0796083415863735</v>
      </c>
      <c r="AB34" s="74">
        <f>1.96*U34</f>
        <v>1.1799436893174491</v>
      </c>
      <c r="AC34" s="78">
        <f>IF(W34&lt;&gt;"",ABS(W34/U34^2),"")</f>
        <v>0.27684936969799845</v>
      </c>
      <c r="AD34" s="78"/>
      <c r="AE34" s="78">
        <f>U34^-2</f>
        <v>2.7592406460784442</v>
      </c>
      <c r="AF34" s="79" t="str">
        <f>CONCATENATE(ROUND(S34,2),", (",ROUND(-(X34-S34),2),", ",ROUND(Y34+S34,2),")")</f>
        <v>-0.1, (-0.86, 0.79)</v>
      </c>
      <c r="AG34" s="78">
        <f t="shared" si="13"/>
        <v>1.6610962181879905</v>
      </c>
      <c r="AH34" s="2">
        <f t="shared" si="14"/>
        <v>0.30769230769230765</v>
      </c>
      <c r="AI34" s="78">
        <f t="shared" si="25"/>
        <v>1.1772988106807347</v>
      </c>
      <c r="AJ34" s="85">
        <f t="shared" si="15"/>
        <v>3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ht="14.1" customHeight="1" x14ac:dyDescent="0.25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0.73</v>
      </c>
      <c r="H35" s="15">
        <v>0.14000000000000001</v>
      </c>
      <c r="I35" s="14" t="s">
        <v>27</v>
      </c>
      <c r="J35" s="17">
        <v>0.38</v>
      </c>
      <c r="K35" s="18">
        <v>0.08</v>
      </c>
      <c r="L35" s="14" t="s">
        <v>72</v>
      </c>
      <c r="M35" s="12"/>
      <c r="N35" s="16"/>
      <c r="O35" s="14"/>
      <c r="Q35" s="2" t="str">
        <f>CONCATENATE(B33,"_",E33,"_",D33,"_",C33)</f>
        <v>MAP_Men_Symbol_FEV1</v>
      </c>
      <c r="S35" s="75">
        <f>G33</f>
        <v>-0.36</v>
      </c>
      <c r="T35" s="74">
        <v>151</v>
      </c>
      <c r="U35" s="102">
        <f>W35/G33*H33</f>
        <v>0.84799327767342769</v>
      </c>
      <c r="V35" s="76" t="str">
        <f>I33</f>
        <v>p=0.65</v>
      </c>
      <c r="W35" s="74">
        <f t="shared" si="16"/>
        <v>-0.37688590118819004</v>
      </c>
      <c r="X35" s="74">
        <f t="shared" si="17"/>
        <v>0.60667872697140801</v>
      </c>
      <c r="Y35" s="74">
        <f t="shared" si="18"/>
        <v>1.21785917697863</v>
      </c>
      <c r="Z35" s="74">
        <f t="shared" si="19"/>
        <v>-2.0389527254281083</v>
      </c>
      <c r="AA35" s="74">
        <f t="shared" si="20"/>
        <v>1.2851809230517282</v>
      </c>
      <c r="AB35" s="74">
        <f t="shared" si="21"/>
        <v>1.6620668242399181</v>
      </c>
      <c r="AC35" s="78">
        <f t="shared" si="22"/>
        <v>0.52411316946265374</v>
      </c>
      <c r="AD35" s="78"/>
      <c r="AE35" s="78">
        <f t="shared" si="23"/>
        <v>1.3906414854212039</v>
      </c>
      <c r="AF35" s="79" t="str">
        <f t="shared" si="24"/>
        <v>-0.36, (-0.97, 0.86)</v>
      </c>
      <c r="AG35" s="78">
        <f t="shared" si="13"/>
        <v>1.1792546312909711</v>
      </c>
      <c r="AH35" s="2">
        <f t="shared" si="14"/>
        <v>5.2142857142857135</v>
      </c>
      <c r="AI35" s="78">
        <f t="shared" si="25"/>
        <v>1.5049336439035175</v>
      </c>
      <c r="AJ35" s="85">
        <f t="shared" si="15"/>
        <v>2</v>
      </c>
      <c r="AQ35" s="2" t="s">
        <v>217</v>
      </c>
      <c r="BB35" s="2" t="s">
        <v>217</v>
      </c>
      <c r="BM35" s="2" t="s">
        <v>217</v>
      </c>
    </row>
    <row r="36" spans="1:73" ht="14.1" customHeight="1" x14ac:dyDescent="0.25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2">
        <v>0.66</v>
      </c>
      <c r="H36" s="18">
        <v>0.17</v>
      </c>
      <c r="I36" s="20" t="s">
        <v>73</v>
      </c>
      <c r="J36" s="12">
        <v>0.2</v>
      </c>
      <c r="K36" s="13">
        <v>0.08</v>
      </c>
      <c r="L36" s="14" t="s">
        <v>75</v>
      </c>
      <c r="M36" s="19"/>
      <c r="N36" s="18"/>
      <c r="O36" s="14"/>
      <c r="Q36" s="2" t="str">
        <f>CONCATENATE(B34,"_",E34,"_",D34,"_",C34)</f>
        <v>MAP_Women_Symbol_FEV1</v>
      </c>
      <c r="S36" s="75">
        <f>G34</f>
        <v>0.12</v>
      </c>
      <c r="T36" s="2">
        <v>150</v>
      </c>
      <c r="U36" s="102">
        <f>W36/G34*H34</f>
        <v>0.39188834232744341</v>
      </c>
      <c r="V36" s="76" t="str">
        <f>I34</f>
        <v>p=0.76</v>
      </c>
      <c r="W36" s="74">
        <f t="shared" si="16"/>
        <v>0.12058102840844412</v>
      </c>
      <c r="X36" s="74">
        <f t="shared" si="17"/>
        <v>0.68999816218995214</v>
      </c>
      <c r="Y36" s="74">
        <f t="shared" si="18"/>
        <v>0.59074222482252958</v>
      </c>
      <c r="Z36" s="74">
        <f t="shared" si="19"/>
        <v>-0.64752012255334501</v>
      </c>
      <c r="AA36" s="74">
        <f t="shared" si="20"/>
        <v>0.88868217937023319</v>
      </c>
      <c r="AB36" s="74">
        <f t="shared" si="21"/>
        <v>0.7681011509617891</v>
      </c>
      <c r="AC36" s="78">
        <f t="shared" si="22"/>
        <v>0.78515300012475109</v>
      </c>
      <c r="AD36" s="78"/>
      <c r="AE36" s="78">
        <f t="shared" si="23"/>
        <v>6.5114140299517294</v>
      </c>
      <c r="AF36" s="79" t="str">
        <f t="shared" si="24"/>
        <v>0.12, (-0.57, 0.71)</v>
      </c>
      <c r="AG36" s="78">
        <f t="shared" si="13"/>
        <v>2.551747250405441</v>
      </c>
      <c r="AH36" s="2">
        <f t="shared" si="14"/>
        <v>3.8823529411764706</v>
      </c>
      <c r="AI36" s="78">
        <f t="shared" si="25"/>
        <v>0.71067282123572784</v>
      </c>
      <c r="AJ36" s="85">
        <f t="shared" si="15"/>
        <v>5</v>
      </c>
      <c r="AR36" s="2" t="s">
        <v>218</v>
      </c>
    </row>
    <row r="37" spans="1:73" ht="14.1" customHeight="1" x14ac:dyDescent="0.25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7.0000000000000007E-2</v>
      </c>
      <c r="H37" s="15">
        <v>0.27</v>
      </c>
      <c r="I37" s="14" t="s">
        <v>76</v>
      </c>
      <c r="J37" s="17">
        <v>0.1</v>
      </c>
      <c r="K37" s="18">
        <v>0.08</v>
      </c>
      <c r="L37" s="14" t="s">
        <v>77</v>
      </c>
      <c r="M37" s="12"/>
      <c r="N37" s="16"/>
      <c r="O37" s="14"/>
      <c r="Q37" s="2" t="str">
        <f>CONCATENATE(B37,"_",E37,"_",D37,"_",C37)</f>
        <v>SATSA_Men_Symbol_FEV1</v>
      </c>
      <c r="S37" s="75">
        <f>G37</f>
        <v>7.0000000000000007E-2</v>
      </c>
      <c r="T37" s="74">
        <v>149</v>
      </c>
      <c r="U37" s="102">
        <f>W37/G37*H37</f>
        <v>0.27044230109525413</v>
      </c>
      <c r="V37" s="76" t="str">
        <f>I37</f>
        <v>p=0.8</v>
      </c>
      <c r="W37" s="74">
        <f t="shared" si="16"/>
        <v>7.0114670654325154E-2</v>
      </c>
      <c r="X37" s="74">
        <f t="shared" si="17"/>
        <v>0.50004528447188346</v>
      </c>
      <c r="Y37" s="74">
        <f t="shared" si="18"/>
        <v>0.46717876325778956</v>
      </c>
      <c r="Z37" s="74">
        <f t="shared" si="19"/>
        <v>-0.45995223949237291</v>
      </c>
      <c r="AA37" s="74">
        <f t="shared" si="20"/>
        <v>0.60018158080102324</v>
      </c>
      <c r="AB37" s="74">
        <f t="shared" si="21"/>
        <v>0.53006691014669804</v>
      </c>
      <c r="AC37" s="78">
        <f t="shared" si="22"/>
        <v>0.95864906565760954</v>
      </c>
      <c r="AD37" s="78"/>
      <c r="AE37" s="78">
        <f t="shared" si="23"/>
        <v>13.672588870649903</v>
      </c>
      <c r="AF37" s="79" t="str">
        <f t="shared" si="24"/>
        <v>0.07, (-0.43, 0.54)</v>
      </c>
      <c r="AG37" s="78">
        <f t="shared" si="13"/>
        <v>3.6976463961079222</v>
      </c>
      <c r="AH37" s="2">
        <f t="shared" si="14"/>
        <v>0.25925925925925924</v>
      </c>
      <c r="AI37" s="78">
        <f t="shared" si="25"/>
        <v>0.7529464460681391</v>
      </c>
      <c r="AJ37" s="85">
        <f t="shared" si="15"/>
        <v>7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ht="14.1" customHeight="1" x14ac:dyDescent="0.25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2">
        <v>-0.16</v>
      </c>
      <c r="H38" s="18">
        <v>0.2</v>
      </c>
      <c r="I38" s="20" t="s">
        <v>26</v>
      </c>
      <c r="J38" s="17"/>
      <c r="K38" s="18"/>
      <c r="L38" s="14"/>
      <c r="M38" s="19"/>
      <c r="N38" s="18"/>
      <c r="O38" s="14"/>
      <c r="Q38" s="2" t="str">
        <f>CONCATENATE(B38,"_",E38,"_",D38,"_",C38)</f>
        <v>SATSA_Women_Symbol_FEV1</v>
      </c>
      <c r="S38" s="75">
        <f>G38</f>
        <v>-0.16</v>
      </c>
      <c r="T38" s="2">
        <v>148</v>
      </c>
      <c r="U38" s="102">
        <f>W38/G38*H38</f>
        <v>0.2017333701644069</v>
      </c>
      <c r="V38" s="76" t="str">
        <f>I38</f>
        <v>p=0.42</v>
      </c>
      <c r="W38" s="74">
        <f t="shared" si="16"/>
        <v>-0.16138669613152551</v>
      </c>
      <c r="X38" s="74">
        <f t="shared" si="17"/>
        <v>0.3455874723999055</v>
      </c>
      <c r="Y38" s="74">
        <f t="shared" si="18"/>
        <v>0.38983069193698572</v>
      </c>
      <c r="Z38" s="74">
        <f t="shared" si="19"/>
        <v>-0.55678410165376302</v>
      </c>
      <c r="AA38" s="74">
        <f t="shared" si="20"/>
        <v>0.234010709390712</v>
      </c>
      <c r="AB38" s="74">
        <f t="shared" si="21"/>
        <v>0.39539740552223751</v>
      </c>
      <c r="AC38" s="78">
        <f t="shared" si="22"/>
        <v>3.9656304722814224</v>
      </c>
      <c r="AD38" s="78"/>
      <c r="AE38" s="78">
        <f t="shared" si="23"/>
        <v>24.572226629198408</v>
      </c>
      <c r="AF38" s="79" t="str">
        <f t="shared" si="24"/>
        <v>-0.16, (-0.51, 0.23)</v>
      </c>
      <c r="AG38" s="78">
        <f t="shared" si="13"/>
        <v>4.9570380903517783</v>
      </c>
      <c r="AH38" s="2">
        <f t="shared" si="14"/>
        <v>-0.79999999999999993</v>
      </c>
      <c r="AI38" s="78">
        <f t="shared" si="25"/>
        <v>1.9829237817576011</v>
      </c>
      <c r="AJ38" s="85">
        <f t="shared" si="15"/>
        <v>10</v>
      </c>
      <c r="AQ38" s="2" t="s">
        <v>233</v>
      </c>
      <c r="BC38" s="2" t="s">
        <v>218</v>
      </c>
      <c r="BN38" s="2" t="s">
        <v>218</v>
      </c>
    </row>
    <row r="39" spans="1:73" ht="14.1" customHeight="1" x14ac:dyDescent="0.25">
      <c r="A39" s="10"/>
      <c r="B39" s="11"/>
      <c r="C39" s="11"/>
      <c r="D39" s="11"/>
      <c r="E39" s="11"/>
      <c r="F39" s="11"/>
      <c r="G39" s="12"/>
      <c r="H39" s="18"/>
      <c r="I39" s="20"/>
      <c r="J39" s="17"/>
      <c r="K39" s="18"/>
      <c r="L39" s="14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18"/>
      <c r="AI39" s="78"/>
      <c r="AJ39" s="85"/>
    </row>
    <row r="40" spans="1:73" ht="14.1" customHeight="1" x14ac:dyDescent="0.25">
      <c r="A40" s="10"/>
      <c r="B40" s="11"/>
      <c r="C40" s="11"/>
      <c r="D40" s="11"/>
      <c r="E40" s="11"/>
      <c r="F40" s="11"/>
      <c r="G40" s="12"/>
      <c r="H40" s="18"/>
      <c r="I40" s="20"/>
      <c r="J40" s="17"/>
      <c r="K40" s="18"/>
      <c r="L40" s="14"/>
      <c r="M40" s="19"/>
      <c r="N40" s="18"/>
      <c r="O40" s="14"/>
      <c r="Q40" s="2" t="s">
        <v>323</v>
      </c>
      <c r="S40" s="84">
        <f>(EXP(2*AD40)-1)/(EXP(2*AD40)+1)</f>
        <v>0.39938962665442412</v>
      </c>
      <c r="T40" s="2">
        <v>146</v>
      </c>
      <c r="U40" s="103">
        <f>1/SQRT(AD40*AE40)</f>
        <v>0.13311712514919496</v>
      </c>
      <c r="V40" s="80">
        <f>1/SQRT(AE40)</f>
        <v>8.6569384243856323E-2</v>
      </c>
      <c r="W40" s="74">
        <f>0.5*LN((1+S40)/(1-S40))</f>
        <v>0.42292250626858008</v>
      </c>
      <c r="X40" s="74">
        <f>S40-(EXP(2*Z40)-1)/(EXP(2*Z40)+1)</f>
        <v>0.238779474894281</v>
      </c>
      <c r="Y40" s="74">
        <f>(EXP(2*AA40)-1)/(EXP(2*AA40)+1)-S40</f>
        <v>0.19461537052036404</v>
      </c>
      <c r="Z40" s="74">
        <f>W40-AB40</f>
        <v>0.16201294097615793</v>
      </c>
      <c r="AA40" s="74">
        <f>W40+AB40</f>
        <v>0.68383207156100223</v>
      </c>
      <c r="AB40" s="74">
        <f>1.96*U40</f>
        <v>0.26090956529242215</v>
      </c>
      <c r="AC40" s="78">
        <f>SUM(AC33,AC29,AC25,AC35,AC37,AC31,AC27)</f>
        <v>56.432870338274014</v>
      </c>
      <c r="AD40" s="78">
        <f>AC40/AE40</f>
        <v>0.42292250626858002</v>
      </c>
      <c r="AE40" s="78">
        <f>SUM(AE33,AE29,AE25,AE35,AE37,AE31,AE27)</f>
        <v>133.43548641139449</v>
      </c>
      <c r="AF40" s="79" t="str">
        <f>CONCATENATE(ROUND(S40,2),", (",ROUND(-(X40-S40),2),", ",ROUND(Y40+S40,2),")")</f>
        <v>0.4, (0.16, 0.59)</v>
      </c>
      <c r="AG40" s="78">
        <f>SUM(AG33,AG29,AG25,AG35,AG37,AG31,AG27)</f>
        <v>26.01471071930726</v>
      </c>
      <c r="AH40" s="18"/>
      <c r="AI40" s="78">
        <f>SUM(AI33,AI29,AI25,AI35,AI37,AI31,AI27)</f>
        <v>8.2566285394642129</v>
      </c>
      <c r="AJ40"/>
      <c r="AK40" s="81">
        <f>AK44-AK42</f>
        <v>7</v>
      </c>
      <c r="AL40">
        <f>CHIDIST(AI40,AK40-1)</f>
        <v>0.21989851496277407</v>
      </c>
      <c r="AM40" s="82">
        <f>IF((AI40-AK40+1)/AI40&lt;0,0,(AI40-AK40+1)/AI40)</f>
        <v>0.27331113767298648</v>
      </c>
      <c r="AN40" s="74"/>
      <c r="AO40" s="77">
        <f>S40-Y40</f>
        <v>0.20477425613406008</v>
      </c>
      <c r="AP40">
        <f>S40+Z40</f>
        <v>0.56140256763058205</v>
      </c>
    </row>
    <row r="41" spans="1:73" ht="14.1" customHeight="1" x14ac:dyDescent="0.25">
      <c r="A41" s="10"/>
      <c r="B41" s="11"/>
      <c r="C41" s="11"/>
      <c r="D41" s="11"/>
      <c r="E41" s="11"/>
      <c r="F41" s="11"/>
      <c r="G41" s="12"/>
      <c r="H41" s="18"/>
      <c r="I41" s="20"/>
      <c r="J41" s="17"/>
      <c r="K41" s="18"/>
      <c r="L41" s="14"/>
      <c r="M41" s="19"/>
      <c r="N41" s="18"/>
      <c r="O41" s="14"/>
      <c r="T41" s="74">
        <v>145</v>
      </c>
      <c r="U41" s="75"/>
      <c r="AH41" s="18"/>
    </row>
    <row r="42" spans="1:73" ht="14.1" customHeight="1" x14ac:dyDescent="0.25">
      <c r="A42" s="10"/>
      <c r="B42" s="11"/>
      <c r="C42" s="11"/>
      <c r="D42" s="11"/>
      <c r="E42" s="11"/>
      <c r="F42" s="11"/>
      <c r="G42" s="12"/>
      <c r="H42" s="18"/>
      <c r="I42" s="20"/>
      <c r="J42" s="17"/>
      <c r="K42" s="18"/>
      <c r="L42" s="14"/>
      <c r="M42" s="19"/>
      <c r="N42" s="18"/>
      <c r="O42" s="14"/>
      <c r="Q42" s="2" t="s">
        <v>322</v>
      </c>
      <c r="S42" s="84">
        <f>(EXP(2*AD42)-1)/(EXP(2*AD42)+1)</f>
        <v>0.33625052270730516</v>
      </c>
      <c r="T42" s="2">
        <v>144</v>
      </c>
      <c r="U42" s="103">
        <f>1/SQRT(AD42*AE42)</f>
        <v>0.1774691229688303</v>
      </c>
      <c r="V42" s="80">
        <f>1/SQRT(AE42)</f>
        <v>0.10497100363854199</v>
      </c>
      <c r="W42" s="74">
        <f>0.5*LN((1+S42)/(1-S42))</f>
        <v>0.34985903423221087</v>
      </c>
      <c r="X42" s="74">
        <f>S42-(EXP(2*Z42)-1)/(EXP(2*Z42)+1)</f>
        <v>0.33423097223964388</v>
      </c>
      <c r="Y42" s="74">
        <f>(EXP(2*AA42)-1)/(EXP(2*AA42)+1)-S42</f>
        <v>0.26665437872985898</v>
      </c>
      <c r="Z42" s="74">
        <f>W42-AB42</f>
        <v>2.0195532133034932E-3</v>
      </c>
      <c r="AA42" s="74">
        <f>W42+AB42</f>
        <v>0.69769851525111826</v>
      </c>
      <c r="AB42" s="74">
        <f>1.96*U42</f>
        <v>0.34783948101890738</v>
      </c>
      <c r="AC42" s="78">
        <f>SUM(AC34,AC30,AC26,AC36,AC32,AC38,AC28)</f>
        <v>31.750779639359141</v>
      </c>
      <c r="AD42" s="78">
        <f>AC42/AE42</f>
        <v>0.34985903423221087</v>
      </c>
      <c r="AE42" s="78">
        <f>SUM(AE34,AE30,AE26,AE36,AE32,AE38,AE28)</f>
        <v>90.753064899519771</v>
      </c>
      <c r="AF42" s="79" t="str">
        <f>CONCATENATE(ROUND(S42,2),", (",ROUND(-(X42-S42),2),", ",ROUND(Y42+S42,2),")")</f>
        <v>0.34, (0, 0.6)</v>
      </c>
      <c r="AG42" s="78">
        <f>SUM(AG34,AG30,AG26,AG36,AG32,AG38,AG28)</f>
        <v>23.951510745922587</v>
      </c>
      <c r="AH42" s="18"/>
      <c r="AI42" s="78">
        <f>SUM(AI34,AI30,AI26,AI36,AI32,AI38,AI28)</f>
        <v>6.7475720146866163</v>
      </c>
      <c r="AJ42"/>
      <c r="AK42" s="81">
        <f>COUNT(AI28,AI34,AI30,AI26,AI36,AI32,AI38)</f>
        <v>7</v>
      </c>
      <c r="AL42">
        <f>CHIDIST(AI42,AK42-1)</f>
        <v>0.34482378944799741</v>
      </c>
      <c r="AM42" s="82">
        <f>IF((AI42-AK42+1)/AI42&lt;0,0,(AI42-AK42+1)/AI42)</f>
        <v>0.11079126136919584</v>
      </c>
      <c r="AN42" s="74"/>
      <c r="AO42" s="77">
        <f>S42-Y42</f>
        <v>6.9596143977446179E-2</v>
      </c>
      <c r="AP42">
        <f>S42+Z42</f>
        <v>0.33827007592060865</v>
      </c>
    </row>
    <row r="43" spans="1:73" ht="14.1" customHeight="1" x14ac:dyDescent="0.25">
      <c r="A43" s="10"/>
      <c r="B43" s="11"/>
      <c r="C43" s="11"/>
      <c r="D43" s="11"/>
      <c r="E43" s="11"/>
      <c r="F43" s="11"/>
      <c r="G43" s="12"/>
      <c r="H43" s="18"/>
      <c r="I43" s="20"/>
      <c r="J43" s="17"/>
      <c r="K43" s="18"/>
      <c r="L43" s="14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1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ht="14.1" customHeight="1" x14ac:dyDescent="0.25">
      <c r="A44" s="10"/>
      <c r="B44" s="11"/>
      <c r="C44" s="11"/>
      <c r="D44" s="11"/>
      <c r="E44" s="11"/>
      <c r="F44" s="11"/>
      <c r="G44" s="12"/>
      <c r="H44" s="18"/>
      <c r="I44" s="20"/>
      <c r="J44" s="17"/>
      <c r="K44" s="18"/>
      <c r="L44" s="14"/>
      <c r="M44" s="19"/>
      <c r="N44" s="18"/>
      <c r="O44" s="14"/>
      <c r="Q44" s="2" t="s">
        <v>185</v>
      </c>
      <c r="S44" s="84">
        <f>(EXP(2*AD44)-1)/(EXP(2*AD44)+1)</f>
        <v>0.37424111931405424</v>
      </c>
      <c r="T44" s="2">
        <v>142</v>
      </c>
      <c r="U44" s="103">
        <f>1/SQRT(AD44*AE44)</f>
        <v>0.10648929815250166</v>
      </c>
      <c r="V44" s="80">
        <f>1/SQRT(AE44)</f>
        <v>6.6787207427578044E-2</v>
      </c>
      <c r="W44" s="74">
        <f>0.5*LN((1+S44)/(1-S44))</f>
        <v>0.39334591111807621</v>
      </c>
      <c r="X44" s="74">
        <f>S44-(EXP(2*Z44)-1)/(EXP(2*Z44)+1)</f>
        <v>0.19168381631815498</v>
      </c>
      <c r="Y44" s="74">
        <f>(EXP(2*AA44)-1)/(EXP(2*AA44)+1)-S44</f>
        <v>0.16427618010348699</v>
      </c>
      <c r="Z44" s="74">
        <f>W44-AB44</f>
        <v>0.18462688673917296</v>
      </c>
      <c r="AA44" s="74">
        <f>W44+AB44</f>
        <v>0.60206493549697948</v>
      </c>
      <c r="AB44" s="74">
        <f>1.96*U44</f>
        <v>0.20871902437890325</v>
      </c>
      <c r="AC44" s="78">
        <f>SUM(AC25:AC38)</f>
        <v>88.183649977633152</v>
      </c>
      <c r="AD44" s="78">
        <f>AC44/AE44</f>
        <v>0.39334591111807621</v>
      </c>
      <c r="AE44" s="78">
        <f>SUM(AE25:AE38)</f>
        <v>224.18855131091428</v>
      </c>
      <c r="AF44" s="79" t="str">
        <f>CONCATENATE(ROUND(S44,2),", (",ROUND(-(X44-S44),2),", ",ROUND(Y44+S44,2),")")</f>
        <v>0.37, (0.18, 0.54)</v>
      </c>
      <c r="AG44" s="78">
        <f>SUM(AG25:AG38)</f>
        <v>49.966221465229857</v>
      </c>
      <c r="AH44" s="18"/>
      <c r="AI44" s="78">
        <f>SUM(AI25:AI38)</f>
        <v>15.004200554150829</v>
      </c>
      <c r="AJ44"/>
      <c r="AK44" s="81">
        <f>COUNT(AI25:AI38)</f>
        <v>14</v>
      </c>
      <c r="AL44">
        <f>CHIDIST(AI44,AK44-1)</f>
        <v>0.30709061621499906</v>
      </c>
      <c r="AM44" s="82">
        <f>IF((AI44-AK44+1)/AI44&lt;0,0,(AI44-AK44+1)/AI44)</f>
        <v>0.13357596407203304</v>
      </c>
      <c r="AN44" s="74"/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ht="14.1" customHeight="1" x14ac:dyDescent="0.25">
      <c r="A45" s="10" t="s">
        <v>78</v>
      </c>
      <c r="B45" s="11"/>
      <c r="C45" s="11"/>
      <c r="D45" s="11"/>
      <c r="E45" s="11"/>
      <c r="F45" s="11"/>
      <c r="G45" s="12"/>
      <c r="H45" s="18"/>
      <c r="I45" s="20"/>
      <c r="J45" s="12">
        <v>0.16</v>
      </c>
      <c r="K45" s="13">
        <v>7.0000000000000007E-2</v>
      </c>
      <c r="L45" s="14" t="s">
        <v>19</v>
      </c>
      <c r="M45" s="19"/>
      <c r="N45" s="18"/>
      <c r="O45" s="14"/>
      <c r="T45" s="74">
        <v>141</v>
      </c>
      <c r="U45" s="75"/>
      <c r="AH45" s="18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ht="14.1" customHeight="1" x14ac:dyDescent="0.25">
      <c r="A46" s="10"/>
      <c r="B46" s="11"/>
      <c r="C46" s="11"/>
      <c r="D46" s="11"/>
      <c r="E46" s="11"/>
      <c r="F46" s="11"/>
      <c r="G46" s="12"/>
      <c r="H46" s="18"/>
      <c r="I46" s="20"/>
      <c r="J46" s="17">
        <v>0.12</v>
      </c>
      <c r="K46" s="18">
        <v>0.04</v>
      </c>
      <c r="L46" s="14" t="s">
        <v>39</v>
      </c>
      <c r="M46" s="19"/>
      <c r="N46" s="18"/>
      <c r="O46" s="14"/>
      <c r="Q46" s="1" t="s">
        <v>78</v>
      </c>
      <c r="T46" s="2">
        <v>140</v>
      </c>
      <c r="U46" s="75"/>
      <c r="AH46" s="18"/>
    </row>
    <row r="47" spans="1:73" ht="14.1" customHeight="1" x14ac:dyDescent="0.25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-0.43</v>
      </c>
      <c r="H47" s="15">
        <v>0.98</v>
      </c>
      <c r="I47" s="14" t="s">
        <v>28</v>
      </c>
      <c r="J47" s="12">
        <v>0.03</v>
      </c>
      <c r="K47" s="13">
        <v>0.05</v>
      </c>
      <c r="L47" s="14" t="s">
        <v>58</v>
      </c>
      <c r="M47" s="12"/>
      <c r="N47" s="16"/>
      <c r="O47" s="14"/>
      <c r="Q47" s="2" t="str">
        <f>CONCATENATE(B63,"_",E63,"_",D63,"_",C63)</f>
        <v>EAS_Men_Digit_Tot_PEF</v>
      </c>
      <c r="S47" s="75">
        <f>G63</f>
        <v>0.26</v>
      </c>
      <c r="T47" s="74">
        <v>139</v>
      </c>
      <c r="U47" s="102">
        <f>W47/G63*H63</f>
        <v>0.56292162992503758</v>
      </c>
      <c r="V47" s="76" t="str">
        <f>I63</f>
        <v>p=0.63</v>
      </c>
      <c r="W47" s="74">
        <f t="shared" ref="W47:W56" si="26">0.5*LN((1+S47)/(1-S47))</f>
        <v>0.26610840687365411</v>
      </c>
      <c r="X47" s="74">
        <f t="shared" ref="X47:X56" si="27">S47-(EXP(2*Z47)-1)/(EXP(2*Z47)+1)</f>
        <v>0.94433271217596815</v>
      </c>
      <c r="Y47" s="74">
        <f t="shared" ref="Y47:Y56" si="28">(EXP(2*AA47)-1)/(EXP(2*AA47)+1)-S47</f>
        <v>0.61856332063101727</v>
      </c>
      <c r="Z47" s="74">
        <f t="shared" ref="Z47:Z56" si="29">W47-AB47</f>
        <v>-0.83721798777941947</v>
      </c>
      <c r="AA47" s="74">
        <f t="shared" ref="AA47:AA56" si="30">W47+AB47</f>
        <v>1.3694348015267277</v>
      </c>
      <c r="AB47" s="74">
        <f t="shared" ref="AB47:AB56" si="31">1.96*U47</f>
        <v>1.1033263946530736</v>
      </c>
      <c r="AC47" s="78">
        <f t="shared" ref="AC47:AC56" si="32">IF(W47&lt;&gt;"",ABS(W47/U47^2),"")</f>
        <v>0.83977457535292122</v>
      </c>
      <c r="AD47" s="78"/>
      <c r="AE47" s="78">
        <f t="shared" ref="AE47:AE56" si="33">U47^-2</f>
        <v>3.1557611622230284</v>
      </c>
      <c r="AF47" s="79" t="str">
        <f t="shared" ref="AF47:AF56" si="34">CONCATENATE(ROUND(S47,2),", (",ROUND(-(X47-S47),2),", ",ROUND(Y47+S47,2),")")</f>
        <v>0.26, (-0.68, 0.88)</v>
      </c>
      <c r="AG47" s="78">
        <f t="shared" ref="AG47:AG67" si="35">1.96/AB47</f>
        <v>1.7764462170927182</v>
      </c>
      <c r="AH47" s="2">
        <f t="shared" ref="AH47:AH68" si="36">G47/H47</f>
        <v>-0.43877551020408162</v>
      </c>
      <c r="AI47" s="78">
        <f t="shared" ref="AI47:AI67" si="37">(Z47/1.96)^2*AE47</f>
        <v>0.57579658613318829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ht="14.1" customHeight="1" x14ac:dyDescent="0.25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2">
        <v>0.68</v>
      </c>
      <c r="H48" s="18">
        <v>0.53</v>
      </c>
      <c r="I48" s="20" t="s">
        <v>80</v>
      </c>
      <c r="J48" s="12">
        <v>0.31</v>
      </c>
      <c r="K48" s="13">
        <v>0.13</v>
      </c>
      <c r="L48" s="14" t="s">
        <v>66</v>
      </c>
      <c r="M48" s="19"/>
      <c r="N48" s="18"/>
      <c r="O48" s="14"/>
      <c r="Q48" s="2" t="str">
        <f>CONCATENATE(B64,"_",E64,"_",D64,"_",C64)</f>
        <v>EAS_Women_Digit_Tot_PEF</v>
      </c>
      <c r="S48" s="75">
        <f>G64</f>
        <v>0.44</v>
      </c>
      <c r="T48" s="2">
        <v>138</v>
      </c>
      <c r="U48" s="102">
        <f>W48/G64*H64</f>
        <v>0.33270806675075443</v>
      </c>
      <c r="V48" s="76" t="str">
        <f>I64</f>
        <v>p=0.15</v>
      </c>
      <c r="W48" s="74">
        <f t="shared" si="26"/>
        <v>0.47223080442042564</v>
      </c>
      <c r="X48" s="74">
        <f t="shared" si="27"/>
        <v>0.61796177239099825</v>
      </c>
      <c r="Y48" s="74">
        <f t="shared" si="28"/>
        <v>0.36907274926872485</v>
      </c>
      <c r="Z48" s="74">
        <f t="shared" si="29"/>
        <v>-0.17987700641105298</v>
      </c>
      <c r="AA48" s="74">
        <f t="shared" si="30"/>
        <v>1.1243386152519044</v>
      </c>
      <c r="AB48" s="74">
        <f t="shared" si="31"/>
        <v>0.65210781083147862</v>
      </c>
      <c r="AC48" s="78">
        <f t="shared" si="32"/>
        <v>4.2660668031622322</v>
      </c>
      <c r="AD48" s="78"/>
      <c r="AE48" s="78">
        <f t="shared" si="33"/>
        <v>9.0338596364928492</v>
      </c>
      <c r="AF48" s="79" t="str">
        <f t="shared" si="34"/>
        <v>0.44, (-0.18, 0.81)</v>
      </c>
      <c r="AG48" s="78">
        <f t="shared" si="35"/>
        <v>3.0056379749552091</v>
      </c>
      <c r="AH48" s="2">
        <f t="shared" si="36"/>
        <v>1.2830188679245282</v>
      </c>
      <c r="AI48" s="78">
        <f t="shared" si="37"/>
        <v>7.6087356941544851E-2</v>
      </c>
      <c r="AJ48" s="85">
        <f>ROUND(AG48/AG$74*100,0)+1</f>
        <v>7</v>
      </c>
      <c r="AQ48" s="2" t="s">
        <v>217</v>
      </c>
      <c r="BB48" s="2" t="s">
        <v>233</v>
      </c>
      <c r="BM48" s="2" t="s">
        <v>233</v>
      </c>
    </row>
    <row r="49" spans="1:72" ht="14.1" customHeight="1" x14ac:dyDescent="0.25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0.1</v>
      </c>
      <c r="H49" s="15">
        <v>0.3</v>
      </c>
      <c r="I49" s="14" t="s">
        <v>81</v>
      </c>
      <c r="J49" s="17">
        <v>0.18</v>
      </c>
      <c r="K49" s="18">
        <v>0.13</v>
      </c>
      <c r="L49" s="14" t="s">
        <v>84</v>
      </c>
      <c r="M49" s="12"/>
      <c r="N49" s="16"/>
      <c r="O49" s="14"/>
      <c r="Q49" s="2" t="str">
        <f>CONCATENATE(B67,"_",E67,"_",D67,"_",C67)</f>
        <v>EAS_Men_TrailsB_PEF</v>
      </c>
      <c r="S49" s="75">
        <f>G67</f>
        <v>-0.96</v>
      </c>
      <c r="T49" s="74">
        <v>137</v>
      </c>
      <c r="U49" s="102">
        <f>W49/G67*H67</f>
        <v>1.1148443562296064</v>
      </c>
      <c r="V49" s="76" t="str">
        <f>I67</f>
        <v>p=0.08 ^</v>
      </c>
      <c r="W49" s="74">
        <f t="shared" si="26"/>
        <v>-1.9459101490553128</v>
      </c>
      <c r="X49" s="74">
        <f t="shared" si="27"/>
        <v>3.9483854110173522E-2</v>
      </c>
      <c r="Y49" s="74">
        <f t="shared" si="28"/>
        <v>1.194725601177018</v>
      </c>
      <c r="Z49" s="74">
        <f t="shared" si="29"/>
        <v>-4.1310050872653417</v>
      </c>
      <c r="AA49" s="74">
        <f t="shared" si="30"/>
        <v>0.23918478915471586</v>
      </c>
      <c r="AB49" s="74">
        <f t="shared" si="31"/>
        <v>2.1850949382100286</v>
      </c>
      <c r="AC49" s="78">
        <f t="shared" si="32"/>
        <v>1.5656486357949164</v>
      </c>
      <c r="AD49" s="78"/>
      <c r="AE49" s="78">
        <f t="shared" si="33"/>
        <v>0.80458423866846929</v>
      </c>
      <c r="AF49" s="79" t="str">
        <f t="shared" si="34"/>
        <v>-0.96, (-1, 0.23)</v>
      </c>
      <c r="AG49" s="78">
        <f t="shared" si="35"/>
        <v>0.89698619759083764</v>
      </c>
      <c r="AH49" s="2">
        <f t="shared" si="36"/>
        <v>0.33333333333333337</v>
      </c>
      <c r="AI49" s="78">
        <f t="shared" si="37"/>
        <v>3.5741340557137002</v>
      </c>
      <c r="AJ49" s="85">
        <f>ROUND(AG49/AG$74*100,0)</f>
        <v>2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ht="14.1" customHeight="1" x14ac:dyDescent="0.25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0.46</v>
      </c>
      <c r="H50" s="15">
        <v>0.4</v>
      </c>
      <c r="I50" s="14" t="s">
        <v>62</v>
      </c>
      <c r="J50" s="12">
        <v>0.2</v>
      </c>
      <c r="K50" s="13">
        <v>0.09</v>
      </c>
      <c r="L50" s="14" t="s">
        <v>19</v>
      </c>
      <c r="M50" s="12"/>
      <c r="N50" s="16"/>
      <c r="O50" s="14"/>
      <c r="Q50" s="2" t="str">
        <f>CONCATENATE(B68,"_",E68,"_",D68,"_",C68)</f>
        <v>EAS_Women_TrailsB_PEF</v>
      </c>
      <c r="S50" s="75">
        <f>G68</f>
        <v>0.28000000000000003</v>
      </c>
      <c r="T50" s="2">
        <v>136</v>
      </c>
      <c r="U50" s="102">
        <f>W50/G68*H68</f>
        <v>0.67810774220776937</v>
      </c>
      <c r="V50" s="76" t="str">
        <f>I68</f>
        <v>p=0.66</v>
      </c>
      <c r="W50" s="74">
        <f t="shared" si="26"/>
        <v>0.28768207245178096</v>
      </c>
      <c r="X50" s="74">
        <f t="shared" si="27"/>
        <v>1.0584438975669008</v>
      </c>
      <c r="Y50" s="74">
        <f t="shared" si="28"/>
        <v>0.644154714625224</v>
      </c>
      <c r="Z50" s="74">
        <f t="shared" si="29"/>
        <v>-1.041409102275447</v>
      </c>
      <c r="AA50" s="74">
        <f t="shared" si="30"/>
        <v>1.6167732471790091</v>
      </c>
      <c r="AB50" s="74">
        <f t="shared" si="31"/>
        <v>1.329091174727228</v>
      </c>
      <c r="AC50" s="78">
        <f t="shared" si="32"/>
        <v>0.6256268699442723</v>
      </c>
      <c r="AD50" s="78"/>
      <c r="AE50" s="78">
        <f t="shared" si="33"/>
        <v>2.1747162227119143</v>
      </c>
      <c r="AF50" s="79" t="str">
        <f t="shared" si="34"/>
        <v>0.28, (-0.78, 0.92)</v>
      </c>
      <c r="AG50" s="78">
        <f t="shared" si="35"/>
        <v>1.4746919077257845</v>
      </c>
      <c r="AH50" s="2">
        <f t="shared" si="36"/>
        <v>1.1499999999999999</v>
      </c>
      <c r="AI50" s="78">
        <f t="shared" si="37"/>
        <v>0.61395026330091262</v>
      </c>
      <c r="AJ50" s="85">
        <f>ROUND(AG50/AG$74*100,0)</f>
        <v>3</v>
      </c>
    </row>
    <row r="51" spans="1:72" ht="14.1" customHeight="1" x14ac:dyDescent="0.25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2">
        <v>0.16</v>
      </c>
      <c r="H51" s="18">
        <v>0.5</v>
      </c>
      <c r="I51" s="20" t="s">
        <v>69</v>
      </c>
      <c r="J51" s="17">
        <v>0.09</v>
      </c>
      <c r="K51" s="18">
        <v>0.1</v>
      </c>
      <c r="L51" s="14" t="s">
        <v>87</v>
      </c>
      <c r="M51" s="19"/>
      <c r="N51" s="18"/>
      <c r="O51" s="14"/>
      <c r="Q51" s="2" t="str">
        <f>CONCATENATE(B65,"_",E65,"_",D65,"_",C65)</f>
        <v>HRS_Men_Serial7_PEF</v>
      </c>
      <c r="S51" s="75">
        <f>G65</f>
        <v>0.21</v>
      </c>
      <c r="T51" s="74">
        <v>135</v>
      </c>
      <c r="U51" s="102">
        <f>W51/G65*H65</f>
        <v>0.13196321454015131</v>
      </c>
      <c r="V51" s="76" t="str">
        <f>I65</f>
        <v>p=0.10 ^</v>
      </c>
      <c r="W51" s="74">
        <f t="shared" si="26"/>
        <v>0.21317134656485978</v>
      </c>
      <c r="X51" s="74">
        <f t="shared" si="27"/>
        <v>0.25544522956910548</v>
      </c>
      <c r="Y51" s="74">
        <f t="shared" si="28"/>
        <v>0.22966806005673854</v>
      </c>
      <c r="Z51" s="74">
        <f t="shared" si="29"/>
        <v>-4.5476553933836789E-2</v>
      </c>
      <c r="AA51" s="74">
        <f t="shared" si="30"/>
        <v>0.47181924706355638</v>
      </c>
      <c r="AB51" s="74">
        <f t="shared" si="31"/>
        <v>0.25864790049869657</v>
      </c>
      <c r="AC51" s="78">
        <f t="shared" si="32"/>
        <v>12.24117358018068</v>
      </c>
      <c r="AD51" s="78"/>
      <c r="AE51" s="78">
        <f t="shared" si="33"/>
        <v>57.424104024487946</v>
      </c>
      <c r="AF51" s="79" t="str">
        <f t="shared" si="34"/>
        <v>0.21, (-0.05, 0.44)</v>
      </c>
      <c r="AG51" s="78">
        <f t="shared" si="35"/>
        <v>7.577869359159469</v>
      </c>
      <c r="AH51" s="2">
        <f t="shared" si="36"/>
        <v>0.32</v>
      </c>
      <c r="AI51" s="78">
        <f t="shared" si="37"/>
        <v>3.0914140804250735E-2</v>
      </c>
      <c r="AJ51" s="85">
        <f t="shared" ref="AJ51:AJ68" si="38">ROUND(AG51/AG$74*100,0)+1</f>
        <v>15</v>
      </c>
    </row>
    <row r="52" spans="1:72" ht="14.1" customHeight="1" x14ac:dyDescent="0.25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-0.5</v>
      </c>
      <c r="H52" s="15">
        <v>0.69</v>
      </c>
      <c r="I52" s="14" t="s">
        <v>86</v>
      </c>
      <c r="J52" s="12">
        <v>0.04</v>
      </c>
      <c r="K52" s="13">
        <v>0.05</v>
      </c>
      <c r="L52" s="14" t="s">
        <v>44</v>
      </c>
      <c r="M52" s="12"/>
      <c r="N52" s="16"/>
      <c r="O52" s="14"/>
      <c r="Q52" s="2" t="str">
        <f>CONCATENATE(B66,"_",E66,"_",D66,"_",C66)</f>
        <v>HRS_Women_Serial7_PEF</v>
      </c>
      <c r="S52" s="75">
        <f>G66</f>
        <v>0.38</v>
      </c>
      <c r="T52" s="2">
        <v>134</v>
      </c>
      <c r="U52" s="102">
        <f>W52/G66*H66</f>
        <v>0.13686251186128251</v>
      </c>
      <c r="V52" s="76" t="str">
        <f>I66</f>
        <v>p&lt;0.01 **</v>
      </c>
      <c r="W52" s="74">
        <f t="shared" si="26"/>
        <v>0.40005965005605654</v>
      </c>
      <c r="X52" s="74">
        <f t="shared" si="27"/>
        <v>0.24894894050263588</v>
      </c>
      <c r="Y52" s="74">
        <f t="shared" si="28"/>
        <v>0.20386721852715495</v>
      </c>
      <c r="Z52" s="74">
        <f t="shared" si="29"/>
        <v>0.13180912680794282</v>
      </c>
      <c r="AA52" s="74">
        <f t="shared" si="30"/>
        <v>0.66831017330417031</v>
      </c>
      <c r="AB52" s="74">
        <f t="shared" si="31"/>
        <v>0.26825052324811371</v>
      </c>
      <c r="AC52" s="78">
        <f t="shared" si="32"/>
        <v>21.357761766345615</v>
      </c>
      <c r="AD52" s="78"/>
      <c r="AE52" s="78">
        <f t="shared" si="33"/>
        <v>53.386443155046891</v>
      </c>
      <c r="AF52" s="79" t="str">
        <f t="shared" si="34"/>
        <v>0.38, (0.13, 0.58)</v>
      </c>
      <c r="AG52" s="78">
        <f t="shared" si="35"/>
        <v>7.3066027095392903</v>
      </c>
      <c r="AH52" s="2">
        <f t="shared" si="36"/>
        <v>-0.7246376811594204</v>
      </c>
      <c r="AI52" s="78">
        <f t="shared" si="37"/>
        <v>0.24144032688549388</v>
      </c>
      <c r="AJ52" s="85">
        <f t="shared" si="38"/>
        <v>15</v>
      </c>
      <c r="AQ52" s="2" t="s">
        <v>186</v>
      </c>
      <c r="BB52" s="2" t="s">
        <v>186</v>
      </c>
      <c r="BM52" s="2" t="s">
        <v>186</v>
      </c>
    </row>
    <row r="53" spans="1:72" ht="14.1" customHeight="1" x14ac:dyDescent="0.25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2">
        <v>0.06</v>
      </c>
      <c r="H53" s="18">
        <v>0.61</v>
      </c>
      <c r="I53" s="20" t="s">
        <v>35</v>
      </c>
      <c r="J53" s="12">
        <v>0.08</v>
      </c>
      <c r="K53" s="13">
        <v>7.0000000000000007E-2</v>
      </c>
      <c r="L53" s="14" t="s">
        <v>92</v>
      </c>
      <c r="M53" s="19"/>
      <c r="N53" s="18"/>
      <c r="O53" s="14"/>
      <c r="Q53" s="2" t="str">
        <f>CONCATENATE(B50,"_",E50,"_",D50,"_",C50)</f>
        <v>OCTO_Men_Digit_B_PEF</v>
      </c>
      <c r="S53" s="75">
        <f>G50</f>
        <v>0.46</v>
      </c>
      <c r="T53" s="74">
        <v>133</v>
      </c>
      <c r="U53" s="102">
        <f>W53/G50*H50</f>
        <v>0.43244459788872258</v>
      </c>
      <c r="V53" s="76" t="str">
        <f>I50</f>
        <v>p=0.25</v>
      </c>
      <c r="W53" s="74">
        <f t="shared" si="26"/>
        <v>0.49731128757203097</v>
      </c>
      <c r="X53" s="74">
        <f t="shared" si="27"/>
        <v>0.79662394956810567</v>
      </c>
      <c r="Y53" s="74">
        <f t="shared" si="28"/>
        <v>0.41284479394963264</v>
      </c>
      <c r="Z53" s="74">
        <f t="shared" si="29"/>
        <v>-0.35028012428986527</v>
      </c>
      <c r="AA53" s="74">
        <f t="shared" si="30"/>
        <v>1.3449026994339273</v>
      </c>
      <c r="AB53" s="74">
        <f t="shared" si="31"/>
        <v>0.84759141186189624</v>
      </c>
      <c r="AC53" s="78">
        <f t="shared" si="32"/>
        <v>2.6593001869245692</v>
      </c>
      <c r="AD53" s="78"/>
      <c r="AE53" s="78">
        <f t="shared" si="33"/>
        <v>5.3473553755592045</v>
      </c>
      <c r="AF53" s="79" t="str">
        <f t="shared" si="34"/>
        <v>0.46, (-0.34, 0.87)</v>
      </c>
      <c r="AG53" s="78">
        <f t="shared" si="35"/>
        <v>2.3124349451517991</v>
      </c>
      <c r="AH53" s="2">
        <f t="shared" si="36"/>
        <v>9.8360655737704916E-2</v>
      </c>
      <c r="AI53" s="78">
        <f t="shared" si="37"/>
        <v>0.17078821324448151</v>
      </c>
      <c r="AJ53" s="85">
        <f t="shared" si="38"/>
        <v>5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14.1" customHeight="1" x14ac:dyDescent="0.25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0.51</v>
      </c>
      <c r="H54" s="15">
        <v>0.67</v>
      </c>
      <c r="I54" s="14" t="s">
        <v>89</v>
      </c>
      <c r="J54" s="17">
        <v>0.13</v>
      </c>
      <c r="K54" s="18">
        <v>0.04</v>
      </c>
      <c r="L54" s="14" t="s">
        <v>45</v>
      </c>
      <c r="M54" s="12"/>
      <c r="N54" s="16"/>
      <c r="O54" s="14"/>
      <c r="Q54" s="2" t="str">
        <f>CONCATENATE(B51,"_",E51,"_",D51,"_",C51)</f>
        <v>OCTO_Women_Digit_B_PEF</v>
      </c>
      <c r="S54" s="75">
        <f>G51</f>
        <v>0.16</v>
      </c>
      <c r="T54" s="2">
        <v>132</v>
      </c>
      <c r="U54" s="102">
        <f>W54/G51*H51</f>
        <v>0.50433342541101722</v>
      </c>
      <c r="V54" s="76" t="str">
        <f>I51</f>
        <v>p=0.76</v>
      </c>
      <c r="W54" s="74">
        <f t="shared" si="26"/>
        <v>0.16138669613152551</v>
      </c>
      <c r="X54" s="74">
        <f t="shared" si="27"/>
        <v>0.8389194447810584</v>
      </c>
      <c r="Y54" s="74">
        <f t="shared" si="28"/>
        <v>0.65771439023816414</v>
      </c>
      <c r="Z54" s="74">
        <f t="shared" si="29"/>
        <v>-0.82710681767406813</v>
      </c>
      <c r="AA54" s="74">
        <f t="shared" si="30"/>
        <v>1.1498802099371193</v>
      </c>
      <c r="AB54" s="74">
        <f t="shared" si="31"/>
        <v>0.98849351380559369</v>
      </c>
      <c r="AC54" s="78">
        <f t="shared" si="32"/>
        <v>0.63450087556502766</v>
      </c>
      <c r="AD54" s="78"/>
      <c r="AE54" s="78">
        <f t="shared" si="33"/>
        <v>3.9315562606717451</v>
      </c>
      <c r="AF54" s="79" t="str">
        <f t="shared" si="34"/>
        <v>0.16, (-0.68, 0.82)</v>
      </c>
      <c r="AG54" s="78">
        <f t="shared" si="35"/>
        <v>1.9828152361407116</v>
      </c>
      <c r="AH54" s="2">
        <f t="shared" si="36"/>
        <v>0.76119402985074625</v>
      </c>
      <c r="AI54" s="78">
        <f t="shared" si="37"/>
        <v>0.70012494793835878</v>
      </c>
      <c r="AJ54" s="85">
        <f t="shared" si="38"/>
        <v>5</v>
      </c>
      <c r="AQ54" s="2" t="s">
        <v>294</v>
      </c>
      <c r="BB54" s="2" t="s">
        <v>294</v>
      </c>
      <c r="BM54" s="2" t="s">
        <v>294</v>
      </c>
    </row>
    <row r="55" spans="1:72" ht="14.1" customHeight="1" x14ac:dyDescent="0.25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0.26</v>
      </c>
      <c r="H55" s="15">
        <v>1.03</v>
      </c>
      <c r="I55" s="14" t="s">
        <v>76</v>
      </c>
      <c r="J55" s="12">
        <v>-0.09</v>
      </c>
      <c r="K55" s="13">
        <v>0.14000000000000001</v>
      </c>
      <c r="L55" s="14" t="s">
        <v>44</v>
      </c>
      <c r="M55" s="12"/>
      <c r="N55" s="16"/>
      <c r="O55" s="14"/>
      <c r="Q55" s="2" t="str">
        <f>CONCATENATE(B57,"_",E57,"_",D57,"_",C57)</f>
        <v>OCTO_Men_Digit_F_PEF</v>
      </c>
      <c r="S55" s="75">
        <f>G57</f>
        <v>0.63</v>
      </c>
      <c r="T55" s="74">
        <v>131</v>
      </c>
      <c r="U55" s="102">
        <f>W55/G57*H57</f>
        <v>0.20006467379970749</v>
      </c>
      <c r="V55" s="76" t="str">
        <f>I57</f>
        <v>p&lt;0.01 ***</v>
      </c>
      <c r="W55" s="74">
        <f t="shared" si="26"/>
        <v>0.74141614408126888</v>
      </c>
      <c r="X55" s="74">
        <f t="shared" si="27"/>
        <v>0.29425481759828831</v>
      </c>
      <c r="Y55" s="74">
        <f t="shared" si="28"/>
        <v>0.18222833413173445</v>
      </c>
      <c r="Z55" s="74">
        <f t="shared" si="29"/>
        <v>0.34928938343384219</v>
      </c>
      <c r="AA55" s="74">
        <f t="shared" si="30"/>
        <v>1.1335429047286956</v>
      </c>
      <c r="AB55" s="74">
        <f t="shared" si="31"/>
        <v>0.39212676064742669</v>
      </c>
      <c r="AC55" s="78">
        <f t="shared" si="32"/>
        <v>18.523421864328128</v>
      </c>
      <c r="AD55" s="78"/>
      <c r="AE55" s="78">
        <f t="shared" si="33"/>
        <v>24.983839389256296</v>
      </c>
      <c r="AF55" s="79" t="str">
        <f t="shared" si="34"/>
        <v>0.63, (0.34, 0.81)</v>
      </c>
      <c r="AG55" s="78">
        <f t="shared" si="35"/>
        <v>4.9983836776758439</v>
      </c>
      <c r="AH55" s="2">
        <f t="shared" si="36"/>
        <v>0.25242718446601942</v>
      </c>
      <c r="AI55" s="78">
        <f t="shared" si="37"/>
        <v>0.79344679048089795</v>
      </c>
      <c r="AJ55" s="85">
        <f t="shared" si="38"/>
        <v>10</v>
      </c>
    </row>
    <row r="56" spans="1:72" ht="14.1" customHeight="1" x14ac:dyDescent="0.25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2">
        <v>0.01</v>
      </c>
      <c r="H56" s="18">
        <v>0.6</v>
      </c>
      <c r="I56" s="20" t="s">
        <v>94</v>
      </c>
      <c r="J56" s="17">
        <v>0</v>
      </c>
      <c r="K56" s="18">
        <v>0.1</v>
      </c>
      <c r="L56" s="14" t="s">
        <v>95</v>
      </c>
      <c r="M56" s="19"/>
      <c r="N56" s="18"/>
      <c r="O56" s="14"/>
      <c r="Q56" s="2" t="str">
        <f>CONCATENATE(B58,"_",E58,"_",D58,"_",C58)</f>
        <v>OCTO_Women_Digit_F_PEF</v>
      </c>
      <c r="S56" s="75">
        <f>G58</f>
        <v>-0.3</v>
      </c>
      <c r="T56" s="2">
        <v>130</v>
      </c>
      <c r="U56" s="102">
        <f>W56/G58*H58</f>
        <v>0.25793300350259313</v>
      </c>
      <c r="V56" s="76" t="str">
        <f>I58</f>
        <v>p=0.24</v>
      </c>
      <c r="W56" s="74">
        <f t="shared" si="26"/>
        <v>-0.30951960420311175</v>
      </c>
      <c r="X56" s="74">
        <f t="shared" si="27"/>
        <v>0.37237669660175293</v>
      </c>
      <c r="Y56" s="74">
        <f t="shared" si="28"/>
        <v>0.49355612471835841</v>
      </c>
      <c r="Z56" s="74">
        <f t="shared" si="29"/>
        <v>-0.81506829106819423</v>
      </c>
      <c r="AA56" s="74">
        <f t="shared" si="30"/>
        <v>0.19602908266197072</v>
      </c>
      <c r="AB56" s="74">
        <f t="shared" si="31"/>
        <v>0.50554868686508247</v>
      </c>
      <c r="AC56" s="78">
        <f t="shared" si="32"/>
        <v>4.6523709013760852</v>
      </c>
      <c r="AD56" s="78"/>
      <c r="AE56" s="78">
        <f t="shared" si="33"/>
        <v>15.030940974979808</v>
      </c>
      <c r="AF56" s="79" t="str">
        <f t="shared" si="34"/>
        <v>-0.3, (-0.67, 0.19)</v>
      </c>
      <c r="AG56" s="78">
        <f t="shared" si="35"/>
        <v>3.8769757511467375</v>
      </c>
      <c r="AH56" s="2">
        <f t="shared" si="36"/>
        <v>1.6666666666666666E-2</v>
      </c>
      <c r="AI56" s="78">
        <f t="shared" si="37"/>
        <v>2.5993336109954188</v>
      </c>
      <c r="AJ56" s="85">
        <f t="shared" si="38"/>
        <v>8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ht="14.1" customHeight="1" x14ac:dyDescent="0.25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0.63</v>
      </c>
      <c r="H57" s="15">
        <v>0.17</v>
      </c>
      <c r="I57" s="14" t="s">
        <v>27</v>
      </c>
      <c r="J57" s="12">
        <v>0.15</v>
      </c>
      <c r="K57" s="13">
        <v>0.09</v>
      </c>
      <c r="L57" s="14" t="s">
        <v>97</v>
      </c>
      <c r="M57" s="12"/>
      <c r="N57" s="16"/>
      <c r="O57" s="14"/>
      <c r="Q57" s="2" t="str">
        <f>CONCATENATE(B47,"_",E47,"_",D47,"_",C47)</f>
        <v>MAP_Men_Digit_B_FEV1</v>
      </c>
      <c r="S57" s="75">
        <f>G47</f>
        <v>-0.43</v>
      </c>
      <c r="T57" s="74">
        <v>129</v>
      </c>
      <c r="U57" s="102">
        <f>W57/G47*H47</f>
        <v>1.0481366222986626</v>
      </c>
      <c r="V57" s="76" t="str">
        <f>I47</f>
        <v>p=0.66</v>
      </c>
      <c r="W57" s="74">
        <f t="shared" ref="W57:W68" si="39">0.5*LN((1+S57)/(1-S57))</f>
        <v>-0.45989668121267852</v>
      </c>
      <c r="X57" s="74">
        <f t="shared" ref="X57:X68" si="40">S57-(EXP(2*Z57)-1)/(EXP(2*Z57)+1)</f>
        <v>0.55698781548890253</v>
      </c>
      <c r="Y57" s="74">
        <f t="shared" ref="Y57:Y68" si="41">(EXP(2*AA57)-1)/(EXP(2*AA57)+1)-S57</f>
        <v>1.3508290094641036</v>
      </c>
      <c r="Z57" s="74">
        <f t="shared" ref="Z57:Z68" si="42">W57-AB57</f>
        <v>-2.5142444609180568</v>
      </c>
      <c r="AA57" s="74">
        <f t="shared" ref="AA57:AA68" si="43">W57+AB57</f>
        <v>1.5944510984926998</v>
      </c>
      <c r="AB57" s="74">
        <f t="shared" ref="AB57:AB68" si="44">1.96*U57</f>
        <v>2.0543477797053784</v>
      </c>
      <c r="AC57" s="78">
        <f t="shared" ref="AC57:AC68" si="45">IF(W57&lt;&gt;"",ABS(W57/U57^2),"")</f>
        <v>0.41862434807573606</v>
      </c>
      <c r="AD57" s="78"/>
      <c r="AE57" s="78">
        <f t="shared" ref="AE57:AE68" si="46">U57^-2</f>
        <v>0.9102573799225655</v>
      </c>
      <c r="AF57" s="79" t="str">
        <f t="shared" ref="AF57:AF68" si="47">CONCATENATE(ROUND(S57,2),", (",ROUND(-(X57-S57),2),", ",ROUND(Y57+S57,2),")")</f>
        <v>-0.43, (-0.99, 0.92)</v>
      </c>
      <c r="AG57" s="78">
        <f t="shared" si="35"/>
        <v>0.95407409561446832</v>
      </c>
      <c r="AH57" s="2">
        <f t="shared" si="36"/>
        <v>3.7058823529411762</v>
      </c>
      <c r="AI57" s="78">
        <f t="shared" si="37"/>
        <v>1.4978456758524705</v>
      </c>
      <c r="AJ57" s="85">
        <f t="shared" si="38"/>
        <v>3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ht="14.1" customHeight="1" x14ac:dyDescent="0.25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2">
        <v>-0.3</v>
      </c>
      <c r="H58" s="18">
        <v>0.25</v>
      </c>
      <c r="I58" s="20" t="s">
        <v>48</v>
      </c>
      <c r="J58" s="17">
        <v>0.31</v>
      </c>
      <c r="K58" s="18">
        <v>0.1</v>
      </c>
      <c r="L58" s="14" t="s">
        <v>27</v>
      </c>
      <c r="M58" s="19"/>
      <c r="N58" s="18"/>
      <c r="O58" s="14"/>
      <c r="Q58" s="2" t="str">
        <f>CONCATENATE(B48,"_",E48,"_",D48,"_",C48)</f>
        <v>MAP_Women_Digit_B_FEV1</v>
      </c>
      <c r="S58" s="75">
        <f>G48</f>
        <v>0.68</v>
      </c>
      <c r="T58" s="2">
        <v>128</v>
      </c>
      <c r="U58" s="102">
        <f>W58/G48*H48</f>
        <v>0.64622123573520007</v>
      </c>
      <c r="V58" s="76" t="str">
        <f>I48</f>
        <v>p=0.20</v>
      </c>
      <c r="W58" s="74">
        <f t="shared" si="39"/>
        <v>0.82911403830176622</v>
      </c>
      <c r="X58" s="74">
        <f t="shared" si="40"/>
        <v>1.0915530975793466</v>
      </c>
      <c r="Y58" s="74">
        <f t="shared" si="41"/>
        <v>0.290200979733374</v>
      </c>
      <c r="Z58" s="74">
        <f t="shared" si="42"/>
        <v>-0.43747958373922591</v>
      </c>
      <c r="AA58" s="74">
        <f t="shared" si="43"/>
        <v>2.0957076603427582</v>
      </c>
      <c r="AB58" s="74">
        <f t="shared" si="44"/>
        <v>1.2665936220409921</v>
      </c>
      <c r="AC58" s="78">
        <f t="shared" si="45"/>
        <v>1.9854173725269946</v>
      </c>
      <c r="AD58" s="78"/>
      <c r="AE58" s="78">
        <f t="shared" si="46"/>
        <v>2.3946252032996909</v>
      </c>
      <c r="AF58" s="79" t="str">
        <f t="shared" si="47"/>
        <v>0.68, (-0.41, 0.97)</v>
      </c>
      <c r="AG58" s="78">
        <f t="shared" si="35"/>
        <v>1.5474576579989807</v>
      </c>
      <c r="AH58" s="2">
        <f t="shared" si="36"/>
        <v>-1.2</v>
      </c>
      <c r="AI58" s="78">
        <f t="shared" si="37"/>
        <v>0.11930014920506743</v>
      </c>
      <c r="AJ58" s="85">
        <f t="shared" si="38"/>
        <v>4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ht="14.1" customHeight="1" x14ac:dyDescent="0.25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0.2</v>
      </c>
      <c r="H59" s="15">
        <v>0.61</v>
      </c>
      <c r="I59" s="14" t="s">
        <v>85</v>
      </c>
      <c r="J59" s="12">
        <v>-0.02</v>
      </c>
      <c r="K59" s="13">
        <v>0.08</v>
      </c>
      <c r="L59" s="14" t="s">
        <v>16</v>
      </c>
      <c r="M59" s="12"/>
      <c r="N59" s="16"/>
      <c r="O59" s="14"/>
      <c r="Q59" s="2" t="str">
        <f>CONCATENATE(B55,"_",E55,"_",D55,"_",C55)</f>
        <v>MAP_Men_Digit_F_FEV1</v>
      </c>
      <c r="S59" s="75">
        <f>G55</f>
        <v>0.26</v>
      </c>
      <c r="T59" s="74">
        <v>127</v>
      </c>
      <c r="U59" s="102">
        <f>W59/G55*H55</f>
        <v>1.0541986887687065</v>
      </c>
      <c r="V59" s="76" t="str">
        <f>I55</f>
        <v>p=0.8</v>
      </c>
      <c r="W59" s="74">
        <f>0.5*LN((1+S59)/(1-S59))</f>
        <v>0.26610840687365411</v>
      </c>
      <c r="X59" s="74">
        <f>S59-(EXP(2*Z59)-1)/(EXP(2*Z59)+1)</f>
        <v>1.2068185443670822</v>
      </c>
      <c r="Y59" s="74">
        <f>(EXP(2*AA59)-1)/(EXP(2*AA59)+1)-S59</f>
        <v>0.72133129494995962</v>
      </c>
      <c r="Z59" s="74">
        <f>W59-AB59</f>
        <v>-1.8001210231130107</v>
      </c>
      <c r="AA59" s="74">
        <f>W59+AB59</f>
        <v>2.3323378368603187</v>
      </c>
      <c r="AB59" s="74">
        <f>1.96*U59</f>
        <v>2.0662294299866648</v>
      </c>
      <c r="AC59" s="78">
        <f>IF(W59&lt;&gt;"",ABS(W59/U59^2),"")</f>
        <v>0.2394493439949654</v>
      </c>
      <c r="AD59" s="78"/>
      <c r="AE59" s="78">
        <f>U59^-2</f>
        <v>0.89981878741866961</v>
      </c>
      <c r="AF59" s="79" t="str">
        <f>CONCATENATE(ROUND(S59,2),", (",ROUND(-(X59-S59),2),", ",ROUND(Y59+S59,2),")")</f>
        <v>0.26, (-0.95, 0.98)</v>
      </c>
      <c r="AG59" s="78">
        <f t="shared" si="35"/>
        <v>0.94858778582620884</v>
      </c>
      <c r="AH59" s="2">
        <f t="shared" si="36"/>
        <v>0.32786885245901642</v>
      </c>
      <c r="AI59" s="78">
        <f t="shared" si="37"/>
        <v>0.75900794469769006</v>
      </c>
      <c r="AJ59" s="85">
        <f t="shared" si="38"/>
        <v>3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ht="14.1" customHeight="1" x14ac:dyDescent="0.25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2">
        <v>0.34</v>
      </c>
      <c r="H60" s="18">
        <v>0.24</v>
      </c>
      <c r="I60" s="20" t="s">
        <v>68</v>
      </c>
      <c r="J60" s="17">
        <v>0.18</v>
      </c>
      <c r="K60" s="18">
        <v>0.05</v>
      </c>
      <c r="L60" s="14" t="s">
        <v>72</v>
      </c>
      <c r="M60" s="19"/>
      <c r="N60" s="18"/>
      <c r="O60" s="14"/>
      <c r="Q60" s="2" t="str">
        <f>CONCATENATE(B56,"_",E56,"_",D56,"_",C56)</f>
        <v>MAP_Women_Digit_F_FEV1</v>
      </c>
      <c r="S60" s="75">
        <f>G56</f>
        <v>0.01</v>
      </c>
      <c r="T60" s="2">
        <v>126</v>
      </c>
      <c r="U60" s="102">
        <f>W60/G56*H56</f>
        <v>0.60002000120008303</v>
      </c>
      <c r="V60" s="76" t="str">
        <f>I56</f>
        <v>p=0.98</v>
      </c>
      <c r="W60" s="74">
        <f>0.5*LN((1+S60)/(1-S60))</f>
        <v>1.0000333353334718E-2</v>
      </c>
      <c r="X60" s="74">
        <f>S60-(EXP(2*Z60)-1)/(EXP(2*Z60)+1)</f>
        <v>0.83299817623773276</v>
      </c>
      <c r="Y60" s="74">
        <f>(EXP(2*AA60)-1)/(EXP(2*AA60)+1)-S60</f>
        <v>0.81934652780551542</v>
      </c>
      <c r="Z60" s="74">
        <f>W60-AB60</f>
        <v>-1.1660388689988279</v>
      </c>
      <c r="AA60" s="74">
        <f>W60+AB60</f>
        <v>1.1860395357054974</v>
      </c>
      <c r="AB60" s="74">
        <f>1.96*U60</f>
        <v>1.1760392023521626</v>
      </c>
      <c r="AC60" s="78">
        <f>IF(W60&lt;&gt;"",ABS(W60/U60^2),"")</f>
        <v>2.7776851827159325E-2</v>
      </c>
      <c r="AD60" s="78"/>
      <c r="AE60" s="78">
        <f>U60^-2</f>
        <v>2.7775925907406713</v>
      </c>
      <c r="AF60" s="79" t="str">
        <f>CONCATENATE(ROUND(S60,2),", (",ROUND(-(X60-S60),2),", ",ROUND(Y60+S60,2),")")</f>
        <v>0.01, (-0.82, 0.83)</v>
      </c>
      <c r="AG60" s="78">
        <f t="shared" si="35"/>
        <v>1.6666111096295597</v>
      </c>
      <c r="AH60" s="2">
        <f t="shared" si="36"/>
        <v>1.4166666666666667</v>
      </c>
      <c r="AI60" s="78">
        <f t="shared" si="37"/>
        <v>0.98306550511360991</v>
      </c>
      <c r="AJ60" s="85">
        <f t="shared" si="38"/>
        <v>4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ht="14.1" customHeight="1" x14ac:dyDescent="0.25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0.09</v>
      </c>
      <c r="H61" s="15">
        <v>1.68</v>
      </c>
      <c r="I61" s="14" t="s">
        <v>101</v>
      </c>
      <c r="J61" s="12">
        <v>0.01</v>
      </c>
      <c r="K61" s="13">
        <v>0.12</v>
      </c>
      <c r="L61" s="14" t="s">
        <v>35</v>
      </c>
      <c r="M61" s="12"/>
      <c r="N61" s="16"/>
      <c r="O61" s="14"/>
      <c r="Q61" s="2" t="str">
        <f>CONCATENATE(B61,"_",E61,"_",D61,"_",C61)</f>
        <v>MAP_Men_Digit_Ord_FEV1</v>
      </c>
      <c r="S61" s="75">
        <f>G61</f>
        <v>0.09</v>
      </c>
      <c r="T61" s="74">
        <v>125</v>
      </c>
      <c r="U61" s="102">
        <f>W61/G61*H61</f>
        <v>1.6845581733147406</v>
      </c>
      <c r="V61" s="76" t="str">
        <f>I61</f>
        <v>p=0.96</v>
      </c>
      <c r="W61" s="74">
        <f>0.5*LN((1+S61)/(1-S61))</f>
        <v>9.024418785614681E-2</v>
      </c>
      <c r="X61" s="74">
        <f>S61-(EXP(2*Z61)-1)/(EXP(2*Z61)+1)</f>
        <v>1.0867576437530593</v>
      </c>
      <c r="Y61" s="74">
        <f>(EXP(2*AA61)-1)/(EXP(2*AA61)+1)-S61</f>
        <v>0.90773898258361951</v>
      </c>
      <c r="Z61" s="74">
        <f>W61-AB61</f>
        <v>-3.2114898318407445</v>
      </c>
      <c r="AA61" s="74">
        <f>W61+AB61</f>
        <v>3.3919782075530382</v>
      </c>
      <c r="AB61" s="74">
        <f>1.96*U61</f>
        <v>3.3017340196968914</v>
      </c>
      <c r="AC61" s="78">
        <f>IF(W61&lt;&gt;"",ABS(W61/U61^2),"")</f>
        <v>3.1801471400667004E-2</v>
      </c>
      <c r="AD61" s="78"/>
      <c r="AE61" s="78">
        <f>U61^-2</f>
        <v>0.35239356856266402</v>
      </c>
      <c r="AF61" s="79" t="str">
        <f>CONCATENATE(ROUND(S61,2),", (",ROUND(-(X61-S61),2),", ",ROUND(Y61+S61,2),")")</f>
        <v>0.09, (-1, 1)</v>
      </c>
      <c r="AG61" s="78">
        <f t="shared" si="35"/>
        <v>0.5936274661457841</v>
      </c>
      <c r="AH61" s="2">
        <f t="shared" si="36"/>
        <v>5.3571428571428568E-2</v>
      </c>
      <c r="AI61" s="78">
        <f t="shared" si="37"/>
        <v>0.94608233495397309</v>
      </c>
      <c r="AJ61" s="85">
        <f t="shared" si="38"/>
        <v>2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ht="14.1" customHeight="1" x14ac:dyDescent="0.25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2">
        <v>-0.2</v>
      </c>
      <c r="H62" s="18">
        <v>0.56999999999999995</v>
      </c>
      <c r="I62" s="20" t="s">
        <v>17</v>
      </c>
      <c r="J62" s="17">
        <v>0.13</v>
      </c>
      <c r="K62" s="18">
        <v>0.09</v>
      </c>
      <c r="L62" s="14" t="s">
        <v>105</v>
      </c>
      <c r="M62" s="19"/>
      <c r="N62" s="18"/>
      <c r="O62" s="14"/>
      <c r="Q62" s="2" t="str">
        <f>CONCATENATE(B62,"_",E62,"_",D62,"_",C62)</f>
        <v>MAP_Women_Digit_Ord_FEV1</v>
      </c>
      <c r="S62" s="75">
        <f>G62</f>
        <v>-0.2</v>
      </c>
      <c r="T62" s="2">
        <v>124</v>
      </c>
      <c r="U62" s="102">
        <f>W62/G62*H62</f>
        <v>0.57778777905413403</v>
      </c>
      <c r="V62" s="76" t="str">
        <f>I62</f>
        <v>p=0.72</v>
      </c>
      <c r="W62" s="74">
        <f>0.5*LN((1+S62)/(1-S62))</f>
        <v>-0.20273255405408214</v>
      </c>
      <c r="X62" s="74">
        <f>S62-(EXP(2*Z62)-1)/(EXP(2*Z62)+1)</f>
        <v>0.67051368886235752</v>
      </c>
      <c r="Y62" s="74">
        <f>(EXP(2*AA62)-1)/(EXP(2*AA62)+1)-S62</f>
        <v>0.93046868478023281</v>
      </c>
      <c r="Z62" s="74">
        <f>W62-AB62</f>
        <v>-1.3351966010001848</v>
      </c>
      <c r="AA62" s="74">
        <f>W62+AB62</f>
        <v>0.92973149289202062</v>
      </c>
      <c r="AB62" s="74">
        <f>1.96*U62</f>
        <v>1.1324640469461027</v>
      </c>
      <c r="AC62" s="78">
        <f>IF(W62&lt;&gt;"",ABS(W62/U62^2),"")</f>
        <v>0.60727693748881084</v>
      </c>
      <c r="AD62" s="78"/>
      <c r="AE62" s="78">
        <f>U62^-2</f>
        <v>2.9954584271000209</v>
      </c>
      <c r="AF62" s="79" t="str">
        <f>CONCATENATE(ROUND(S62,2),", (",ROUND(-(X62-S62),2),", ",ROUND(Y62+S62,2),")")</f>
        <v>-0.2, (-0.87, 0.73)</v>
      </c>
      <c r="AG62" s="78">
        <f t="shared" si="35"/>
        <v>1.7307392718431105</v>
      </c>
      <c r="AH62" s="2">
        <f t="shared" si="36"/>
        <v>-0.35087719298245618</v>
      </c>
      <c r="AI62" s="78">
        <f t="shared" si="37"/>
        <v>1.390085745795105</v>
      </c>
      <c r="AJ62" s="85">
        <f t="shared" si="38"/>
        <v>4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ht="14.1" customHeight="1" x14ac:dyDescent="0.25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0.26</v>
      </c>
      <c r="H63" s="15">
        <v>0.55000000000000004</v>
      </c>
      <c r="I63" s="14" t="s">
        <v>104</v>
      </c>
      <c r="J63" s="12">
        <v>0.16</v>
      </c>
      <c r="K63" s="13">
        <v>0.04</v>
      </c>
      <c r="L63" s="14" t="s">
        <v>27</v>
      </c>
      <c r="M63" s="12"/>
      <c r="N63" s="16"/>
      <c r="O63" s="14"/>
      <c r="Q63" s="2" t="str">
        <f>CONCATENATE(B49,"_",E49,"_",D49,"_",C49)</f>
        <v>NAS_Men_Digit_B_FEV1</v>
      </c>
      <c r="S63" s="75">
        <f>G49</f>
        <v>0.1</v>
      </c>
      <c r="T63" s="74">
        <v>123</v>
      </c>
      <c r="U63" s="102">
        <f>W63/G49*H49</f>
        <v>0.30100604319322682</v>
      </c>
      <c r="V63" s="76" t="str">
        <f>I49</f>
        <v>p=0.73</v>
      </c>
      <c r="W63" s="74">
        <f t="shared" si="39"/>
        <v>0.10033534773107562</v>
      </c>
      <c r="X63" s="74">
        <f t="shared" si="40"/>
        <v>0.5539278772317261</v>
      </c>
      <c r="Y63" s="74">
        <f t="shared" si="41"/>
        <v>0.49817931002325211</v>
      </c>
      <c r="Z63" s="74">
        <f t="shared" si="42"/>
        <v>-0.48963649692764893</v>
      </c>
      <c r="AA63" s="74">
        <f t="shared" si="43"/>
        <v>0.69030719238980021</v>
      </c>
      <c r="AB63" s="74">
        <f t="shared" si="44"/>
        <v>0.58997184465872454</v>
      </c>
      <c r="AC63" s="78">
        <f t="shared" si="45"/>
        <v>1.1073974787919938</v>
      </c>
      <c r="AD63" s="78"/>
      <c r="AE63" s="78">
        <f t="shared" si="46"/>
        <v>11.036962584313777</v>
      </c>
      <c r="AF63" s="79" t="str">
        <f t="shared" si="47"/>
        <v>0.1, (-0.45, 0.6)</v>
      </c>
      <c r="AG63" s="78">
        <f t="shared" si="35"/>
        <v>3.3221924363759809</v>
      </c>
      <c r="AH63" s="2">
        <f t="shared" si="36"/>
        <v>0.47272727272727272</v>
      </c>
      <c r="AI63" s="78">
        <f t="shared" si="37"/>
        <v>0.68878707945763329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ht="14.1" customHeight="1" x14ac:dyDescent="0.25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2">
        <v>0.44</v>
      </c>
      <c r="H64" s="18">
        <v>0.31</v>
      </c>
      <c r="I64" s="20" t="s">
        <v>105</v>
      </c>
      <c r="J64" s="17">
        <v>0.13</v>
      </c>
      <c r="K64" s="18">
        <v>0.03</v>
      </c>
      <c r="L64" s="14" t="s">
        <v>27</v>
      </c>
      <c r="M64" s="19"/>
      <c r="N64" s="18"/>
      <c r="O64" s="14"/>
      <c r="Q64" s="2" t="str">
        <f>CONCATENATE(B54,"_",E54,"_",D54,"_",C54)</f>
        <v>NAS_Men_Digit_B_Span_FEV1</v>
      </c>
      <c r="S64" s="75">
        <f>G54</f>
        <v>0.51</v>
      </c>
      <c r="T64" s="2">
        <v>122</v>
      </c>
      <c r="U64" s="102">
        <f>W64/G54*H54</f>
        <v>0.73927244209007803</v>
      </c>
      <c r="V64" s="76" t="str">
        <f>I54</f>
        <v>p=0.45</v>
      </c>
      <c r="W64" s="74">
        <f>0.5*LN((1+S64)/(1-S64))</f>
        <v>0.56272976935214891</v>
      </c>
      <c r="X64" s="74">
        <f>S64-(EXP(2*Z64)-1)/(EXP(2*Z64)+1)</f>
        <v>1.2195337185503718</v>
      </c>
      <c r="Y64" s="74">
        <f>(EXP(2*AA64)-1)/(EXP(2*AA64)+1)-S64</f>
        <v>0.45484519777813837</v>
      </c>
      <c r="Z64" s="74">
        <f>W64-AB64</f>
        <v>-0.88624421714440405</v>
      </c>
      <c r="AA64" s="74">
        <f>W64+AB64</f>
        <v>2.0117037558487016</v>
      </c>
      <c r="AB64" s="74">
        <f>1.96*U64</f>
        <v>1.448973986496553</v>
      </c>
      <c r="AC64" s="78">
        <f>IF(W64&lt;&gt;"",ABS(W64/U64^2),"")</f>
        <v>1.0296529215923309</v>
      </c>
      <c r="AD64" s="78"/>
      <c r="AE64" s="78">
        <f>U64^-2</f>
        <v>1.8297466700184253</v>
      </c>
      <c r="AF64" s="79" t="str">
        <f>CONCATENATE(ROUND(S64,2),", (",ROUND(-(X64-S64),2),", ",ROUND(Y64+S64,2),")")</f>
        <v>0.51, (-0.71, 0.96)</v>
      </c>
      <c r="AG64" s="78">
        <f t="shared" si="35"/>
        <v>1.3526812891507094</v>
      </c>
      <c r="AH64" s="2">
        <f t="shared" si="36"/>
        <v>1.4193548387096775</v>
      </c>
      <c r="AI64" s="78">
        <f t="shared" si="37"/>
        <v>0.37409822835940587</v>
      </c>
      <c r="AJ64" s="85">
        <f t="shared" si="38"/>
        <v>4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.1" customHeight="1" x14ac:dyDescent="0.25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0.21</v>
      </c>
      <c r="H65" s="15">
        <v>0.13</v>
      </c>
      <c r="I65" s="14" t="s">
        <v>108</v>
      </c>
      <c r="J65" s="12">
        <v>-0.42</v>
      </c>
      <c r="K65" s="13">
        <v>0.11</v>
      </c>
      <c r="L65" s="14" t="s">
        <v>27</v>
      </c>
      <c r="M65" s="12"/>
      <c r="N65" s="16"/>
      <c r="O65" s="14"/>
      <c r="Q65" s="2" t="str">
        <f>CONCATENATE(B52,"_",E52,"_",D52,"_",C52)</f>
        <v>SATSA_Men_Digit_B_FEV1</v>
      </c>
      <c r="S65" s="75">
        <f>G52</f>
        <v>-0.5</v>
      </c>
      <c r="T65" s="74">
        <v>121</v>
      </c>
      <c r="U65" s="102">
        <f>W65/G52*H52</f>
        <v>0.75804247918099565</v>
      </c>
      <c r="V65" s="76" t="str">
        <f>I52</f>
        <v>p=0.47</v>
      </c>
      <c r="W65" s="74">
        <f t="shared" si="39"/>
        <v>-0.54930614433405489</v>
      </c>
      <c r="X65" s="74">
        <f t="shared" si="40"/>
        <v>0.46642328657330057</v>
      </c>
      <c r="Y65" s="74">
        <f t="shared" si="41"/>
        <v>1.2335902363167714</v>
      </c>
      <c r="Z65" s="74">
        <f t="shared" si="42"/>
        <v>-2.0350694035288064</v>
      </c>
      <c r="AA65" s="74">
        <f t="shared" si="43"/>
        <v>0.93645711486069649</v>
      </c>
      <c r="AB65" s="74">
        <f t="shared" si="44"/>
        <v>1.4857632591947514</v>
      </c>
      <c r="AC65" s="78">
        <f t="shared" si="45"/>
        <v>0.95593281519306617</v>
      </c>
      <c r="AD65" s="78"/>
      <c r="AE65" s="78">
        <f t="shared" si="46"/>
        <v>1.7402550928171039</v>
      </c>
      <c r="AF65" s="79" t="str">
        <f t="shared" si="47"/>
        <v>-0.5, (-0.97, 0.73)</v>
      </c>
      <c r="AG65" s="78">
        <f t="shared" si="35"/>
        <v>1.3191872849664312</v>
      </c>
      <c r="AH65" s="2">
        <f t="shared" si="36"/>
        <v>1.6153846153846152</v>
      </c>
      <c r="AI65" s="78">
        <f t="shared" si="37"/>
        <v>1.8761139835227589</v>
      </c>
      <c r="AJ65" s="85">
        <f t="shared" si="38"/>
        <v>3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.1" customHeight="1" x14ac:dyDescent="0.25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2">
        <v>0.38</v>
      </c>
      <c r="H66" s="18">
        <v>0.13</v>
      </c>
      <c r="I66" s="20" t="s">
        <v>45</v>
      </c>
      <c r="J66" s="17">
        <v>-0.13</v>
      </c>
      <c r="K66" s="18">
        <v>0.09</v>
      </c>
      <c r="L66" s="14" t="s">
        <v>70</v>
      </c>
      <c r="M66" s="19"/>
      <c r="N66" s="18"/>
      <c r="O66" s="14"/>
      <c r="Q66" s="2" t="str">
        <f>CONCATENATE(B53,"_",E53,"_",D53,"_",C53)</f>
        <v>SATSA_Women_Digit_B_FEV1</v>
      </c>
      <c r="S66" s="75">
        <f>G53</f>
        <v>0.06</v>
      </c>
      <c r="T66" s="2">
        <v>120</v>
      </c>
      <c r="U66" s="102">
        <f>W66/G53*H53</f>
        <v>0.6107335851971557</v>
      </c>
      <c r="V66" s="76" t="str">
        <f>I53</f>
        <v>p=0.92</v>
      </c>
      <c r="W66" s="74">
        <f t="shared" si="39"/>
        <v>6.0072155921031704E-2</v>
      </c>
      <c r="X66" s="74">
        <f t="shared" si="40"/>
        <v>0.87338981709354813</v>
      </c>
      <c r="Y66" s="74">
        <f t="shared" si="41"/>
        <v>0.79026539892177228</v>
      </c>
      <c r="Z66" s="74">
        <f t="shared" si="42"/>
        <v>-1.1369656710653935</v>
      </c>
      <c r="AA66" s="74">
        <f t="shared" si="43"/>
        <v>1.257109982907457</v>
      </c>
      <c r="AB66" s="74">
        <f t="shared" si="44"/>
        <v>1.1970378269864252</v>
      </c>
      <c r="AC66" s="78">
        <f t="shared" si="45"/>
        <v>0.16105329413962446</v>
      </c>
      <c r="AD66" s="78"/>
      <c r="AE66" s="78">
        <f t="shared" si="46"/>
        <v>2.6809974050429997</v>
      </c>
      <c r="AF66" s="79" t="str">
        <f t="shared" si="47"/>
        <v>0.06, (-0.81, 0.85)</v>
      </c>
      <c r="AG66" s="78">
        <f t="shared" si="35"/>
        <v>1.6373751570861821</v>
      </c>
      <c r="AH66" s="2">
        <f t="shared" si="36"/>
        <v>2.9230769230769229</v>
      </c>
      <c r="AI66" s="78">
        <f t="shared" si="37"/>
        <v>0.90215041860301648</v>
      </c>
      <c r="AJ66" s="85">
        <f t="shared" si="38"/>
        <v>4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5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-0.96</v>
      </c>
      <c r="H67" s="15">
        <v>0.55000000000000004</v>
      </c>
      <c r="I67" s="14" t="s">
        <v>60</v>
      </c>
      <c r="J67" s="17"/>
      <c r="K67" s="18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0.2</v>
      </c>
      <c r="T67" s="74">
        <v>119</v>
      </c>
      <c r="U67" s="102">
        <f>W67/G59*H59</f>
        <v>0.61833428986495031</v>
      </c>
      <c r="V67" s="76" t="str">
        <f>I59</f>
        <v>p=0.75</v>
      </c>
      <c r="W67" s="74">
        <f t="shared" si="39"/>
        <v>0.20273255405408211</v>
      </c>
      <c r="X67" s="74">
        <f t="shared" si="40"/>
        <v>0.96543202775920456</v>
      </c>
      <c r="Y67" s="74">
        <f t="shared" si="41"/>
        <v>0.68848125515844583</v>
      </c>
      <c r="Z67" s="74">
        <f t="shared" si="42"/>
        <v>-1.0092026540812205</v>
      </c>
      <c r="AA67" s="74">
        <f t="shared" si="43"/>
        <v>1.4146677621893846</v>
      </c>
      <c r="AB67" s="74">
        <f t="shared" si="44"/>
        <v>1.2119352081353025</v>
      </c>
      <c r="AC67" s="78">
        <f t="shared" si="45"/>
        <v>0.5302453023115149</v>
      </c>
      <c r="AD67" s="78"/>
      <c r="AE67" s="78">
        <f t="shared" si="46"/>
        <v>2.6154916499994552</v>
      </c>
      <c r="AF67" s="79" t="str">
        <f t="shared" si="47"/>
        <v>0.2, (-0.77, 0.89)</v>
      </c>
      <c r="AG67" s="78">
        <f t="shared" si="35"/>
        <v>1.6172481720501202</v>
      </c>
      <c r="AH67" s="2">
        <f t="shared" si="36"/>
        <v>-1.7454545454545451</v>
      </c>
      <c r="AI67" s="78">
        <f t="shared" si="37"/>
        <v>0.69342255382482498</v>
      </c>
      <c r="AJ67" s="85">
        <f t="shared" si="38"/>
        <v>4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5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2">
        <v>0.28000000000000003</v>
      </c>
      <c r="H68" s="18">
        <v>0.66</v>
      </c>
      <c r="I68" s="20" t="s">
        <v>28</v>
      </c>
      <c r="J68" s="17"/>
      <c r="K68" s="18"/>
      <c r="L68" s="14"/>
      <c r="M68" s="19"/>
      <c r="N68" s="18"/>
      <c r="O68" s="14"/>
      <c r="Q68" s="2" t="str">
        <f>CONCATENATE(B60,"_",E60,"_",D60,"_",C60)</f>
        <v>SATSA_Women_Digit_F_FEV1</v>
      </c>
      <c r="S68" s="75">
        <f>G60</f>
        <v>0.34</v>
      </c>
      <c r="T68" s="2">
        <v>118</v>
      </c>
      <c r="U68" s="102">
        <f>W68/G60*H60</f>
        <v>0.24994766750275973</v>
      </c>
      <c r="V68" s="76" t="str">
        <f>I60</f>
        <v>p=0.17</v>
      </c>
      <c r="W68" s="74">
        <f t="shared" si="39"/>
        <v>0.35409252896224302</v>
      </c>
      <c r="X68" s="74">
        <f t="shared" si="40"/>
        <v>0.47497613086192608</v>
      </c>
      <c r="Y68" s="74">
        <f t="shared" si="41"/>
        <v>0.34791662843624011</v>
      </c>
      <c r="Z68" s="74">
        <f t="shared" si="42"/>
        <v>-0.13580489934316603</v>
      </c>
      <c r="AA68" s="74">
        <f t="shared" si="43"/>
        <v>0.84398995726765214</v>
      </c>
      <c r="AB68" s="74">
        <f t="shared" si="44"/>
        <v>0.48989742830540906</v>
      </c>
      <c r="AC68" s="78">
        <f t="shared" si="45"/>
        <v>5.6678531182973542</v>
      </c>
      <c r="AD68" s="78"/>
      <c r="AE68" s="78">
        <f t="shared" si="46"/>
        <v>16.006700663548081</v>
      </c>
      <c r="AF68" s="79" t="str">
        <f t="shared" si="47"/>
        <v>0.34, (-0.13, 0.69)</v>
      </c>
      <c r="AG68" s="78">
        <f t="shared" ref="AG68" si="48">1/AB68</f>
        <v>2.0412436200350612</v>
      </c>
      <c r="AH68" s="2">
        <f t="shared" si="36"/>
        <v>0.42424242424242425</v>
      </c>
      <c r="AI68" s="78">
        <f>(Z68/1.96)^2*AE68</f>
        <v>7.684587440418332E-2</v>
      </c>
      <c r="AJ68" s="85">
        <f t="shared" si="38"/>
        <v>5</v>
      </c>
    </row>
    <row r="69" spans="1:75" x14ac:dyDescent="0.25">
      <c r="A69" s="22"/>
      <c r="B69" s="11"/>
      <c r="C69" s="11"/>
      <c r="D69" s="11"/>
      <c r="E69" s="11"/>
      <c r="F69" s="11"/>
      <c r="G69" s="12"/>
      <c r="H69" s="18"/>
      <c r="I69" s="20"/>
      <c r="J69" s="17"/>
      <c r="K69" s="18"/>
      <c r="L69" s="14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18"/>
      <c r="AI69" s="78"/>
      <c r="AJ69" s="85"/>
    </row>
    <row r="70" spans="1:75" x14ac:dyDescent="0.25">
      <c r="A70" s="22"/>
      <c r="B70" s="11"/>
      <c r="C70" s="11"/>
      <c r="D70" s="11"/>
      <c r="E70" s="11"/>
      <c r="F70" s="11"/>
      <c r="G70" s="12"/>
      <c r="H70" s="18"/>
      <c r="I70" s="20"/>
      <c r="J70" s="17"/>
      <c r="K70" s="18"/>
      <c r="L70" s="14"/>
      <c r="M70" s="19"/>
      <c r="N70" s="18"/>
      <c r="O70" s="14"/>
      <c r="Q70" s="2" t="s">
        <v>323</v>
      </c>
      <c r="S70" s="84">
        <f>(EXP(2*AD70)-1)/(EXP(2*AD70)+1)</f>
        <v>0.34637274708314608</v>
      </c>
      <c r="T70" s="2">
        <v>116</v>
      </c>
      <c r="U70" s="103">
        <f>1/SQRT(AD70*AE70)</f>
        <v>0.15783314524615577</v>
      </c>
      <c r="V70" s="80">
        <f>1/SQRT(AE70)</f>
        <v>9.4872830237263714E-2</v>
      </c>
      <c r="W70" s="74">
        <f>0.5*LN((1+S70)/(1-S70))</f>
        <v>0.36131608102166674</v>
      </c>
      <c r="X70" s="74">
        <f>S70-(EXP(2*Z70)-1)/(EXP(2*Z70)+1)</f>
        <v>0.29445634995539183</v>
      </c>
      <c r="Y70" s="74">
        <f>(EXP(2*AA70)-1)/(EXP(2*AA70)+1)-S70</f>
        <v>0.23904706083995036</v>
      </c>
      <c r="Z70" s="74">
        <f>W70-AB70</f>
        <v>5.1963116339201421E-2</v>
      </c>
      <c r="AA70" s="74">
        <f>W70+AB70</f>
        <v>0.67066904570413199</v>
      </c>
      <c r="AB70" s="74">
        <f>1.96*U70</f>
        <v>0.30935296468246531</v>
      </c>
      <c r="AC70" s="78">
        <f>SUM(AC55,AC67,AC61,AC47,AC49,AC51,AC59,AC53,AC64,AC63,AC57,AC65)</f>
        <v>40.142422523941484</v>
      </c>
      <c r="AD70" s="78">
        <f>AC70/AE70</f>
        <v>0.36131608102166674</v>
      </c>
      <c r="AE70" s="78">
        <f>SUM(AE55,AE67,AE61,AE47,AE49,AE51,AE59,AE53,AE64,AE63,AE57,AE65)</f>
        <v>111.1005699232476</v>
      </c>
      <c r="AF70" s="79" t="str">
        <f>CONCATENATE(ROUND(S70,2),", (",ROUND(-(X70-S70),2),", ",ROUND(Y70+S70,2),")")</f>
        <v>0.35, (0.05, 0.59)</v>
      </c>
      <c r="AG70" s="78">
        <f>SUM(AG55,AG67,AG61,AG47,AG49,AG51,AG59,AG53,AG64,AG63,AG57,AG65)</f>
        <v>27.669718926800375</v>
      </c>
      <c r="AH70" s="18"/>
      <c r="AI70" s="78">
        <f>SUM(AI55,AI67,AI61,AI47,AI49,AI51,AI59,AI53,AI64,AI63,AI57,AI65)</f>
        <v>11.980437587045277</v>
      </c>
      <c r="AJ70"/>
      <c r="AK70" s="81">
        <f>AK74-AK72</f>
        <v>12</v>
      </c>
      <c r="AL70">
        <f>CHIDIST(AI70,AK70-1)</f>
        <v>0.36511546395523115</v>
      </c>
      <c r="AM70" s="82">
        <f>IF((AI70-AK70+1)/AI70&lt;0,0,(AI70-AK70+1)/AI70)</f>
        <v>8.183654227333452E-2</v>
      </c>
      <c r="AN70" s="74"/>
      <c r="AO70" s="77">
        <f>S70-Y70</f>
        <v>0.10732568624319572</v>
      </c>
      <c r="AP70">
        <f>S70+Z70</f>
        <v>0.3983358634223475</v>
      </c>
    </row>
    <row r="71" spans="1:75" x14ac:dyDescent="0.25">
      <c r="A71" s="22"/>
      <c r="B71" s="11"/>
      <c r="C71" s="11"/>
      <c r="D71" s="11"/>
      <c r="E71" s="11"/>
      <c r="F71" s="11"/>
      <c r="G71" s="12"/>
      <c r="H71" s="18"/>
      <c r="I71" s="20"/>
      <c r="J71" s="17"/>
      <c r="K71" s="18"/>
      <c r="L71" s="14"/>
      <c r="M71" s="19"/>
      <c r="N71" s="18"/>
      <c r="O71" s="14"/>
      <c r="T71" s="74">
        <v>115</v>
      </c>
      <c r="U71" s="75"/>
      <c r="AH71" s="18"/>
    </row>
    <row r="72" spans="1:75" x14ac:dyDescent="0.25">
      <c r="A72" s="22"/>
      <c r="B72" s="11"/>
      <c r="C72" s="11"/>
      <c r="D72" s="11"/>
      <c r="E72" s="11"/>
      <c r="F72" s="11"/>
      <c r="G72" s="12"/>
      <c r="H72" s="18"/>
      <c r="I72" s="20"/>
      <c r="J72" s="17"/>
      <c r="K72" s="18"/>
      <c r="L72" s="14"/>
      <c r="M72" s="19"/>
      <c r="N72" s="18"/>
      <c r="O72" s="14"/>
      <c r="Q72" s="2" t="s">
        <v>322</v>
      </c>
      <c r="S72" s="84">
        <f>(EXP(2*AD72)-1)/(EXP(2*AD72)+1)</f>
        <v>0.34710382825896952</v>
      </c>
      <c r="T72" s="2">
        <v>114</v>
      </c>
      <c r="U72" s="103">
        <f>1/SQRT(AD72*AE72)</f>
        <v>0.1581421439717654</v>
      </c>
      <c r="V72" s="80">
        <f>1/SQRT(AE72)</f>
        <v>9.5167817616779005E-2</v>
      </c>
      <c r="W72" s="74">
        <f>0.5*LN((1+S72)/(1-S72))</f>
        <v>0.362147069923141</v>
      </c>
      <c r="X72" s="74">
        <f>S72-(EXP(2*Z72)-1)/(EXP(2*Z72)+1)</f>
        <v>0.29496268975748302</v>
      </c>
      <c r="Y72" s="74">
        <f>(EXP(2*AA72)-1)/(EXP(2*AA72)+1)-S72</f>
        <v>0.23925945656721198</v>
      </c>
      <c r="Z72" s="74">
        <f>W72-AB72</f>
        <v>5.2188467738480793E-2</v>
      </c>
      <c r="AA72" s="74">
        <f>W72+AB72</f>
        <v>0.67210567210780114</v>
      </c>
      <c r="AB72" s="74">
        <f>1.96*U72</f>
        <v>0.3099586021846602</v>
      </c>
      <c r="AC72" s="78">
        <f>SUM(AC56,AC68,AC62,AC48,AC52,AC50,AC60,AC58,AC54,AC66)</f>
        <v>39.985704790673175</v>
      </c>
      <c r="AD72" s="78">
        <f>AC72/AE72</f>
        <v>0.36214706992314089</v>
      </c>
      <c r="AE72" s="78">
        <f>SUM(AE56,AE68,AE62,AE48,AE52,AE50,AE60,AE58,AE54,AE66)</f>
        <v>110.41289053963466</v>
      </c>
      <c r="AF72" s="79" t="str">
        <f>CONCATENATE(ROUND(S72,2),", (",ROUND(-(X72-S72),2),", ",ROUND(Y72+S72,2),")")</f>
        <v>0.35, (0.05, 0.59)</v>
      </c>
      <c r="AG72" s="78">
        <f>SUM(AG56,AG68,AG62,AG48,AG52,AG50,AG60,AG58,AG54,AG66)</f>
        <v>26.270150396100629</v>
      </c>
      <c r="AH72" s="18"/>
      <c r="AI72" s="78">
        <f>SUM(AI56,AI68,AI62,AI48,AI52,AI50,AI60,AI58,AI54,AI66)</f>
        <v>7.7023841991827116</v>
      </c>
      <c r="AJ72"/>
      <c r="AK72" s="81">
        <f>COUNT(AI56,AI68,AI62,AI48,AI52,AI50,AI60,AI58,AI54,AI66)</f>
        <v>10</v>
      </c>
      <c r="AL72">
        <f>CHIDIST(AI72,AK72-1)</f>
        <v>0.56439447391830733</v>
      </c>
      <c r="AM72" s="82">
        <f>IF((AI72-AK72+1)/AI72&lt;0,0,(AI72-AK72+1)/AI72)</f>
        <v>0</v>
      </c>
      <c r="AN72" s="74"/>
      <c r="AO72" s="77">
        <f>S72-Y72</f>
        <v>0.10784437169175753</v>
      </c>
      <c r="AP72">
        <f>S72+Z72</f>
        <v>0.39929229599745031</v>
      </c>
    </row>
    <row r="73" spans="1:75" x14ac:dyDescent="0.25">
      <c r="A73" s="22"/>
      <c r="B73" s="11"/>
      <c r="C73" s="11"/>
      <c r="D73" s="11"/>
      <c r="E73" s="11"/>
      <c r="F73" s="11"/>
      <c r="G73" s="12"/>
      <c r="H73" s="18"/>
      <c r="I73" s="20"/>
      <c r="J73" s="17"/>
      <c r="K73" s="18"/>
      <c r="L73" s="14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1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5">
      <c r="A74" s="22"/>
      <c r="B74" s="11"/>
      <c r="C74" s="11"/>
      <c r="D74" s="11"/>
      <c r="E74" s="11"/>
      <c r="F74" s="11"/>
      <c r="G74" s="12"/>
      <c r="H74" s="18"/>
      <c r="I74" s="20"/>
      <c r="J74" s="12">
        <v>0.31</v>
      </c>
      <c r="K74" s="13">
        <v>0.11</v>
      </c>
      <c r="L74" s="14" t="s">
        <v>45</v>
      </c>
      <c r="M74" s="19"/>
      <c r="N74" s="18"/>
      <c r="O74" s="14"/>
      <c r="Q74" s="2" t="s">
        <v>185</v>
      </c>
      <c r="S74" s="84">
        <f>(EXP(2*AD74)-1)/(EXP(2*AD74)+1)</f>
        <v>0.34673720552750559</v>
      </c>
      <c r="T74" s="2">
        <v>112</v>
      </c>
      <c r="U74" s="103">
        <f>1/SQRT(AD74*AE74)</f>
        <v>0.11171397459364522</v>
      </c>
      <c r="V74" s="80">
        <f>1/SQRT(AE74)</f>
        <v>6.7189272567278815E-2</v>
      </c>
      <c r="W74" s="74">
        <f>0.5*LN((1+S74)/(1-S74))</f>
        <v>0.36173028558705222</v>
      </c>
      <c r="X74" s="74">
        <f>S74-(EXP(2*Z74)-1)/(EXP(2*Z74)+1)</f>
        <v>0.20492852378935078</v>
      </c>
      <c r="Y74" s="74">
        <f>(EXP(2*AA74)-1)/(EXP(2*AA74)+1)-S74</f>
        <v>0.17642931419448354</v>
      </c>
      <c r="Z74" s="74">
        <f>W74-AB74</f>
        <v>0.1427708953835076</v>
      </c>
      <c r="AA74" s="74">
        <f>W74+AB74</f>
        <v>0.58068967579059683</v>
      </c>
      <c r="AB74" s="74">
        <f>1.96*U74</f>
        <v>0.21895939020354463</v>
      </c>
      <c r="AC74" s="78">
        <f>SUM(AC47:AC68)</f>
        <v>80.128127314614659</v>
      </c>
      <c r="AD74" s="78">
        <f>AC74/AE74</f>
        <v>0.36173028558705234</v>
      </c>
      <c r="AE74" s="78">
        <f>SUM(AE47:AE68)</f>
        <v>221.51346046288234</v>
      </c>
      <c r="AF74" s="79" t="str">
        <f>CONCATENATE(ROUND(S74,2),", (",ROUND(-(X74-S74),2),", ",ROUND(Y74+S74,2),")")</f>
        <v>0.35, (0.14, 0.52)</v>
      </c>
      <c r="AG74" s="78">
        <f>SUM(AG47:AG68)</f>
        <v>53.939869322900989</v>
      </c>
      <c r="AH74" s="18"/>
      <c r="AI74" s="78">
        <f>SUM(AI47:AI68)</f>
        <v>19.682821786227983</v>
      </c>
      <c r="AJ74"/>
      <c r="AK74" s="81">
        <f>COUNT(AI47:AI68)</f>
        <v>22</v>
      </c>
      <c r="AL74">
        <f>CHIDIST(AI74,AK74-1)</f>
        <v>0.5414235600546754</v>
      </c>
      <c r="AM74" s="82">
        <f>IF((AI74-AK74+1)/AI74&lt;0,0,(AI74-AK74+1)/AI74)</f>
        <v>0</v>
      </c>
      <c r="AN74" s="74"/>
    </row>
    <row r="75" spans="1:75" x14ac:dyDescent="0.25">
      <c r="A75" s="22" t="s">
        <v>110</v>
      </c>
      <c r="B75" s="11"/>
      <c r="C75" s="11"/>
      <c r="D75" s="11"/>
      <c r="E75" s="11"/>
      <c r="F75" s="11"/>
      <c r="G75" s="12"/>
      <c r="H75" s="18"/>
      <c r="I75" s="20"/>
      <c r="J75" s="17">
        <v>0.25</v>
      </c>
      <c r="K75" s="18">
        <v>0.1</v>
      </c>
      <c r="L75" s="14" t="s">
        <v>39</v>
      </c>
      <c r="M75" s="19"/>
      <c r="N75" s="18"/>
      <c r="O75" s="14"/>
      <c r="T75" s="74">
        <v>111</v>
      </c>
      <c r="U75" s="75"/>
      <c r="AH75" s="18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5">
      <c r="A76" s="22"/>
      <c r="B76" s="11"/>
      <c r="C76" s="11"/>
      <c r="D76" s="11"/>
      <c r="E76" s="11"/>
      <c r="F76" s="11"/>
      <c r="G76" s="12"/>
      <c r="H76" s="18"/>
      <c r="I76" s="20"/>
      <c r="J76" s="12">
        <v>0.3</v>
      </c>
      <c r="K76" s="13">
        <v>0.12</v>
      </c>
      <c r="L76" s="14" t="s">
        <v>39</v>
      </c>
      <c r="M76" s="19"/>
      <c r="N76" s="18"/>
      <c r="O76" s="14"/>
      <c r="Q76" s="1" t="s">
        <v>110</v>
      </c>
      <c r="T76" s="2">
        <v>110</v>
      </c>
      <c r="U76" s="75"/>
      <c r="AH76" s="18"/>
    </row>
    <row r="77" spans="1:75" x14ac:dyDescent="0.25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0.57999999999999996</v>
      </c>
      <c r="H77" s="15">
        <v>0.72</v>
      </c>
      <c r="I77" s="14" t="s">
        <v>26</v>
      </c>
      <c r="J77" s="17">
        <v>0.24</v>
      </c>
      <c r="K77" s="18">
        <v>0.09</v>
      </c>
      <c r="L77" s="14" t="s">
        <v>39</v>
      </c>
      <c r="M77" s="12"/>
      <c r="N77" s="16"/>
      <c r="O77" s="14"/>
      <c r="Q77" s="2" t="str">
        <f>CONCATENATE(B77,"_",E77,"_",D77,"_",C77)</f>
        <v>EAS_Men_Block_PEF</v>
      </c>
      <c r="S77" s="75">
        <f t="shared" ref="S77:S78" si="49">G77</f>
        <v>0.57999999999999996</v>
      </c>
      <c r="T77" s="74">
        <v>109</v>
      </c>
      <c r="U77" s="102">
        <f>W77/G77*H77</f>
        <v>0.82236749880637139</v>
      </c>
      <c r="V77" s="76" t="str">
        <f t="shared" ref="V77:V78" si="50">I77</f>
        <v>p=0.42</v>
      </c>
      <c r="W77" s="74">
        <f t="shared" ref="W77:W94" si="51">0.5*LN((1+S77)/(1-S77))</f>
        <v>0.66246270737179924</v>
      </c>
      <c r="X77" s="74">
        <f t="shared" ref="X77:X94" si="52">S77-(EXP(2*Z77)-1)/(EXP(2*Z77)+1)</f>
        <v>1.3195011435365362</v>
      </c>
      <c r="Y77" s="74">
        <f>(EXP(2*AA77)-1)/(EXP(2*AA77)+1)-S77</f>
        <v>0.39905771959959802</v>
      </c>
      <c r="Z77" s="74">
        <f t="shared" ref="Z77:Z94" si="53">W77-AB77</f>
        <v>-0.94937759028868873</v>
      </c>
      <c r="AA77" s="74">
        <f>W77+AB77</f>
        <v>2.2743030050322872</v>
      </c>
      <c r="AB77" s="74">
        <f>1.96*U77</f>
        <v>1.611840297660488</v>
      </c>
      <c r="AC77" s="78">
        <f t="shared" ref="AC77:AC94" si="54">IF(W77&lt;&gt;"",ABS(W77/U77^2),"")</f>
        <v>0.97955665408078807</v>
      </c>
      <c r="AD77" s="78"/>
      <c r="AE77" s="78">
        <f t="shared" ref="AE77:AE94" si="55">U77^-2</f>
        <v>1.4786593164874167</v>
      </c>
      <c r="AF77" s="79" t="str">
        <f>CONCATENATE(ROUND(S77,2),", (",ROUND(-(X77-S77),2),", ",ROUND(Y77+S77,2),")")</f>
        <v>0.58, (-0.74, 0.98)</v>
      </c>
      <c r="AG77" s="78">
        <f>1.96/AB77</f>
        <v>1.2160013636864953</v>
      </c>
      <c r="AH77" s="2">
        <f t="shared" ref="AH77:AH94" si="56">G77/H77</f>
        <v>0.80555555555555558</v>
      </c>
      <c r="AI77" s="78">
        <f t="shared" ref="AI77:AI94" si="57">(Z77/1.96)^2*AE77</f>
        <v>0.34692367120695605</v>
      </c>
      <c r="AJ77" s="85">
        <f t="shared" ref="AJ77:AJ94" si="58">ROUND(AG77/AG$100*100,0)+1</f>
        <v>4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5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2">
        <v>0.31</v>
      </c>
      <c r="H78" s="18">
        <v>0.36</v>
      </c>
      <c r="I78" s="20" t="s">
        <v>112</v>
      </c>
      <c r="J78" s="12">
        <v>0.2</v>
      </c>
      <c r="K78" s="13">
        <v>0.08</v>
      </c>
      <c r="L78" s="14" t="s">
        <v>39</v>
      </c>
      <c r="M78" s="19"/>
      <c r="N78" s="18"/>
      <c r="O78" s="14"/>
      <c r="Q78" s="2" t="str">
        <f>CONCATENATE(B78,"_",E78,"_",D78,"_",C78)</f>
        <v>EAS_Women_Block_PEF</v>
      </c>
      <c r="S78" s="75">
        <f t="shared" si="49"/>
        <v>0.31</v>
      </c>
      <c r="T78" s="2">
        <v>108</v>
      </c>
      <c r="U78" s="102">
        <f>W78/G78*H78</f>
        <v>0.37224628177000191</v>
      </c>
      <c r="V78" s="76" t="str">
        <f t="shared" si="50"/>
        <v>p=0.40</v>
      </c>
      <c r="W78" s="74">
        <f t="shared" si="51"/>
        <v>0.32054540930194614</v>
      </c>
      <c r="X78" s="74">
        <f t="shared" si="52"/>
        <v>0.69767195355861822</v>
      </c>
      <c r="Y78" s="74">
        <f t="shared" ref="Y78:Y94" si="59">(EXP(2*AA78)-1)/(EXP(2*AA78)+1)-S78</f>
        <v>0.47186393746999783</v>
      </c>
      <c r="Z78" s="74">
        <f t="shared" si="53"/>
        <v>-0.40905730296725756</v>
      </c>
      <c r="AA78" s="74">
        <f t="shared" ref="AA78:AA94" si="60">W78+AB78</f>
        <v>1.0501481215711499</v>
      </c>
      <c r="AB78" s="74">
        <f t="shared" ref="AB78:AB94" si="61">1.96*U78</f>
        <v>0.7296027122692037</v>
      </c>
      <c r="AC78" s="78">
        <f t="shared" si="54"/>
        <v>2.3132833107602724</v>
      </c>
      <c r="AD78" s="78"/>
      <c r="AE78" s="78">
        <f t="shared" si="55"/>
        <v>7.2167101559742344</v>
      </c>
      <c r="AF78" s="79" t="str">
        <f t="shared" ref="AF78:AF94" si="62">CONCATENATE(ROUND(S78,2),", (",ROUND(-(X78-S78),2),", ",ROUND(Y78+S78,2),")")</f>
        <v>0.31, (-0.39, 0.78)</v>
      </c>
      <c r="AG78" s="78">
        <f t="shared" ref="AG78:AG94" si="63">1.96/AB78</f>
        <v>2.6863935221732191</v>
      </c>
      <c r="AH78" s="2">
        <f t="shared" si="56"/>
        <v>0.86111111111111116</v>
      </c>
      <c r="AI78" s="78">
        <f t="shared" si="57"/>
        <v>0.31433694036949617</v>
      </c>
      <c r="AJ78" s="85">
        <f t="shared" si="58"/>
        <v>7</v>
      </c>
    </row>
    <row r="79" spans="1:75" x14ac:dyDescent="0.25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0.75</v>
      </c>
      <c r="H79" s="15">
        <v>0.18</v>
      </c>
      <c r="I79" s="14" t="s">
        <v>27</v>
      </c>
      <c r="J79" s="17">
        <v>0.24</v>
      </c>
      <c r="K79" s="18">
        <v>0.09</v>
      </c>
      <c r="L79" s="14" t="s">
        <v>45</v>
      </c>
      <c r="M79" s="12"/>
      <c r="N79" s="16"/>
      <c r="O79" s="14"/>
      <c r="Q79" s="2" t="str">
        <f>CONCATENATE(B89,"_",E89,"_",D89,"_",C89)</f>
        <v>LASA_Men_Raven_PEF</v>
      </c>
      <c r="S79" s="75">
        <f>G89</f>
        <v>0.54</v>
      </c>
      <c r="T79" s="74">
        <v>107</v>
      </c>
      <c r="U79" s="102">
        <f>W79/G89*H89</f>
        <v>0.21257326770894583</v>
      </c>
      <c r="V79" s="76" t="str">
        <f>I89</f>
        <v>p&lt;0.01 **</v>
      </c>
      <c r="W79" s="74">
        <f>0.5*LN((1+S79)/(1-S79))</f>
        <v>0.60415560296226711</v>
      </c>
      <c r="X79" s="74">
        <f>S79-(EXP(2*Z79)-1)/(EXP(2*Z79)+1)</f>
        <v>0.35465521398561556</v>
      </c>
      <c r="Y79" s="74">
        <f>(EXP(2*AA79)-1)/(EXP(2*AA79)+1)-S79</f>
        <v>0.23019185736865677</v>
      </c>
      <c r="Z79" s="74">
        <f>W79-AB79</f>
        <v>0.18751199825273329</v>
      </c>
      <c r="AA79" s="74">
        <f>W79+AB79</f>
        <v>1.0207992076718009</v>
      </c>
      <c r="AB79" s="74">
        <f>1.96*U79</f>
        <v>0.41664360470953382</v>
      </c>
      <c r="AC79" s="78">
        <f>IF(W79&lt;&gt;"",ABS(W79/U79^2),"")</f>
        <v>13.37000317015068</v>
      </c>
      <c r="AD79" s="78"/>
      <c r="AE79" s="78">
        <f>U79^-2</f>
        <v>22.130065672809312</v>
      </c>
      <c r="AF79" s="79" t="str">
        <f>CONCATENATE(ROUND(S79,2),", (",ROUND(-(X79-S79),2),", ",ROUND(Y79+S79,2),")")</f>
        <v>0.54, (0.19, 0.77)</v>
      </c>
      <c r="AG79" s="78">
        <f t="shared" si="63"/>
        <v>4.7042603746826464</v>
      </c>
      <c r="AH79" s="2">
        <f t="shared" si="56"/>
        <v>4.166666666666667</v>
      </c>
      <c r="AI79" s="78">
        <f t="shared" si="57"/>
        <v>0.2025483380078246</v>
      </c>
      <c r="AJ79" s="85">
        <f t="shared" si="58"/>
        <v>11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5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2">
        <v>0.02</v>
      </c>
      <c r="H80" s="18">
        <v>0.32</v>
      </c>
      <c r="I80" s="20" t="s">
        <v>114</v>
      </c>
      <c r="J80" s="12">
        <v>0.19</v>
      </c>
      <c r="K80" s="13">
        <v>0.06</v>
      </c>
      <c r="L80" s="14" t="s">
        <v>27</v>
      </c>
      <c r="M80" s="19"/>
      <c r="N80" s="18"/>
      <c r="O80" s="14"/>
      <c r="Q80" s="2" t="str">
        <f>CONCATENATE(B90,"_",E90,"_",D90,"_",C90)</f>
        <v>LASA_Women_Raven_PEF</v>
      </c>
      <c r="S80" s="75">
        <f>G90</f>
        <v>-0.14000000000000001</v>
      </c>
      <c r="T80" s="2">
        <v>106</v>
      </c>
      <c r="U80" s="102">
        <f>W80/G90*H90</f>
        <v>0.45297506594087339</v>
      </c>
      <c r="V80" s="76" t="str">
        <f>I90</f>
        <v>p=0.75</v>
      </c>
      <c r="W80" s="74">
        <f>0.5*LN((1+S80)/(1-S80))</f>
        <v>-0.14092557607049394</v>
      </c>
      <c r="X80" s="74">
        <f>S80-(EXP(2*Z80)-1)/(EXP(2*Z80)+1)</f>
        <v>0.63340921677976658</v>
      </c>
      <c r="Y80" s="74">
        <f>(EXP(2*AA80)-1)/(EXP(2*AA80)+1)-S80</f>
        <v>0.77329921970155135</v>
      </c>
      <c r="Z80" s="74">
        <f>W80-AB80</f>
        <v>-1.0287567053146058</v>
      </c>
      <c r="AA80" s="74">
        <f>W80+AB80</f>
        <v>0.74690555317361784</v>
      </c>
      <c r="AB80" s="74">
        <f>1.96*U80</f>
        <v>0.88783112924411178</v>
      </c>
      <c r="AC80" s="78">
        <f>IF(W80&lt;&gt;"",ABS(W80/U80^2),"")</f>
        <v>0.6868172985744877</v>
      </c>
      <c r="AD80" s="78"/>
      <c r="AE80" s="78">
        <f>U80^-2</f>
        <v>4.8736171085859334</v>
      </c>
      <c r="AF80" s="79" t="str">
        <f>CONCATENATE(ROUND(S80,2),", (",ROUND(-(X80-S80),2),", ",ROUND(Y80+S80,2),")")</f>
        <v>-0.14, (-0.77, 0.63)</v>
      </c>
      <c r="AG80" s="78">
        <f t="shared" si="63"/>
        <v>2.2076270311322821</v>
      </c>
      <c r="AH80" s="2">
        <f t="shared" si="56"/>
        <v>6.25E-2</v>
      </c>
      <c r="AI80" s="78">
        <f t="shared" si="57"/>
        <v>1.3426555807508189</v>
      </c>
      <c r="AJ80" s="85">
        <f t="shared" si="58"/>
        <v>6</v>
      </c>
    </row>
    <row r="81" spans="1:72" x14ac:dyDescent="0.25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0.14000000000000001</v>
      </c>
      <c r="H81" s="15">
        <v>0.21</v>
      </c>
      <c r="I81" s="14" t="s">
        <v>33</v>
      </c>
      <c r="J81" s="12">
        <v>0.28999999999999998</v>
      </c>
      <c r="K81" s="13">
        <v>0.13</v>
      </c>
      <c r="L81" s="14" t="s">
        <v>19</v>
      </c>
      <c r="M81" s="12"/>
      <c r="N81" s="16"/>
      <c r="O81" s="14"/>
      <c r="Q81" s="2" t="str">
        <f>CONCATENATE(B79,"_",E79,"_",D79,"_",C79)</f>
        <v>OCTO_Men_Block_PEF</v>
      </c>
      <c r="S81" s="75">
        <f>G79</f>
        <v>0.75</v>
      </c>
      <c r="T81" s="74">
        <v>105</v>
      </c>
      <c r="U81" s="102">
        <f>W81/G79*H79</f>
        <v>0.23350921788663759</v>
      </c>
      <c r="V81" s="76" t="str">
        <f>I79</f>
        <v>p&lt;0.01 ***</v>
      </c>
      <c r="W81" s="74">
        <f t="shared" si="51"/>
        <v>0.97295507452765662</v>
      </c>
      <c r="X81" s="74">
        <f t="shared" si="52"/>
        <v>0.27595342182670396</v>
      </c>
      <c r="Y81" s="74">
        <f t="shared" si="59"/>
        <v>0.14179627594416144</v>
      </c>
      <c r="Z81" s="74">
        <f t="shared" si="53"/>
        <v>0.51527700746984695</v>
      </c>
      <c r="AA81" s="74">
        <f t="shared" si="60"/>
        <v>1.4306331415854663</v>
      </c>
      <c r="AB81" s="74">
        <f t="shared" si="61"/>
        <v>0.45767806705780967</v>
      </c>
      <c r="AC81" s="78">
        <f t="shared" si="54"/>
        <v>17.843692443394122</v>
      </c>
      <c r="AD81" s="78"/>
      <c r="AE81" s="78">
        <f t="shared" si="55"/>
        <v>18.339687936831773</v>
      </c>
      <c r="AF81" s="79" t="str">
        <f t="shared" si="62"/>
        <v>0.75, (0.47, 0.89)</v>
      </c>
      <c r="AG81" s="78">
        <f t="shared" si="63"/>
        <v>4.2824861864145891</v>
      </c>
      <c r="AH81" s="2">
        <f t="shared" si="56"/>
        <v>0.66666666666666674</v>
      </c>
      <c r="AI81" s="78">
        <f t="shared" si="57"/>
        <v>1.2675389883844697</v>
      </c>
      <c r="AJ81" s="85">
        <f t="shared" si="58"/>
        <v>10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x14ac:dyDescent="0.25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2">
        <v>0.19</v>
      </c>
      <c r="H82" s="18">
        <v>0.24</v>
      </c>
      <c r="I82" s="20" t="s">
        <v>116</v>
      </c>
      <c r="J82" s="17">
        <v>0.2</v>
      </c>
      <c r="K82" s="18">
        <v>0.12</v>
      </c>
      <c r="L82" s="14" t="s">
        <v>120</v>
      </c>
      <c r="M82" s="19"/>
      <c r="N82" s="18"/>
      <c r="O82" s="14"/>
      <c r="Q82" s="2" t="str">
        <f>CONCATENATE(B80,"_",E80,"_",D80,"_",C80)</f>
        <v>OCTO_Women_Block_PEF</v>
      </c>
      <c r="S82" s="75">
        <f>G80</f>
        <v>0.02</v>
      </c>
      <c r="T82" s="2">
        <v>104</v>
      </c>
      <c r="U82" s="102">
        <f>W82/G80*H80</f>
        <v>0.32004267690959365</v>
      </c>
      <c r="V82" s="76" t="str">
        <f>I80</f>
        <v>p=0.94</v>
      </c>
      <c r="W82" s="74">
        <f t="shared" si="51"/>
        <v>2.0002667306849603E-2</v>
      </c>
      <c r="X82" s="74">
        <f t="shared" si="52"/>
        <v>0.56221027920181788</v>
      </c>
      <c r="Y82" s="74">
        <f t="shared" si="59"/>
        <v>0.54984029654331368</v>
      </c>
      <c r="Z82" s="74">
        <f t="shared" si="53"/>
        <v>-0.60728097943595394</v>
      </c>
      <c r="AA82" s="74">
        <f t="shared" si="60"/>
        <v>0.6472863140496532</v>
      </c>
      <c r="AB82" s="74">
        <f t="shared" si="61"/>
        <v>0.62728364674280357</v>
      </c>
      <c r="AC82" s="78">
        <f t="shared" si="54"/>
        <v>0.19528645555497318</v>
      </c>
      <c r="AD82" s="78"/>
      <c r="AE82" s="78">
        <f t="shared" si="55"/>
        <v>9.7630207291454756</v>
      </c>
      <c r="AF82" s="79" t="str">
        <f t="shared" si="62"/>
        <v>0.02, (-0.54, 0.57)</v>
      </c>
      <c r="AG82" s="78">
        <f t="shared" si="63"/>
        <v>3.1245832888795708</v>
      </c>
      <c r="AH82" s="2">
        <f t="shared" si="56"/>
        <v>0.79166666666666674</v>
      </c>
      <c r="AI82" s="78">
        <f t="shared" si="57"/>
        <v>0.93724131872136607</v>
      </c>
      <c r="AJ82" s="85">
        <f t="shared" si="58"/>
        <v>7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x14ac:dyDescent="0.25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0.52</v>
      </c>
      <c r="H83" s="15">
        <v>0.43</v>
      </c>
      <c r="I83" s="14" t="s">
        <v>83</v>
      </c>
      <c r="J83" s="12">
        <v>0.15</v>
      </c>
      <c r="K83" s="13">
        <v>0.08</v>
      </c>
      <c r="L83" s="14" t="s">
        <v>65</v>
      </c>
      <c r="M83" s="12"/>
      <c r="N83" s="16"/>
      <c r="O83" s="14"/>
      <c r="Q83" s="2" t="str">
        <f>CONCATENATE(B84,"_",E84,"_",D84,"_",C84)</f>
        <v>OCTO_Men_Fig_Reason_PEF</v>
      </c>
      <c r="S83" s="75">
        <f>G84</f>
        <v>0.79</v>
      </c>
      <c r="T83" s="74">
        <v>103</v>
      </c>
      <c r="U83" s="102">
        <f>W83/G84*H84</f>
        <v>0.18987396932685224</v>
      </c>
      <c r="V83" s="76" t="str">
        <f>I84</f>
        <v>p&lt;0.01 ***</v>
      </c>
      <c r="W83" s="74">
        <f>0.5*LN((1+S83)/(1-S83))</f>
        <v>1.0714316840586662</v>
      </c>
      <c r="X83" s="74">
        <f>S83-(EXP(2*Z83)-1)/(EXP(2*Z83)+1)</f>
        <v>0.1860902574877803</v>
      </c>
      <c r="Y83" s="74">
        <f>(EXP(2*AA83)-1)/(EXP(2*AA83)+1)-S83</f>
        <v>0.10441702829015764</v>
      </c>
      <c r="Z83" s="74">
        <f>W83-AB83</f>
        <v>0.69927870417803573</v>
      </c>
      <c r="AA83" s="74">
        <f>W83+AB83</f>
        <v>1.4435846639392966</v>
      </c>
      <c r="AB83" s="74">
        <f>1.96*U83</f>
        <v>0.3721529798806304</v>
      </c>
      <c r="AC83" s="78">
        <f>IF(W83&lt;&gt;"",ABS(W83/U83^2),"")</f>
        <v>29.718961281856565</v>
      </c>
      <c r="AD83" s="78"/>
      <c r="AE83" s="78">
        <f>U83^-2</f>
        <v>27.737616615255241</v>
      </c>
      <c r="AF83" s="79" t="str">
        <f>CONCATENATE(ROUND(S83,2),", (",ROUND(-(X83-S83),2),", ",ROUND(Y83+S83,2),")")</f>
        <v>0.79, (0.6, 0.89)</v>
      </c>
      <c r="AG83" s="78">
        <f t="shared" si="63"/>
        <v>5.266651366404961</v>
      </c>
      <c r="AH83" s="2">
        <f t="shared" si="56"/>
        <v>1.2093023255813955</v>
      </c>
      <c r="AI83" s="78">
        <f t="shared" si="57"/>
        <v>3.5306738688811623</v>
      </c>
      <c r="AJ83" s="85">
        <f t="shared" si="58"/>
        <v>12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ht="14.1" customHeight="1" x14ac:dyDescent="0.25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0.79</v>
      </c>
      <c r="H84" s="15">
        <v>0.14000000000000001</v>
      </c>
      <c r="I84" s="14" t="s">
        <v>27</v>
      </c>
      <c r="J84" s="17">
        <v>0.14000000000000001</v>
      </c>
      <c r="K84" s="18">
        <v>0.05</v>
      </c>
      <c r="L84" s="14" t="s">
        <v>45</v>
      </c>
      <c r="M84" s="12"/>
      <c r="N84" s="16"/>
      <c r="O84" s="14"/>
      <c r="Q84" s="2" t="str">
        <f>CONCATENATE(B85,"_",E85,"_",D85,"_",C85)</f>
        <v>OCTO_Women_Fig_Reason_PEF</v>
      </c>
      <c r="S84" s="75">
        <f>G85</f>
        <v>0.18</v>
      </c>
      <c r="T84" s="2">
        <v>102</v>
      </c>
      <c r="U84" s="102">
        <f>W84/G85*H85</f>
        <v>0.43473642276835256</v>
      </c>
      <c r="V84" s="76" t="str">
        <f>I85</f>
        <v>p=0.67</v>
      </c>
      <c r="W84" s="74">
        <f>0.5*LN((1+S84)/(1-S84))</f>
        <v>0.18198268860070574</v>
      </c>
      <c r="X84" s="74">
        <f>S84-(EXP(2*Z84)-1)/(EXP(2*Z84)+1)</f>
        <v>0.76504611930794097</v>
      </c>
      <c r="Y84" s="74">
        <f>(EXP(2*AA84)-1)/(EXP(2*AA84)+1)-S84</f>
        <v>0.59553398022602977</v>
      </c>
      <c r="Z84" s="74">
        <f>W84-AB84</f>
        <v>-0.67010070002526523</v>
      </c>
      <c r="AA84" s="74">
        <f>W84+AB84</f>
        <v>1.0340660772266768</v>
      </c>
      <c r="AB84" s="74">
        <f>1.96*U84</f>
        <v>0.85208338862597099</v>
      </c>
      <c r="AC84" s="78">
        <f>IF(W84&lt;&gt;"",ABS(W84/U84^2),"")</f>
        <v>0.96289298351668695</v>
      </c>
      <c r="AD84" s="78"/>
      <c r="AE84" s="78">
        <f>U84^-2</f>
        <v>5.2911240674622766</v>
      </c>
      <c r="AF84" s="79" t="str">
        <f>CONCATENATE(ROUND(S84,2),", (",ROUND(-(X84-S84),2),", ",ROUND(Y84+S84,2),")")</f>
        <v>0.18, (-0.59, 0.78)</v>
      </c>
      <c r="AG84" s="78">
        <f t="shared" si="63"/>
        <v>2.3002443495120852</v>
      </c>
      <c r="AH84" s="2">
        <f t="shared" si="56"/>
        <v>5.6428571428571423</v>
      </c>
      <c r="AI84" s="78">
        <f t="shared" si="57"/>
        <v>0.61846616550837719</v>
      </c>
      <c r="AJ84" s="85">
        <f t="shared" si="58"/>
        <v>6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ht="14.1" customHeight="1" x14ac:dyDescent="0.25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2">
        <v>0.18</v>
      </c>
      <c r="H85" s="18">
        <v>0.43</v>
      </c>
      <c r="I85" s="20" t="s">
        <v>121</v>
      </c>
      <c r="J85" s="12">
        <v>-0.01</v>
      </c>
      <c r="K85" s="13">
        <v>0.06</v>
      </c>
      <c r="L85" s="14" t="s">
        <v>57</v>
      </c>
      <c r="M85" s="19"/>
      <c r="N85" s="18"/>
      <c r="O85" s="14"/>
      <c r="Q85" s="2" t="str">
        <f>CONCATENATE(B81,"_",E81,"_",D81,"_",C81)</f>
        <v>SATSA_Men_Block_FEV1</v>
      </c>
      <c r="S85" s="75">
        <f>G81</f>
        <v>0.14000000000000001</v>
      </c>
      <c r="T85" s="74">
        <v>101</v>
      </c>
      <c r="U85" s="102">
        <f>W85/G81*H81</f>
        <v>0.21138836410574086</v>
      </c>
      <c r="V85" s="76" t="str">
        <f>I81</f>
        <v>p=0.49</v>
      </c>
      <c r="W85" s="74">
        <f t="shared" si="51"/>
        <v>0.14092557607049391</v>
      </c>
      <c r="X85" s="74">
        <f t="shared" si="52"/>
        <v>0.40678162624121322</v>
      </c>
      <c r="Y85" s="74">
        <f t="shared" si="59"/>
        <v>0.36444222199266341</v>
      </c>
      <c r="Z85" s="74">
        <f t="shared" si="53"/>
        <v>-0.27339561757675812</v>
      </c>
      <c r="AA85" s="74">
        <f t="shared" si="60"/>
        <v>0.555246769717746</v>
      </c>
      <c r="AB85" s="74">
        <f t="shared" si="61"/>
        <v>0.41432119364725206</v>
      </c>
      <c r="AC85" s="78">
        <f t="shared" si="54"/>
        <v>3.1537529016175467</v>
      </c>
      <c r="AD85" s="78"/>
      <c r="AE85" s="78">
        <f t="shared" si="55"/>
        <v>22.378854070037463</v>
      </c>
      <c r="AF85" s="79" t="str">
        <f t="shared" si="62"/>
        <v>0.14, (-0.27, 0.5)</v>
      </c>
      <c r="AG85" s="78">
        <f t="shared" si="63"/>
        <v>4.7306293524263197</v>
      </c>
      <c r="AH85" s="2">
        <f t="shared" si="56"/>
        <v>0.41860465116279066</v>
      </c>
      <c r="AI85" s="78">
        <f t="shared" si="57"/>
        <v>0.43542042667407088</v>
      </c>
      <c r="AJ85" s="85">
        <f t="shared" si="58"/>
        <v>11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ht="14.1" customHeight="1" x14ac:dyDescent="0.25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0.39</v>
      </c>
      <c r="H86" s="15">
        <v>0.74</v>
      </c>
      <c r="I86" s="14" t="s">
        <v>123</v>
      </c>
      <c r="J86" s="12">
        <v>0.18</v>
      </c>
      <c r="K86" s="13">
        <v>0.05</v>
      </c>
      <c r="L86" s="14" t="s">
        <v>27</v>
      </c>
      <c r="M86" s="12"/>
      <c r="N86" s="16"/>
      <c r="O86" s="14"/>
      <c r="Q86" s="2" t="str">
        <f>CONCATENATE(B82,"_",E82,"_",D82,"_",C82)</f>
        <v>SATSA_Women_Block_FEV1</v>
      </c>
      <c r="S86" s="75">
        <f>G82</f>
        <v>0.19</v>
      </c>
      <c r="T86" s="2">
        <v>100</v>
      </c>
      <c r="U86" s="102">
        <f>W86/G82*H82</f>
        <v>0.24295221375100456</v>
      </c>
      <c r="V86" s="76" t="str">
        <f>I82</f>
        <v>p=0.43</v>
      </c>
      <c r="W86" s="74">
        <f t="shared" si="51"/>
        <v>0.19233716921954527</v>
      </c>
      <c r="X86" s="74">
        <f t="shared" si="52"/>
        <v>0.4664638190961975</v>
      </c>
      <c r="Y86" s="74">
        <f t="shared" si="59"/>
        <v>0.39400780982598321</v>
      </c>
      <c r="Z86" s="74">
        <f t="shared" si="53"/>
        <v>-0.28384916973242369</v>
      </c>
      <c r="AA86" s="74">
        <f t="shared" si="60"/>
        <v>0.66852350817151418</v>
      </c>
      <c r="AB86" s="74">
        <f t="shared" si="61"/>
        <v>0.47618633895196893</v>
      </c>
      <c r="AC86" s="78">
        <f t="shared" si="54"/>
        <v>3.2585283107484888</v>
      </c>
      <c r="AD86" s="78"/>
      <c r="AE86" s="78">
        <f t="shared" si="55"/>
        <v>16.941750385381869</v>
      </c>
      <c r="AF86" s="79" t="str">
        <f t="shared" si="62"/>
        <v>0.19, (-0.28, 0.58)</v>
      </c>
      <c r="AG86" s="78">
        <f t="shared" si="63"/>
        <v>4.1160357609454596</v>
      </c>
      <c r="AH86" s="2">
        <f t="shared" si="56"/>
        <v>0.52702702702702708</v>
      </c>
      <c r="AI86" s="78">
        <f t="shared" si="57"/>
        <v>0.35532142278680195</v>
      </c>
      <c r="AJ86" s="85">
        <f t="shared" si="58"/>
        <v>10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ht="14.1" customHeight="1" x14ac:dyDescent="0.25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2">
        <v>-0.32</v>
      </c>
      <c r="H87" s="18">
        <v>0.87</v>
      </c>
      <c r="I87" s="20" t="s">
        <v>17</v>
      </c>
      <c r="J87" s="17">
        <v>0.28999999999999998</v>
      </c>
      <c r="K87" s="18">
        <v>0.05</v>
      </c>
      <c r="L87" s="14" t="s">
        <v>27</v>
      </c>
      <c r="M87" s="19"/>
      <c r="N87" s="18"/>
      <c r="O87" s="14"/>
      <c r="Q87" s="2" t="str">
        <f>CONCATENATE(B83,"_",E83,"_",D83,"_",C83)</f>
        <v>NAS_Men_Fig_Copy_FEV1</v>
      </c>
      <c r="S87" s="75">
        <f>G83</f>
        <v>0.52</v>
      </c>
      <c r="T87" s="74">
        <v>99</v>
      </c>
      <c r="U87" s="102">
        <f>W87/G83*H83</f>
        <v>0.47658864353221703</v>
      </c>
      <c r="V87" s="76" t="str">
        <f>I83</f>
        <v>p=0.23</v>
      </c>
      <c r="W87" s="74">
        <f t="shared" si="51"/>
        <v>0.57633975496919276</v>
      </c>
      <c r="X87" s="74">
        <f t="shared" si="52"/>
        <v>0.86325179596814872</v>
      </c>
      <c r="Y87" s="74">
        <f t="shared" si="59"/>
        <v>0.38701949603699559</v>
      </c>
      <c r="Z87" s="74">
        <f t="shared" si="53"/>
        <v>-0.35777398635395263</v>
      </c>
      <c r="AA87" s="74">
        <f t="shared" si="60"/>
        <v>1.5104534962923382</v>
      </c>
      <c r="AB87" s="74">
        <f t="shared" si="61"/>
        <v>0.9341137413231454</v>
      </c>
      <c r="AC87" s="78">
        <f t="shared" si="54"/>
        <v>2.5374132220581282</v>
      </c>
      <c r="AD87" s="78"/>
      <c r="AE87" s="78">
        <f t="shared" si="55"/>
        <v>4.4026343839386213</v>
      </c>
      <c r="AF87" s="79" t="str">
        <f t="shared" si="62"/>
        <v>0.52, (-0.34, 0.91)</v>
      </c>
      <c r="AG87" s="78">
        <f t="shared" si="63"/>
        <v>2.0982455490096057</v>
      </c>
      <c r="AH87" s="2">
        <f t="shared" si="56"/>
        <v>-0.36781609195402298</v>
      </c>
      <c r="AI87" s="78">
        <f t="shared" si="57"/>
        <v>0.14669590753266895</v>
      </c>
      <c r="AJ87" s="85">
        <f t="shared" si="58"/>
        <v>5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ht="14.1" customHeight="1" x14ac:dyDescent="0.25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-0.25</v>
      </c>
      <c r="H88" s="15">
        <v>0.28000000000000003</v>
      </c>
      <c r="I88" s="14" t="s">
        <v>87</v>
      </c>
      <c r="J88" s="12">
        <v>0.08</v>
      </c>
      <c r="K88" s="13">
        <v>0.08</v>
      </c>
      <c r="L88" s="14" t="s">
        <v>49</v>
      </c>
      <c r="M88" s="12"/>
      <c r="N88" s="16"/>
      <c r="O88" s="14"/>
      <c r="Q88" s="2" t="str">
        <f>CONCATENATE(B88,"_",E88,"_",D88,"_",C88)</f>
        <v>NAS_Men_Patt_Comp_FEV1</v>
      </c>
      <c r="S88" s="75">
        <f>G88</f>
        <v>-0.25</v>
      </c>
      <c r="T88" s="2">
        <v>98</v>
      </c>
      <c r="U88" s="102">
        <f>W88/G88*H88</f>
        <v>0.28606234930895486</v>
      </c>
      <c r="V88" s="76" t="str">
        <f>I88</f>
        <v>p=0.37</v>
      </c>
      <c r="W88" s="74">
        <f>0.5*LN((1+S88)/(1-S88))</f>
        <v>-0.25541281188299536</v>
      </c>
      <c r="X88" s="74">
        <f>S88-(EXP(2*Z88)-1)/(EXP(2*Z88)+1)</f>
        <v>0.42293886102966405</v>
      </c>
      <c r="Y88" s="74">
        <f>(EXP(2*AA88)-1)/(EXP(2*AA88)+1)-S88</f>
        <v>0.54612739308824687</v>
      </c>
      <c r="Z88" s="74">
        <f>W88-AB88</f>
        <v>-0.81609501652854688</v>
      </c>
      <c r="AA88" s="74">
        <f>W88+AB88</f>
        <v>0.30526939276255616</v>
      </c>
      <c r="AB88" s="74">
        <f>1.96*U88</f>
        <v>0.56068220464555152</v>
      </c>
      <c r="AC88" s="78">
        <f>IF(W88&lt;&gt;"",ABS(W88/U88^2),"")</f>
        <v>3.1211976864974758</v>
      </c>
      <c r="AD88" s="78"/>
      <c r="AE88" s="78">
        <f>U88^-2</f>
        <v>12.220207997738566</v>
      </c>
      <c r="AF88" s="79" t="str">
        <f>CONCATENATE(ROUND(S88,2),", (",ROUND(-(X88-S88),2),", ",ROUND(Y88+S88,2),")")</f>
        <v>-0.25, (-0.67, 0.3)</v>
      </c>
      <c r="AG88" s="78">
        <f t="shared" si="63"/>
        <v>3.4957414088771737</v>
      </c>
      <c r="AH88" s="2">
        <f t="shared" si="56"/>
        <v>-0.89285714285714279</v>
      </c>
      <c r="AI88" s="78">
        <f t="shared" si="57"/>
        <v>2.1185948244353963</v>
      </c>
      <c r="AJ88" s="85">
        <f t="shared" si="58"/>
        <v>8</v>
      </c>
    </row>
    <row r="89" spans="1:72" ht="14.1" customHeight="1" x14ac:dyDescent="0.25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0.54</v>
      </c>
      <c r="H89" s="15">
        <v>0.19</v>
      </c>
      <c r="I89" s="14" t="s">
        <v>45</v>
      </c>
      <c r="J89" s="17">
        <v>0.18</v>
      </c>
      <c r="K89" s="18">
        <v>0.05</v>
      </c>
      <c r="L89" s="14" t="s">
        <v>27</v>
      </c>
      <c r="M89" s="12"/>
      <c r="N89" s="16"/>
      <c r="O89" s="14"/>
      <c r="Q89" s="2" t="str">
        <f>CONCATENATE(B86,"_",E86,"_",D86,"_",C86)</f>
        <v>MAP_Men_Line_FEV1</v>
      </c>
      <c r="S89" s="75">
        <f>G86</f>
        <v>0.39</v>
      </c>
      <c r="T89" s="74">
        <v>97</v>
      </c>
      <c r="U89" s="102">
        <f>W89/G86*H86</f>
        <v>0.78136416798520714</v>
      </c>
      <c r="V89" s="76" t="str">
        <f>I86</f>
        <v>p=0.6</v>
      </c>
      <c r="W89" s="74">
        <f t="shared" si="51"/>
        <v>0.41180003447869029</v>
      </c>
      <c r="X89" s="74">
        <f t="shared" si="52"/>
        <v>1.1974554010415241</v>
      </c>
      <c r="Y89" s="74">
        <f t="shared" si="59"/>
        <v>0.56979278657183108</v>
      </c>
      <c r="Z89" s="74">
        <f t="shared" si="53"/>
        <v>-1.1196737347723156</v>
      </c>
      <c r="AA89" s="74">
        <f t="shared" si="60"/>
        <v>1.9432738037296962</v>
      </c>
      <c r="AB89" s="74">
        <f t="shared" si="61"/>
        <v>1.5314737692510059</v>
      </c>
      <c r="AC89" s="78">
        <f t="shared" si="54"/>
        <v>0.67449602710346557</v>
      </c>
      <c r="AD89" s="78"/>
      <c r="AE89" s="78">
        <f t="shared" si="55"/>
        <v>1.6379212497088054</v>
      </c>
      <c r="AF89" s="79" t="str">
        <f t="shared" si="62"/>
        <v>0.39, (-0.81, 0.96)</v>
      </c>
      <c r="AG89" s="78">
        <f t="shared" si="63"/>
        <v>1.2798129745040114</v>
      </c>
      <c r="AH89" s="2">
        <f t="shared" si="56"/>
        <v>2.8421052631578947</v>
      </c>
      <c r="AI89" s="78">
        <f t="shared" si="57"/>
        <v>0.53451987225921505</v>
      </c>
      <c r="AJ89" s="85">
        <f t="shared" si="58"/>
        <v>4</v>
      </c>
    </row>
    <row r="90" spans="1:72" ht="14.1" customHeight="1" x14ac:dyDescent="0.25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2">
        <v>-0.14000000000000001</v>
      </c>
      <c r="H90" s="18">
        <v>0.45</v>
      </c>
      <c r="I90" s="20" t="s">
        <v>85</v>
      </c>
      <c r="J90" s="23">
        <v>0.19</v>
      </c>
      <c r="K90" s="24">
        <v>0.08</v>
      </c>
      <c r="L90" s="25" t="s">
        <v>66</v>
      </c>
      <c r="M90" s="19"/>
      <c r="N90" s="18"/>
      <c r="O90" s="14"/>
      <c r="Q90" s="2" t="str">
        <f>CONCATENATE(B87,"_",E87,"_",D87,"_",C87)</f>
        <v>MAP_Women_Line_FEV1</v>
      </c>
      <c r="S90" s="75">
        <f>G87</f>
        <v>-0.32</v>
      </c>
      <c r="T90" s="2">
        <v>96</v>
      </c>
      <c r="U90" s="102">
        <f>W90/G87*H87</f>
        <v>0.90166557679207815</v>
      </c>
      <c r="V90" s="76" t="str">
        <f>I87</f>
        <v>p=0.72</v>
      </c>
      <c r="W90" s="74">
        <f t="shared" si="51"/>
        <v>-0.3316471087051322</v>
      </c>
      <c r="X90" s="74">
        <f t="shared" si="52"/>
        <v>0.65038850196673237</v>
      </c>
      <c r="Y90" s="74">
        <f t="shared" si="59"/>
        <v>1.212812031718195</v>
      </c>
      <c r="Z90" s="74">
        <f t="shared" si="53"/>
        <v>-2.0989116392176053</v>
      </c>
      <c r="AA90" s="74">
        <f t="shared" si="60"/>
        <v>1.435617421807341</v>
      </c>
      <c r="AB90" s="74">
        <f t="shared" si="61"/>
        <v>1.7672645305124732</v>
      </c>
      <c r="AC90" s="78">
        <f t="shared" si="54"/>
        <v>0.40792961539313644</v>
      </c>
      <c r="AD90" s="78"/>
      <c r="AE90" s="78">
        <f t="shared" si="55"/>
        <v>1.2300110710623655</v>
      </c>
      <c r="AF90" s="79" t="str">
        <f t="shared" si="62"/>
        <v>-0.32, (-0.97, 0.89)</v>
      </c>
      <c r="AG90" s="78">
        <f t="shared" si="63"/>
        <v>1.1090586418500896</v>
      </c>
      <c r="AH90" s="2">
        <f t="shared" si="56"/>
        <v>-0.31111111111111112</v>
      </c>
      <c r="AI90" s="78">
        <f t="shared" si="57"/>
        <v>1.4105392955956113</v>
      </c>
      <c r="AJ90" s="85">
        <f t="shared" si="58"/>
        <v>3</v>
      </c>
    </row>
    <row r="91" spans="1:72" ht="14.1" customHeight="1" x14ac:dyDescent="0.25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0.43</v>
      </c>
      <c r="H91" s="15">
        <v>0.68</v>
      </c>
      <c r="I91" s="14" t="s">
        <v>44</v>
      </c>
      <c r="J91" s="28">
        <v>0.28999999999999998</v>
      </c>
      <c r="K91" s="29">
        <v>0.08</v>
      </c>
      <c r="L91" s="25" t="s">
        <v>27</v>
      </c>
      <c r="M91" s="12"/>
      <c r="N91" s="16"/>
      <c r="O91" s="14"/>
      <c r="Q91" s="2" t="str">
        <f>CONCATENATE(B91,"_",E91,"_",D91,"_",C91)</f>
        <v>MAP_Men_Raven_FEV1</v>
      </c>
      <c r="S91" s="75">
        <f>G91</f>
        <v>0.43</v>
      </c>
      <c r="T91" s="74">
        <v>95</v>
      </c>
      <c r="U91" s="102">
        <f>W91/G91*H91</f>
        <v>0.72727847261539857</v>
      </c>
      <c r="V91" s="76" t="str">
        <f>I91</f>
        <v>p=0.52</v>
      </c>
      <c r="W91" s="74">
        <f t="shared" si="51"/>
        <v>0.45989668121267852</v>
      </c>
      <c r="X91" s="74">
        <f t="shared" si="52"/>
        <v>1.1767507068805492</v>
      </c>
      <c r="Y91" s="74">
        <f t="shared" si="59"/>
        <v>0.52496664507077839</v>
      </c>
      <c r="Z91" s="74">
        <f t="shared" si="53"/>
        <v>-0.96556912511350257</v>
      </c>
      <c r="AA91" s="74">
        <f t="shared" si="60"/>
        <v>1.8853624875388597</v>
      </c>
      <c r="AB91" s="74">
        <f t="shared" si="61"/>
        <v>1.4254658063261811</v>
      </c>
      <c r="AC91" s="78">
        <f t="shared" si="54"/>
        <v>0.86947842537183584</v>
      </c>
      <c r="AD91" s="78"/>
      <c r="AE91" s="78">
        <f t="shared" si="55"/>
        <v>1.8905951290606224</v>
      </c>
      <c r="AF91" s="79" t="str">
        <f t="shared" si="62"/>
        <v>0.43, (-0.75, 0.95)</v>
      </c>
      <c r="AG91" s="78">
        <f t="shared" si="63"/>
        <v>1.3749891377973218</v>
      </c>
      <c r="AH91" s="2">
        <f t="shared" si="56"/>
        <v>0.63235294117647056</v>
      </c>
      <c r="AI91" s="78">
        <f t="shared" si="57"/>
        <v>0.45883140170834236</v>
      </c>
      <c r="AJ91" s="85">
        <f t="shared" si="58"/>
        <v>4</v>
      </c>
    </row>
    <row r="92" spans="1:72" ht="14.1" customHeight="1" x14ac:dyDescent="0.25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2">
        <v>0.64</v>
      </c>
      <c r="H92" s="18">
        <v>0.82</v>
      </c>
      <c r="I92" s="20" t="s">
        <v>41</v>
      </c>
      <c r="J92" s="28"/>
      <c r="K92" s="29"/>
      <c r="L92" s="25"/>
      <c r="M92" s="19"/>
      <c r="N92" s="18"/>
      <c r="O92" s="14"/>
      <c r="Q92" s="2" t="str">
        <f>CONCATENATE(B92,"_",E92,"_",D92,"_",C92)</f>
        <v>MAP_Women_Raven_FEV1</v>
      </c>
      <c r="S92" s="75">
        <f>G92</f>
        <v>0.64</v>
      </c>
      <c r="T92" s="2">
        <v>94</v>
      </c>
      <c r="U92" s="102">
        <f>W92/G92*H92</f>
        <v>0.97141011037643166</v>
      </c>
      <c r="V92" s="76" t="str">
        <f>I92</f>
        <v>p=0.44</v>
      </c>
      <c r="W92" s="74">
        <f t="shared" si="51"/>
        <v>0.7581737446840443</v>
      </c>
      <c r="X92" s="74">
        <f t="shared" si="52"/>
        <v>1.4563546105402758</v>
      </c>
      <c r="Y92" s="74">
        <f t="shared" si="59"/>
        <v>0.35030347779693838</v>
      </c>
      <c r="Z92" s="74">
        <f t="shared" si="53"/>
        <v>-1.1457900716537619</v>
      </c>
      <c r="AA92" s="74">
        <f t="shared" si="60"/>
        <v>2.6621375610218503</v>
      </c>
      <c r="AB92" s="74">
        <f t="shared" si="61"/>
        <v>1.9039638163378061</v>
      </c>
      <c r="AC92" s="78">
        <f t="shared" si="54"/>
        <v>0.80345859749761261</v>
      </c>
      <c r="AD92" s="78"/>
      <c r="AE92" s="78">
        <f t="shared" si="55"/>
        <v>1.0597288591580549</v>
      </c>
      <c r="AF92" s="79" t="str">
        <f t="shared" si="62"/>
        <v>0.64, (-0.82, 0.99)</v>
      </c>
      <c r="AG92" s="78">
        <f t="shared" si="63"/>
        <v>1.0294313280438161</v>
      </c>
      <c r="AH92" s="2">
        <f t="shared" si="56"/>
        <v>0.78048780487804881</v>
      </c>
      <c r="AI92" s="78">
        <f t="shared" si="57"/>
        <v>0.36215353457970756</v>
      </c>
      <c r="AJ92" s="85">
        <f t="shared" si="58"/>
        <v>3</v>
      </c>
    </row>
    <row r="93" spans="1:72" ht="14.1" customHeight="1" x14ac:dyDescent="0.25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0.14000000000000001</v>
      </c>
      <c r="H93" s="26">
        <v>0.38</v>
      </c>
      <c r="I93" s="25" t="s">
        <v>17</v>
      </c>
      <c r="J93" s="28"/>
      <c r="K93" s="29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0.14000000000000001</v>
      </c>
      <c r="T93" s="74">
        <v>93</v>
      </c>
      <c r="U93" s="102">
        <f>W93/G93*H93</f>
        <v>0.38251227790562631</v>
      </c>
      <c r="V93" s="76" t="str">
        <f>I93</f>
        <v>p=0.72</v>
      </c>
      <c r="W93" s="74">
        <f t="shared" si="51"/>
        <v>0.14092557607049391</v>
      </c>
      <c r="X93" s="74">
        <f t="shared" si="52"/>
        <v>0.68328077121667796</v>
      </c>
      <c r="Y93" s="74">
        <f t="shared" si="59"/>
        <v>0.57171445344242189</v>
      </c>
      <c r="Z93" s="74">
        <f t="shared" si="53"/>
        <v>-0.60879848862453356</v>
      </c>
      <c r="AA93" s="74">
        <f t="shared" si="60"/>
        <v>0.89064964076552144</v>
      </c>
      <c r="AB93" s="74">
        <f t="shared" si="61"/>
        <v>0.7497240646950275</v>
      </c>
      <c r="AC93" s="78">
        <f t="shared" si="54"/>
        <v>0.96316137784857203</v>
      </c>
      <c r="AD93" s="78"/>
      <c r="AE93" s="78">
        <f t="shared" si="55"/>
        <v>6.8345392277607484</v>
      </c>
      <c r="AF93" s="79" t="str">
        <f t="shared" si="62"/>
        <v>0.14, (-0.54, 0.71)</v>
      </c>
      <c r="AG93" s="78">
        <f t="shared" si="63"/>
        <v>2.6142951684461244</v>
      </c>
      <c r="AH93" s="2">
        <f t="shared" si="56"/>
        <v>0.36842105263157898</v>
      </c>
      <c r="AI93" s="78">
        <f t="shared" si="57"/>
        <v>0.65939284300977985</v>
      </c>
      <c r="AJ93" s="85">
        <f t="shared" si="58"/>
        <v>6</v>
      </c>
    </row>
    <row r="94" spans="1:72" ht="14.1" customHeight="1" x14ac:dyDescent="0.25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23">
        <v>0.03</v>
      </c>
      <c r="H94" s="29">
        <v>1.72</v>
      </c>
      <c r="I94" s="31" t="s">
        <v>95</v>
      </c>
      <c r="J94" s="28"/>
      <c r="K94" s="29"/>
      <c r="L94" s="25"/>
      <c r="M94" s="30"/>
      <c r="N94" s="29"/>
      <c r="O94" s="25"/>
      <c r="Q94" s="2" t="str">
        <f>CONCATENATE(B94,"_",E94,"_",D94,"_",C94)</f>
        <v>SATSA_Women_Rotate_FEV1</v>
      </c>
      <c r="S94" s="75">
        <f>G94</f>
        <v>0.03</v>
      </c>
      <c r="T94" s="2">
        <v>92</v>
      </c>
      <c r="U94" s="102">
        <f>W94/G94*H94</f>
        <v>1.7205162788192512</v>
      </c>
      <c r="V94" s="76" t="str">
        <f>I94</f>
        <v>p=0.99</v>
      </c>
      <c r="W94" s="74">
        <f t="shared" si="51"/>
        <v>3.0009004863126475E-2</v>
      </c>
      <c r="X94" s="74">
        <f t="shared" si="52"/>
        <v>1.0275026075194431</v>
      </c>
      <c r="Y94" s="74">
        <f t="shared" si="59"/>
        <v>0.96778477846959032</v>
      </c>
      <c r="Z94" s="74">
        <f t="shared" si="53"/>
        <v>-3.3422029016226058</v>
      </c>
      <c r="AA94" s="74">
        <f t="shared" si="60"/>
        <v>3.4022209113488588</v>
      </c>
      <c r="AB94" s="74">
        <f t="shared" si="61"/>
        <v>3.3722119064857323</v>
      </c>
      <c r="AC94" s="78">
        <f t="shared" si="54"/>
        <v>1.013757363405257E-2</v>
      </c>
      <c r="AD94" s="78"/>
      <c r="AE94" s="78">
        <f t="shared" si="55"/>
        <v>0.33781772105709174</v>
      </c>
      <c r="AF94" s="79" t="str">
        <f t="shared" si="62"/>
        <v>0.03, (-1, 1)</v>
      </c>
      <c r="AG94" s="78">
        <f t="shared" si="63"/>
        <v>0.58122088835234731</v>
      </c>
      <c r="AH94" s="2">
        <f t="shared" si="56"/>
        <v>1.7441860465116279E-2</v>
      </c>
      <c r="AI94" s="78">
        <f t="shared" si="57"/>
        <v>0.98228137376958258</v>
      </c>
      <c r="AJ94" s="85">
        <f t="shared" si="58"/>
        <v>2</v>
      </c>
    </row>
    <row r="95" spans="1:72" ht="14.1" customHeight="1" x14ac:dyDescent="0.25">
      <c r="A95" s="10"/>
      <c r="B95" s="21"/>
      <c r="C95" s="11"/>
      <c r="D95" s="21"/>
      <c r="E95" s="11"/>
      <c r="F95" s="21"/>
      <c r="G95" s="23"/>
      <c r="H95" s="29"/>
      <c r="I95" s="31"/>
      <c r="J95" s="28"/>
      <c r="K95" s="29"/>
      <c r="L95" s="25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29"/>
      <c r="AI95" s="78"/>
      <c r="AJ95" s="85"/>
    </row>
    <row r="96" spans="1:72" ht="14.1" customHeight="1" x14ac:dyDescent="0.25">
      <c r="A96" s="10"/>
      <c r="B96" s="21"/>
      <c r="C96" s="11"/>
      <c r="D96" s="21"/>
      <c r="E96" s="11"/>
      <c r="F96" s="21"/>
      <c r="G96" s="23"/>
      <c r="H96" s="29"/>
      <c r="I96" s="31"/>
      <c r="J96" s="28"/>
      <c r="K96" s="29"/>
      <c r="L96" s="25"/>
      <c r="M96" s="30"/>
      <c r="N96" s="29"/>
      <c r="O96" s="25"/>
      <c r="Q96" s="2" t="s">
        <v>323</v>
      </c>
      <c r="S96" s="84">
        <f>(EXP(2*AD96)-1)/(EXP(2*AD96)+1)</f>
        <v>0.54772818893922182</v>
      </c>
      <c r="T96" s="2">
        <v>90</v>
      </c>
      <c r="U96" s="103">
        <f>1/SQRT(AD96*AE96)</f>
        <v>0.11685583496562695</v>
      </c>
      <c r="V96" s="80">
        <f>1/SQRT(AE96)</f>
        <v>9.1650296542117746E-2</v>
      </c>
      <c r="W96" s="74">
        <f>0.5*LN((1+S96)/(1-S96))</f>
        <v>0.61513004959731954</v>
      </c>
      <c r="X96" s="74">
        <f>S96-(EXP(2*Z96)-1)/(EXP(2*Z96)+1)</f>
        <v>0.17974136424624709</v>
      </c>
      <c r="Y96" s="74">
        <f>(EXP(2*AA96)-1)/(EXP(2*AA96)+1)-S96</f>
        <v>0.14028194508191061</v>
      </c>
      <c r="Z96" s="74">
        <f>W96-AB96</f>
        <v>0.38609261306469073</v>
      </c>
      <c r="AA96" s="74">
        <f>W96+AB96</f>
        <v>0.84416748612994841</v>
      </c>
      <c r="AB96" s="74">
        <f>1.96*U96</f>
        <v>0.22903743653262881</v>
      </c>
      <c r="AC96" s="78">
        <f>SUM(AC83,AC89,AC88,AC79,AC93,AC91,AC87,AC85,AC81,AC77)</f>
        <v>73.231713189979175</v>
      </c>
      <c r="AD96" s="78">
        <f>AC96/AE96</f>
        <v>0.61513004959731954</v>
      </c>
      <c r="AE96" s="78">
        <f>SUM(AE83,AE89,AE88,AE79,AE93,AE91,AE87,AE85,AE81,AE77)</f>
        <v>119.05078159962856</v>
      </c>
      <c r="AF96" s="79" t="str">
        <f>CONCATENATE(ROUND(S96,2),", (",ROUND(-(X96-S96),2),", ",ROUND(Y96+S96,2),")")</f>
        <v>0.55, (0.37, 0.69)</v>
      </c>
      <c r="AG96" s="78">
        <f>SUM(AG83,AG89,AG88,AG79,AG93,AG91,AG87,AG85,AG81,AG77)</f>
        <v>31.063112882249243</v>
      </c>
      <c r="AH96" s="29"/>
      <c r="AI96" s="78">
        <f>SUM(AI83,AI89,AI88,AI79,AI93,AI91,AI87,AI85,AI81,AI77)</f>
        <v>9.7011401420998844</v>
      </c>
      <c r="AJ96"/>
      <c r="AK96" s="81">
        <f>AK100-AK98</f>
        <v>10</v>
      </c>
      <c r="AL96">
        <f>CHIDIST(AI96,AK96-1)</f>
        <v>0.37521694491219343</v>
      </c>
      <c r="AM96" s="82">
        <f>IF((AI96-AK96+1)/AI96&lt;0,0,(AI96-AK96+1)/AI96)</f>
        <v>7.2273993760502198E-2</v>
      </c>
      <c r="AN96" s="74"/>
      <c r="AO96" s="77">
        <f>S96-Y96</f>
        <v>0.40744624385731121</v>
      </c>
      <c r="AP96">
        <f>S96+Z96</f>
        <v>0.93382080200391249</v>
      </c>
    </row>
    <row r="97" spans="1:42" ht="14.1" customHeight="1" x14ac:dyDescent="0.25">
      <c r="A97" s="10"/>
      <c r="B97" s="21"/>
      <c r="C97" s="11"/>
      <c r="D97" s="21"/>
      <c r="E97" s="11"/>
      <c r="F97" s="21"/>
      <c r="G97" s="23"/>
      <c r="H97" s="29"/>
      <c r="I97" s="31"/>
      <c r="J97" s="28"/>
      <c r="K97" s="29"/>
      <c r="L97" s="25"/>
      <c r="M97" s="30"/>
      <c r="N97" s="29"/>
      <c r="O97" s="25"/>
      <c r="T97" s="74">
        <v>89</v>
      </c>
      <c r="U97" s="75"/>
      <c r="AH97" s="29"/>
    </row>
    <row r="98" spans="1:42" ht="14.1" customHeight="1" x14ac:dyDescent="0.25">
      <c r="A98" s="10"/>
      <c r="B98" s="21"/>
      <c r="C98" s="11"/>
      <c r="D98" s="21"/>
      <c r="E98" s="11"/>
      <c r="F98" s="21"/>
      <c r="G98" s="23"/>
      <c r="H98" s="29"/>
      <c r="I98" s="31"/>
      <c r="J98" s="28"/>
      <c r="K98" s="29"/>
      <c r="L98" s="25"/>
      <c r="M98" s="30"/>
      <c r="N98" s="29"/>
      <c r="O98" s="25"/>
      <c r="Q98" s="2" t="s">
        <v>322</v>
      </c>
      <c r="S98" s="84">
        <f>(EXP(2*AD98)-1)/(EXP(2*AD98)+1)</f>
        <v>0.18284108621268955</v>
      </c>
      <c r="T98" s="2">
        <v>88</v>
      </c>
      <c r="U98" s="103">
        <f>1/SQRT(AD98*AE98)</f>
        <v>0.3402397106362528</v>
      </c>
      <c r="V98" s="80">
        <f>1/SQRT(AE98)</f>
        <v>0.14631117362998286</v>
      </c>
      <c r="W98" s="74">
        <f>0.5*LN((1+S98)/(1-S98))</f>
        <v>0.18492046945439744</v>
      </c>
      <c r="X98" s="74">
        <f>S98-(EXP(2*Z98)-1)/(EXP(2*Z98)+1)</f>
        <v>0.63064451772230157</v>
      </c>
      <c r="Y98" s="74">
        <f>(EXP(2*AA98)-1)/(EXP(2*AA98)+1)-S98</f>
        <v>0.50916252196203293</v>
      </c>
      <c r="Z98" s="74">
        <f>W98-AB98</f>
        <v>-0.48194936339265804</v>
      </c>
      <c r="AA98" s="74">
        <f>W98+AB98</f>
        <v>0.85179030230145292</v>
      </c>
      <c r="AB98" s="74">
        <f>1.96*U98</f>
        <v>0.66686983284705548</v>
      </c>
      <c r="AC98" s="78">
        <f>SUM(AC84,AC90,AC80,AC92,AC94,AC86,AC78,AC82)</f>
        <v>8.6383341456797105</v>
      </c>
      <c r="AD98" s="78">
        <f>AC98/AE98</f>
        <v>0.18492046945439741</v>
      </c>
      <c r="AE98" s="78">
        <f>SUM(AE84,AE90,AE80,AE92,AE94,AE86,AE78,AE82)</f>
        <v>46.713780097827296</v>
      </c>
      <c r="AF98" s="79" t="str">
        <f>CONCATENATE(ROUND(S98,2),", (",ROUND(-(X98-S98),2),", ",ROUND(Y98+S98,2),")")</f>
        <v>0.18, (-0.45, 0.69)</v>
      </c>
      <c r="AG98" s="78">
        <f>SUM(AG84,AG90,AG80,AG92,AG94,AG86,AG78,AG82)</f>
        <v>17.15459481088887</v>
      </c>
      <c r="AH98" s="29"/>
      <c r="AI98" s="78">
        <f>SUM(AI84,AI90,AI80,AI92,AI94,AI86,AI78,AI82)</f>
        <v>6.3229956320817617</v>
      </c>
      <c r="AJ98"/>
      <c r="AK98" s="78">
        <f>COUNT(AI84,AI90,AI80,AI92,AI94,AI86,AI78,AI82)</f>
        <v>8</v>
      </c>
      <c r="AL98">
        <f>CHIDIST(AI98,AK98-1)</f>
        <v>0.50258116397135455</v>
      </c>
      <c r="AM98" s="82">
        <f>IF((AI98-AK98+1)/AI98&lt;0,0,(AI98-AK98+1)/AI98)</f>
        <v>0</v>
      </c>
      <c r="AN98" s="74"/>
      <c r="AO98" s="77">
        <f>S98-Y98</f>
        <v>-0.32632143574934336</v>
      </c>
      <c r="AP98">
        <f>S98+Z98</f>
        <v>-0.29910827717996846</v>
      </c>
    </row>
    <row r="99" spans="1:42" ht="14.1" customHeight="1" x14ac:dyDescent="0.25">
      <c r="A99" s="10"/>
      <c r="B99" s="21"/>
      <c r="C99" s="11"/>
      <c r="D99" s="21"/>
      <c r="E99" s="11"/>
      <c r="F99" s="21"/>
      <c r="G99" s="23"/>
      <c r="H99" s="29"/>
      <c r="I99" s="31"/>
      <c r="J99" s="12">
        <v>0.11</v>
      </c>
      <c r="K99" s="13">
        <v>0.1</v>
      </c>
      <c r="L99" s="14" t="s">
        <v>133</v>
      </c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29"/>
      <c r="AI99" s="78"/>
      <c r="AJ99" s="85"/>
    </row>
    <row r="100" spans="1:42" ht="14.1" customHeight="1" x14ac:dyDescent="0.25">
      <c r="A100" s="10"/>
      <c r="B100" s="21"/>
      <c r="C100" s="11"/>
      <c r="D100" s="21"/>
      <c r="E100" s="11"/>
      <c r="F100" s="21"/>
      <c r="G100" s="23"/>
      <c r="H100" s="29"/>
      <c r="I100" s="31"/>
      <c r="J100" s="17">
        <v>0.27</v>
      </c>
      <c r="K100" s="18">
        <v>0.1</v>
      </c>
      <c r="L100" s="14" t="s">
        <v>45</v>
      </c>
      <c r="M100" s="30"/>
      <c r="N100" s="29"/>
      <c r="O100" s="25"/>
      <c r="Q100" s="2" t="s">
        <v>185</v>
      </c>
      <c r="S100" s="84">
        <f>(EXP(2*AD100)-1)/(EXP(2*AD100)+1)</f>
        <v>0.45730122088864816</v>
      </c>
      <c r="T100" s="2">
        <v>86</v>
      </c>
      <c r="U100" s="103">
        <f>1/SQRT(AD100*AE100)</f>
        <v>0.11051913553168403</v>
      </c>
      <c r="V100" s="80">
        <f>1/SQRT(AE100)</f>
        <v>7.7670152020368186E-2</v>
      </c>
      <c r="W100" s="74">
        <f>0.5*LN((1+S100)/(1-S100))</f>
        <v>0.49389354695175131</v>
      </c>
      <c r="X100" s="74">
        <f>S100-(EXP(2*Z100)-1)/(EXP(2*Z100)+1)</f>
        <v>0.18691909552584324</v>
      </c>
      <c r="Y100" s="74">
        <f>(EXP(2*AA100)-1)/(EXP(2*AA100)+1)-S100</f>
        <v>0.15369597961242393</v>
      </c>
      <c r="Z100" s="74">
        <f>W100-AB100</f>
        <v>0.27727604130965061</v>
      </c>
      <c r="AA100" s="74">
        <f>W100+AB100</f>
        <v>0.71051105259385205</v>
      </c>
      <c r="AB100" s="74">
        <f>1.96*U100</f>
        <v>0.21661750564210069</v>
      </c>
      <c r="AC100" s="78">
        <f>SUM(AC77:AC94)</f>
        <v>81.870047335658882</v>
      </c>
      <c r="AD100" s="78">
        <f>AC100/AE100</f>
        <v>0.49389354695175131</v>
      </c>
      <c r="AE100" s="78">
        <f>SUM(AE77:AE94)</f>
        <v>165.76456169745583</v>
      </c>
      <c r="AF100" s="79" t="str">
        <f>CONCATENATE(ROUND(S100,2),", (",ROUND(-(X100-S100),2),", ",ROUND(Y100+S100,2),")")</f>
        <v>0.46, (0.27, 0.61)</v>
      </c>
      <c r="AG100" s="78">
        <f>SUM(AG77:AG94)</f>
        <v>48.217707693138117</v>
      </c>
      <c r="AH100" s="29"/>
      <c r="AI100" s="78">
        <f>SUM(AI77:AI94)</f>
        <v>16.024135774181648</v>
      </c>
      <c r="AJ100"/>
      <c r="AK100" s="81">
        <f>COUNT(AI77:AI94)</f>
        <v>18</v>
      </c>
      <c r="AL100">
        <f>CHIDIST(AI100,AK100-1)</f>
        <v>0.52212455139894776</v>
      </c>
      <c r="AM100" s="82">
        <f>IF((AI100-AK100+1)/AI100&lt;0,0,(AI100-AK100+1)/AI100)</f>
        <v>0</v>
      </c>
      <c r="AN100" s="74"/>
    </row>
    <row r="101" spans="1:42" ht="14.1" customHeight="1" x14ac:dyDescent="0.25">
      <c r="A101" s="10" t="s">
        <v>131</v>
      </c>
      <c r="B101" s="21"/>
      <c r="C101" s="21"/>
      <c r="D101" s="21"/>
      <c r="E101" s="11"/>
      <c r="F101" s="21"/>
      <c r="G101" s="23"/>
      <c r="H101" s="29"/>
      <c r="I101" s="31"/>
      <c r="J101" s="12">
        <v>-0.05</v>
      </c>
      <c r="K101" s="13">
        <v>0.05</v>
      </c>
      <c r="L101" s="14" t="s">
        <v>90</v>
      </c>
      <c r="M101" s="30"/>
      <c r="N101" s="29"/>
      <c r="O101" s="25"/>
      <c r="T101" s="74">
        <v>85</v>
      </c>
      <c r="U101" s="75"/>
      <c r="AH101" s="29"/>
    </row>
    <row r="102" spans="1:42" ht="14.1" customHeight="1" x14ac:dyDescent="0.25">
      <c r="A102" s="10"/>
      <c r="B102" s="21"/>
      <c r="C102" s="21"/>
      <c r="D102" s="21"/>
      <c r="E102" s="11"/>
      <c r="F102" s="21"/>
      <c r="G102" s="23"/>
      <c r="H102" s="29"/>
      <c r="I102" s="31"/>
      <c r="J102" s="12">
        <v>0.04</v>
      </c>
      <c r="K102" s="13">
        <v>0.14000000000000001</v>
      </c>
      <c r="L102" s="14" t="s">
        <v>137</v>
      </c>
      <c r="M102" s="30"/>
      <c r="N102" s="29"/>
      <c r="O102" s="25"/>
      <c r="Q102" s="1" t="s">
        <v>326</v>
      </c>
      <c r="T102" s="2">
        <v>84</v>
      </c>
      <c r="U102" s="75"/>
      <c r="V102" s="2">
        <f>1.96*U110</f>
        <v>0.97137659101733964</v>
      </c>
      <c r="AH102" s="29"/>
    </row>
    <row r="103" spans="1:42" ht="14.1" customHeight="1" x14ac:dyDescent="0.25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-0.04</v>
      </c>
      <c r="H103" s="15">
        <v>0.62</v>
      </c>
      <c r="I103" s="14" t="s">
        <v>102</v>
      </c>
      <c r="J103" s="17">
        <v>0.17</v>
      </c>
      <c r="K103" s="18">
        <v>0.09</v>
      </c>
      <c r="L103" s="14" t="s">
        <v>140</v>
      </c>
      <c r="M103" s="12"/>
      <c r="N103" s="16"/>
      <c r="O103" s="14"/>
      <c r="Q103" s="2" t="str">
        <f>CONCATENATE(B106,"_",E106,"_",D106,"_",C106)</f>
        <v>EAS_Men_BNT_PEF</v>
      </c>
      <c r="S103" s="75">
        <f>G106</f>
        <v>0.16</v>
      </c>
      <c r="T103" s="74">
        <v>83</v>
      </c>
      <c r="U103" s="102">
        <f>W103/G106*H106</f>
        <v>1.4121335911508481</v>
      </c>
      <c r="V103" s="76" t="str">
        <f>I106</f>
        <v>p=0.91</v>
      </c>
      <c r="W103" s="74">
        <f t="shared" ref="W103:W121" si="64">0.5*LN((1+S103)/(1-S103))</f>
        <v>0.16138669613152551</v>
      </c>
      <c r="X103" s="74">
        <f t="shared" ref="X103:X121" si="65">S103-(EXP(2*Z103)-1)/(EXP(2*Z103)+1)</f>
        <v>1.1491660957693461</v>
      </c>
      <c r="Y103" s="74">
        <f t="shared" ref="Y103:Y121" si="66">(EXP(2*AA103)-1)/(EXP(2*AA103)+1)-S103</f>
        <v>0.83430428879469298</v>
      </c>
      <c r="Z103" s="74">
        <f t="shared" ref="Z103:Z121" si="67">W103-AB103</f>
        <v>-2.6063951425241365</v>
      </c>
      <c r="AA103" s="74">
        <f t="shared" ref="AA103:AA121" si="68">W103+AB103</f>
        <v>2.9291685347871876</v>
      </c>
      <c r="AB103" s="74">
        <f t="shared" ref="AB103:AB121" si="69">1.96*U103</f>
        <v>2.7677818386556621</v>
      </c>
      <c r="AC103" s="78">
        <f t="shared" ref="AC103:AC121" si="70">IF(W103&lt;&gt;"",ABS(W103/U103^2),"")</f>
        <v>8.0931234128192309E-2</v>
      </c>
      <c r="AD103" s="78"/>
      <c r="AE103" s="78">
        <f t="shared" ref="AE103:AE121" si="71">U103^-2</f>
        <v>0.50147401284078386</v>
      </c>
      <c r="AF103" s="79" t="str">
        <f t="shared" ref="AF103:AF121" si="72">CONCATENATE(ROUND(S103,2),", (",ROUND(-(X103-S103),2),", ",ROUND(Y103+S103,2),")")</f>
        <v>0.16, (-0.99, 0.99)</v>
      </c>
      <c r="AG103" s="78">
        <f t="shared" ref="AG103:AG127" si="73">1.96/AB103</f>
        <v>0.70814829862168271</v>
      </c>
      <c r="AH103" s="2">
        <f t="shared" ref="AH103:AH127" si="74">G103/H103</f>
        <v>-6.4516129032258063E-2</v>
      </c>
      <c r="AI103" s="78">
        <f t="shared" ref="AI103:AI127" si="75">(Z103/1.96)^2*AE103</f>
        <v>0.88678186809917592</v>
      </c>
      <c r="AJ103" s="85">
        <f t="shared" ref="AJ103:AJ127" si="76">ROUND(AG103/AG$133*100,0)+1</f>
        <v>2</v>
      </c>
    </row>
    <row r="104" spans="1:42" ht="14.1" customHeight="1" x14ac:dyDescent="0.25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2">
        <v>0.17</v>
      </c>
      <c r="H104" s="18">
        <v>0.19</v>
      </c>
      <c r="I104" s="20" t="s">
        <v>87</v>
      </c>
      <c r="J104" s="12">
        <v>7.0000000000000007E-2</v>
      </c>
      <c r="K104" s="13">
        <v>0.08</v>
      </c>
      <c r="L104" s="14" t="s">
        <v>141</v>
      </c>
      <c r="M104" s="19"/>
      <c r="N104" s="18"/>
      <c r="O104" s="14"/>
      <c r="Q104" s="2" t="str">
        <f>CONCATENATE(B107,"_",E107,"_",D107,"_",C107)</f>
        <v>EAS_Women_BNT_PEF</v>
      </c>
      <c r="S104" s="75">
        <f>G107</f>
        <v>0.16</v>
      </c>
      <c r="T104" s="2">
        <v>82</v>
      </c>
      <c r="U104" s="102">
        <f>W104/G107*H107</f>
        <v>0.81702014916584798</v>
      </c>
      <c r="V104" s="76" t="str">
        <f>I107</f>
        <v>p=0.84</v>
      </c>
      <c r="W104" s="74">
        <f t="shared" si="64"/>
        <v>0.16138669613152551</v>
      </c>
      <c r="X104" s="74">
        <f t="shared" si="65"/>
        <v>1.053692250833598</v>
      </c>
      <c r="Y104" s="74">
        <f t="shared" si="66"/>
        <v>0.78280893207723956</v>
      </c>
      <c r="Z104" s="74">
        <f t="shared" si="67"/>
        <v>-1.4399727962335365</v>
      </c>
      <c r="AA104" s="74">
        <f t="shared" si="68"/>
        <v>1.7627461884965876</v>
      </c>
      <c r="AB104" s="74">
        <f t="shared" si="69"/>
        <v>1.601359492365062</v>
      </c>
      <c r="AC104" s="78">
        <f t="shared" si="70"/>
        <v>0.2417698809499419</v>
      </c>
      <c r="AD104" s="78"/>
      <c r="AE104" s="78">
        <f t="shared" si="71"/>
        <v>1.4980781362108462</v>
      </c>
      <c r="AF104" s="79" t="str">
        <f t="shared" si="72"/>
        <v>0.16, (-0.89, 0.94)</v>
      </c>
      <c r="AG104" s="78">
        <f t="shared" si="73"/>
        <v>1.223960022309081</v>
      </c>
      <c r="AH104" s="2">
        <f t="shared" si="74"/>
        <v>0.89473684210526316</v>
      </c>
      <c r="AI104" s="78">
        <f t="shared" si="75"/>
        <v>0.80859471435243191</v>
      </c>
      <c r="AJ104" s="85">
        <f t="shared" si="76"/>
        <v>3</v>
      </c>
    </row>
    <row r="105" spans="1:42" ht="14.1" customHeight="1" x14ac:dyDescent="0.25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-0.03</v>
      </c>
      <c r="H105" s="15">
        <v>0.17</v>
      </c>
      <c r="I105" s="14" t="s">
        <v>119</v>
      </c>
      <c r="J105" s="17">
        <v>0.08</v>
      </c>
      <c r="K105" s="18">
        <v>0.05</v>
      </c>
      <c r="L105" s="14" t="s">
        <v>144</v>
      </c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0.3</v>
      </c>
      <c r="T105" s="74">
        <v>81</v>
      </c>
      <c r="U105" s="102">
        <f>W105/G110*H110</f>
        <v>0.28888496392290441</v>
      </c>
      <c r="V105" s="76" t="str">
        <f>I110</f>
        <v>p=0.29</v>
      </c>
      <c r="W105" s="74">
        <f t="shared" si="64"/>
        <v>0.30951960420311181</v>
      </c>
      <c r="X105" s="74">
        <f t="shared" si="65"/>
        <v>0.55120159532390423</v>
      </c>
      <c r="Y105" s="74">
        <f t="shared" si="66"/>
        <v>0.40427579532388364</v>
      </c>
      <c r="Z105" s="74">
        <f t="shared" si="67"/>
        <v>-0.25669492508578079</v>
      </c>
      <c r="AA105" s="74">
        <f t="shared" si="68"/>
        <v>0.87573413349200435</v>
      </c>
      <c r="AB105" s="74">
        <f t="shared" si="69"/>
        <v>0.5662145292888926</v>
      </c>
      <c r="AC105" s="78">
        <f t="shared" si="70"/>
        <v>3.7088415986735344</v>
      </c>
      <c r="AD105" s="78"/>
      <c r="AE105" s="78">
        <f t="shared" si="71"/>
        <v>11.982574119084658</v>
      </c>
      <c r="AF105" s="79" t="str">
        <f t="shared" si="72"/>
        <v>0.3, (-0.25, 0.7)</v>
      </c>
      <c r="AG105" s="78">
        <f t="shared" si="73"/>
        <v>3.4615854920953</v>
      </c>
      <c r="AH105" s="2">
        <f t="shared" si="74"/>
        <v>-0.1764705882352941</v>
      </c>
      <c r="AI105" s="78">
        <f t="shared" si="75"/>
        <v>0.20552873377589267</v>
      </c>
      <c r="AJ105" s="85">
        <f t="shared" si="76"/>
        <v>7</v>
      </c>
    </row>
    <row r="106" spans="1:42" ht="14.1" customHeight="1" x14ac:dyDescent="0.25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0.16</v>
      </c>
      <c r="H106" s="15">
        <v>1.4</v>
      </c>
      <c r="I106" s="14" t="s">
        <v>138</v>
      </c>
      <c r="J106" s="12">
        <v>7.0000000000000007E-2</v>
      </c>
      <c r="K106" s="13">
        <v>0.11</v>
      </c>
      <c r="L106" s="14" t="s">
        <v>146</v>
      </c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0.53</v>
      </c>
      <c r="T106" s="2">
        <v>80</v>
      </c>
      <c r="U106" s="102">
        <f>W106/G111*H111</f>
        <v>0.8239762609103386</v>
      </c>
      <c r="V106" s="76" t="str">
        <f>I111</f>
        <v>p=0.47</v>
      </c>
      <c r="W106" s="74">
        <f t="shared" si="64"/>
        <v>0.59014515984118854</v>
      </c>
      <c r="X106" s="74">
        <f t="shared" si="65"/>
        <v>1.3018339211634422</v>
      </c>
      <c r="Y106" s="74">
        <f t="shared" si="66"/>
        <v>0.44598816991872825</v>
      </c>
      <c r="Z106" s="74">
        <f t="shared" si="67"/>
        <v>-1.0248483115430749</v>
      </c>
      <c r="AA106" s="74">
        <f t="shared" si="68"/>
        <v>2.2051386312254522</v>
      </c>
      <c r="AB106" s="74">
        <f t="shared" si="69"/>
        <v>1.6149934713842635</v>
      </c>
      <c r="AC106" s="78">
        <f t="shared" si="70"/>
        <v>0.8692194789992278</v>
      </c>
      <c r="AD106" s="78"/>
      <c r="AE106" s="78">
        <f t="shared" si="71"/>
        <v>1.4728909735244458</v>
      </c>
      <c r="AF106" s="79" t="str">
        <f t="shared" si="72"/>
        <v>0.53, (-0.77, 0.98)</v>
      </c>
      <c r="AG106" s="78">
        <f t="shared" si="73"/>
        <v>1.2136271970932613</v>
      </c>
      <c r="AH106" s="2">
        <f t="shared" si="74"/>
        <v>0.1142857142857143</v>
      </c>
      <c r="AI106" s="78">
        <f t="shared" si="75"/>
        <v>0.40269629862648509</v>
      </c>
      <c r="AJ106" s="85">
        <f t="shared" si="76"/>
        <v>3</v>
      </c>
    </row>
    <row r="107" spans="1:42" ht="14.1" customHeight="1" x14ac:dyDescent="0.25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2">
        <v>0.16</v>
      </c>
      <c r="H107" s="18">
        <v>0.81</v>
      </c>
      <c r="I107" s="20" t="s">
        <v>63</v>
      </c>
      <c r="J107" s="17">
        <v>0.26</v>
      </c>
      <c r="K107" s="18">
        <v>0.09</v>
      </c>
      <c r="L107" s="14" t="s">
        <v>45</v>
      </c>
      <c r="M107" s="19"/>
      <c r="N107" s="18"/>
      <c r="O107" s="14"/>
      <c r="Q107" s="2" t="str">
        <f>CONCATENATE(B114,"_",E114,"_",D114,"_",C114)</f>
        <v>EAS_Men_FAS_PEF</v>
      </c>
      <c r="S107" s="75">
        <f>G114</f>
        <v>-0.42</v>
      </c>
      <c r="T107" s="74">
        <v>79</v>
      </c>
      <c r="U107" s="102">
        <f>W107/G114*H114</f>
        <v>1.9080207669382927</v>
      </c>
      <c r="V107" s="76" t="str">
        <f>I114</f>
        <v>p=0.81</v>
      </c>
      <c r="W107" s="74">
        <f t="shared" si="64"/>
        <v>-0.4476920235274206</v>
      </c>
      <c r="X107" s="74">
        <f t="shared" si="65"/>
        <v>0.57953890609923908</v>
      </c>
      <c r="Y107" s="74">
        <f t="shared" si="66"/>
        <v>1.417239356444312</v>
      </c>
      <c r="Z107" s="74">
        <f t="shared" si="67"/>
        <v>-4.1874127267264747</v>
      </c>
      <c r="AA107" s="74">
        <f t="shared" si="68"/>
        <v>3.2920286796716334</v>
      </c>
      <c r="AB107" s="74">
        <f t="shared" si="69"/>
        <v>3.7397207031990538</v>
      </c>
      <c r="AC107" s="78">
        <f t="shared" si="70"/>
        <v>0.12297396106693856</v>
      </c>
      <c r="AD107" s="78"/>
      <c r="AE107" s="78">
        <f t="shared" si="71"/>
        <v>0.2746842798270373</v>
      </c>
      <c r="AF107" s="79" t="str">
        <f t="shared" si="72"/>
        <v>-0.42, (-1, 1)</v>
      </c>
      <c r="AG107" s="78">
        <f t="shared" si="73"/>
        <v>0.52410331026147627</v>
      </c>
      <c r="AH107" s="2">
        <f t="shared" si="74"/>
        <v>0.19753086419753085</v>
      </c>
      <c r="AI107" s="78">
        <f t="shared" si="75"/>
        <v>1.2537565071283034</v>
      </c>
      <c r="AJ107" s="85">
        <f t="shared" si="76"/>
        <v>2</v>
      </c>
    </row>
    <row r="108" spans="1:42" ht="14.1" customHeight="1" x14ac:dyDescent="0.25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0.16</v>
      </c>
      <c r="H108" s="15">
        <v>1.34</v>
      </c>
      <c r="I108" s="14" t="s">
        <v>142</v>
      </c>
      <c r="J108" s="12">
        <v>0.16</v>
      </c>
      <c r="K108" s="13">
        <v>7.0000000000000007E-2</v>
      </c>
      <c r="L108" s="14" t="s">
        <v>66</v>
      </c>
      <c r="M108" s="12"/>
      <c r="N108" s="16"/>
      <c r="O108" s="14"/>
      <c r="Q108" s="2" t="str">
        <f>CONCATENATE(B115,"_",E115,"_",D115,"_",C115)</f>
        <v>EAS_Women_FAS_PEF</v>
      </c>
      <c r="S108" s="75">
        <f>G115</f>
        <v>0.1</v>
      </c>
      <c r="T108" s="2">
        <v>78</v>
      </c>
      <c r="U108" s="102">
        <f>W108/G115*H115</f>
        <v>0.38127432137808737</v>
      </c>
      <c r="V108" s="76" t="str">
        <f>I115</f>
        <v>p=0.79</v>
      </c>
      <c r="W108" s="74">
        <f t="shared" si="64"/>
        <v>0.10033534773107562</v>
      </c>
      <c r="X108" s="74">
        <f t="shared" si="65"/>
        <v>0.66962147025416952</v>
      </c>
      <c r="Y108" s="74">
        <f t="shared" si="66"/>
        <v>0.58983088012300278</v>
      </c>
      <c r="Z108" s="74">
        <f t="shared" si="67"/>
        <v>-0.64696232216997551</v>
      </c>
      <c r="AA108" s="74">
        <f t="shared" si="68"/>
        <v>0.84763301763212684</v>
      </c>
      <c r="AB108" s="74">
        <f t="shared" si="69"/>
        <v>0.74729766990105118</v>
      </c>
      <c r="AC108" s="78">
        <f t="shared" si="70"/>
        <v>0.69020618484265528</v>
      </c>
      <c r="AD108" s="78"/>
      <c r="AE108" s="78">
        <f t="shared" si="71"/>
        <v>6.8789933004725734</v>
      </c>
      <c r="AF108" s="79" t="str">
        <f t="shared" si="72"/>
        <v>0.1, (-0.57, 0.69)</v>
      </c>
      <c r="AG108" s="78">
        <f t="shared" si="73"/>
        <v>2.6227835024020902</v>
      </c>
      <c r="AH108" s="2">
        <f t="shared" si="74"/>
        <v>0.11940298507462686</v>
      </c>
      <c r="AI108" s="78">
        <f t="shared" si="75"/>
        <v>0.74949841997967115</v>
      </c>
      <c r="AJ108" s="85">
        <f t="shared" si="76"/>
        <v>5</v>
      </c>
    </row>
    <row r="109" spans="1:42" ht="14.1" customHeight="1" x14ac:dyDescent="0.25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2">
        <v>-0.04</v>
      </c>
      <c r="H109" s="18">
        <v>0.43</v>
      </c>
      <c r="I109" s="20" t="s">
        <v>35</v>
      </c>
      <c r="J109" s="17">
        <v>0.23</v>
      </c>
      <c r="K109" s="18">
        <v>0.04</v>
      </c>
      <c r="L109" s="14" t="s">
        <v>148</v>
      </c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-0.57999999999999996</v>
      </c>
      <c r="T109" s="74">
        <v>77</v>
      </c>
      <c r="U109" s="102">
        <f>W109/G126*H126</f>
        <v>0.82236749880637139</v>
      </c>
      <c r="V109" s="76" t="str">
        <f>I126</f>
        <v>p=0.42</v>
      </c>
      <c r="W109" s="74">
        <f t="shared" si="64"/>
        <v>-0.66246270737179924</v>
      </c>
      <c r="X109" s="74">
        <f t="shared" si="65"/>
        <v>0.39905771959959802</v>
      </c>
      <c r="Y109" s="74">
        <f t="shared" si="66"/>
        <v>1.3195011435365362</v>
      </c>
      <c r="Z109" s="74">
        <f t="shared" si="67"/>
        <v>-2.2743030050322872</v>
      </c>
      <c r="AA109" s="74">
        <f t="shared" si="68"/>
        <v>0.94937759028868873</v>
      </c>
      <c r="AB109" s="74">
        <f t="shared" si="69"/>
        <v>1.611840297660488</v>
      </c>
      <c r="AC109" s="78">
        <f t="shared" si="70"/>
        <v>0.97955665408078807</v>
      </c>
      <c r="AD109" s="78"/>
      <c r="AE109" s="78">
        <f t="shared" si="71"/>
        <v>1.4786593164874167</v>
      </c>
      <c r="AF109" s="79" t="str">
        <f t="shared" si="72"/>
        <v>-0.58, (-0.98, 0.74)</v>
      </c>
      <c r="AG109" s="78">
        <f t="shared" si="73"/>
        <v>1.2160013636864953</v>
      </c>
      <c r="AH109" s="2">
        <f t="shared" si="74"/>
        <v>-9.3023255813953487E-2</v>
      </c>
      <c r="AI109" s="78">
        <f t="shared" si="75"/>
        <v>1.9909146009121721</v>
      </c>
      <c r="AJ109" s="85">
        <f t="shared" si="76"/>
        <v>3</v>
      </c>
    </row>
    <row r="110" spans="1:42" ht="14.1" customHeight="1" x14ac:dyDescent="0.25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0.3</v>
      </c>
      <c r="H110" s="15">
        <v>0.28000000000000003</v>
      </c>
      <c r="I110" s="14" t="s">
        <v>133</v>
      </c>
      <c r="J110" s="12">
        <v>0.14000000000000001</v>
      </c>
      <c r="K110" s="13">
        <v>0.11</v>
      </c>
      <c r="L110" s="14" t="s">
        <v>68</v>
      </c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-0.7</v>
      </c>
      <c r="T110" s="2">
        <v>76</v>
      </c>
      <c r="U110" s="102">
        <f>W110/G127*H127</f>
        <v>0.495600301539459</v>
      </c>
      <c r="V110" s="76" t="str">
        <f>I127</f>
        <v>p=0.08^</v>
      </c>
      <c r="W110" s="74">
        <f t="shared" si="64"/>
        <v>-0.86730052769405308</v>
      </c>
      <c r="X110" s="74">
        <f t="shared" si="65"/>
        <v>0.25066800183452853</v>
      </c>
      <c r="Y110" s="74">
        <f t="shared" si="66"/>
        <v>0.80370190639154138</v>
      </c>
      <c r="Z110" s="74">
        <f t="shared" si="67"/>
        <v>-1.8386771187113928</v>
      </c>
      <c r="AA110" s="74">
        <f t="shared" si="68"/>
        <v>0.10407606332328656</v>
      </c>
      <c r="AB110" s="74">
        <f t="shared" si="69"/>
        <v>0.97137659101733964</v>
      </c>
      <c r="AC110" s="78">
        <f t="shared" si="70"/>
        <v>3.5310712979069225</v>
      </c>
      <c r="AD110" s="78"/>
      <c r="AE110" s="78">
        <f t="shared" si="71"/>
        <v>4.0713353504986394</v>
      </c>
      <c r="AF110" s="79" t="str">
        <f t="shared" si="72"/>
        <v>-0.7, (-0.95, 0.1)</v>
      </c>
      <c r="AG110" s="78">
        <f t="shared" si="73"/>
        <v>2.0177550273753848</v>
      </c>
      <c r="AH110" s="2">
        <f t="shared" si="74"/>
        <v>1.0714285714285714</v>
      </c>
      <c r="AI110" s="78">
        <f t="shared" si="75"/>
        <v>3.5829081632653064</v>
      </c>
      <c r="AJ110" s="85">
        <f t="shared" si="76"/>
        <v>4</v>
      </c>
    </row>
    <row r="111" spans="1:42" ht="14.1" customHeight="1" x14ac:dyDescent="0.25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2">
        <v>0.53</v>
      </c>
      <c r="H111" s="18">
        <v>0.74</v>
      </c>
      <c r="I111" s="20" t="s">
        <v>86</v>
      </c>
      <c r="J111" s="17">
        <v>0.19</v>
      </c>
      <c r="K111" s="18">
        <v>0.08</v>
      </c>
      <c r="L111" s="14" t="s">
        <v>66</v>
      </c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-7.0000000000000007E-2</v>
      </c>
      <c r="T111" s="74">
        <v>75</v>
      </c>
      <c r="U111" s="102">
        <f>W111/G116*H116</f>
        <v>0.39063887935981179</v>
      </c>
      <c r="V111" s="76" t="str">
        <f>I116</f>
        <v>p=0.86</v>
      </c>
      <c r="W111" s="74">
        <f t="shared" si="64"/>
        <v>-7.0114670654325195E-2</v>
      </c>
      <c r="X111" s="74">
        <f t="shared" si="65"/>
        <v>0.61356040503321441</v>
      </c>
      <c r="Y111" s="74">
        <f t="shared" si="66"/>
        <v>0.67152763163559204</v>
      </c>
      <c r="Z111" s="74">
        <f t="shared" si="67"/>
        <v>-0.83576687419955631</v>
      </c>
      <c r="AA111" s="74">
        <f t="shared" si="68"/>
        <v>0.69553753289090592</v>
      </c>
      <c r="AB111" s="74">
        <f t="shared" si="69"/>
        <v>0.76565220354523111</v>
      </c>
      <c r="AC111" s="78">
        <f t="shared" si="70"/>
        <v>0.45947085395423859</v>
      </c>
      <c r="AD111" s="78"/>
      <c r="AE111" s="78">
        <f t="shared" si="71"/>
        <v>6.5531343107848565</v>
      </c>
      <c r="AF111" s="79" t="str">
        <f t="shared" si="72"/>
        <v>-0.07, (-0.68, 0.6)</v>
      </c>
      <c r="AG111" s="78">
        <f t="shared" si="73"/>
        <v>2.5599090434593288</v>
      </c>
      <c r="AH111" s="2">
        <f t="shared" si="74"/>
        <v>0.71621621621621623</v>
      </c>
      <c r="AI111" s="78">
        <f t="shared" si="75"/>
        <v>1.1915361805471694</v>
      </c>
      <c r="AJ111" s="85">
        <f t="shared" si="76"/>
        <v>5</v>
      </c>
    </row>
    <row r="112" spans="1:42" ht="14.1" customHeight="1" x14ac:dyDescent="0.25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0.17</v>
      </c>
      <c r="H112" s="15">
        <v>0.5</v>
      </c>
      <c r="I112" s="14" t="s">
        <v>81</v>
      </c>
      <c r="J112" s="12">
        <v>0.06</v>
      </c>
      <c r="K112" s="13">
        <v>0.12</v>
      </c>
      <c r="L112" s="14" t="s">
        <v>58</v>
      </c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0.2</v>
      </c>
      <c r="T112" s="2">
        <v>74</v>
      </c>
      <c r="U112" s="102">
        <f>W112/G117*H117</f>
        <v>0.30409883108112312</v>
      </c>
      <c r="V112" s="76" t="str">
        <f>I117</f>
        <v>p=0.51</v>
      </c>
      <c r="W112" s="74">
        <f t="shared" si="64"/>
        <v>0.20273255405408211</v>
      </c>
      <c r="X112" s="74">
        <f t="shared" si="65"/>
        <v>0.57420263081663814</v>
      </c>
      <c r="Y112" s="74">
        <f t="shared" si="66"/>
        <v>0.46334647803789503</v>
      </c>
      <c r="Z112" s="74">
        <f t="shared" si="67"/>
        <v>-0.39330115486491923</v>
      </c>
      <c r="AA112" s="74">
        <f t="shared" si="68"/>
        <v>0.7987662629730834</v>
      </c>
      <c r="AB112" s="74">
        <f t="shared" si="69"/>
        <v>0.59603370891900131</v>
      </c>
      <c r="AC112" s="78">
        <f t="shared" si="70"/>
        <v>2.1922697443346078</v>
      </c>
      <c r="AD112" s="78"/>
      <c r="AE112" s="78">
        <f t="shared" si="71"/>
        <v>10.813604921831079</v>
      </c>
      <c r="AF112" s="79" t="str">
        <f t="shared" si="72"/>
        <v>0.2, (-0.37, 0.66)</v>
      </c>
      <c r="AG112" s="78">
        <f t="shared" si="73"/>
        <v>3.2884046165019107</v>
      </c>
      <c r="AH112" s="2">
        <f t="shared" si="74"/>
        <v>0.34</v>
      </c>
      <c r="AI112" s="78">
        <f t="shared" si="75"/>
        <v>0.43542042667407105</v>
      </c>
      <c r="AJ112" s="85">
        <f t="shared" si="76"/>
        <v>6</v>
      </c>
    </row>
    <row r="113" spans="1:36" ht="14.1" customHeight="1" x14ac:dyDescent="0.25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12">
        <v>-0.35</v>
      </c>
      <c r="H113" s="18">
        <v>0.44</v>
      </c>
      <c r="I113" s="20" t="s">
        <v>26</v>
      </c>
      <c r="J113" s="17">
        <v>0.11</v>
      </c>
      <c r="K113" s="18">
        <v>0.09</v>
      </c>
      <c r="L113" s="14" t="s">
        <v>83</v>
      </c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0.1</v>
      </c>
      <c r="T113" s="74">
        <v>73</v>
      </c>
      <c r="U113" s="102">
        <f>W113/G122*H122</f>
        <v>0.48160966910916297</v>
      </c>
      <c r="V113" s="76" t="str">
        <f>I122</f>
        <v>p=0.83</v>
      </c>
      <c r="W113" s="74">
        <f t="shared" si="64"/>
        <v>0.10033534773107562</v>
      </c>
      <c r="X113" s="74">
        <f t="shared" si="65"/>
        <v>0.78772148732801295</v>
      </c>
      <c r="Y113" s="74">
        <f t="shared" si="66"/>
        <v>0.67957661780643253</v>
      </c>
      <c r="Z113" s="74">
        <f t="shared" si="67"/>
        <v>-0.8436196037228838</v>
      </c>
      <c r="AA113" s="74">
        <f t="shared" si="68"/>
        <v>1.0442902991850351</v>
      </c>
      <c r="AB113" s="74">
        <f t="shared" si="69"/>
        <v>0.94395495145395947</v>
      </c>
      <c r="AC113" s="78">
        <f t="shared" si="70"/>
        <v>0.43257714015312249</v>
      </c>
      <c r="AD113" s="78"/>
      <c r="AE113" s="78">
        <f t="shared" si="71"/>
        <v>4.3113135094975679</v>
      </c>
      <c r="AF113" s="79" t="str">
        <f t="shared" si="72"/>
        <v>0.1, (-0.69, 0.78)</v>
      </c>
      <c r="AG113" s="78">
        <f t="shared" si="73"/>
        <v>2.0763702727349878</v>
      </c>
      <c r="AH113" s="2">
        <f t="shared" si="74"/>
        <v>-0.79545454545454541</v>
      </c>
      <c r="AI113" s="78">
        <f t="shared" si="75"/>
        <v>0.79871306515803597</v>
      </c>
      <c r="AJ113" s="85">
        <f t="shared" si="76"/>
        <v>4</v>
      </c>
    </row>
    <row r="114" spans="1:36" ht="14.1" customHeight="1" x14ac:dyDescent="0.25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-0.42</v>
      </c>
      <c r="H114" s="15">
        <v>1.79</v>
      </c>
      <c r="I114" s="14" t="s">
        <v>113</v>
      </c>
      <c r="J114" s="12">
        <v>0.11</v>
      </c>
      <c r="K114" s="13">
        <v>0.08</v>
      </c>
      <c r="L114" s="14" t="s">
        <v>47</v>
      </c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0.27</v>
      </c>
      <c r="T114" s="2">
        <v>72</v>
      </c>
      <c r="U114" s="102">
        <f>W114/G123*H123</f>
        <v>0.32813490092456304</v>
      </c>
      <c r="V114" s="76" t="str">
        <f>I123</f>
        <v>p=0.40</v>
      </c>
      <c r="W114" s="74">
        <f t="shared" si="64"/>
        <v>0.27686382265510007</v>
      </c>
      <c r="X114" s="74">
        <f t="shared" si="65"/>
        <v>0.62073410216453229</v>
      </c>
      <c r="Y114" s="74">
        <f t="shared" si="66"/>
        <v>0.45590130749104607</v>
      </c>
      <c r="Z114" s="74">
        <f t="shared" si="67"/>
        <v>-0.36628058315704354</v>
      </c>
      <c r="AA114" s="74">
        <f t="shared" si="68"/>
        <v>0.92000822846724373</v>
      </c>
      <c r="AB114" s="74">
        <f t="shared" si="69"/>
        <v>0.6431444058121436</v>
      </c>
      <c r="AC114" s="78">
        <f t="shared" si="70"/>
        <v>2.5713509828507237</v>
      </c>
      <c r="AD114" s="78"/>
      <c r="AE114" s="78">
        <f t="shared" si="71"/>
        <v>9.2874213690748419</v>
      </c>
      <c r="AF114" s="79" t="str">
        <f t="shared" si="72"/>
        <v>0.27, (-0.35, 0.73)</v>
      </c>
      <c r="AG114" s="78">
        <f t="shared" si="73"/>
        <v>3.0475270907860428</v>
      </c>
      <c r="AH114" s="2">
        <f t="shared" si="74"/>
        <v>-0.23463687150837986</v>
      </c>
      <c r="AI114" s="78">
        <f t="shared" si="75"/>
        <v>0.32434768390774688</v>
      </c>
      <c r="AJ114" s="85">
        <f t="shared" si="76"/>
        <v>6</v>
      </c>
    </row>
    <row r="115" spans="1:36" ht="14.1" customHeight="1" x14ac:dyDescent="0.25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2">
        <v>0.1</v>
      </c>
      <c r="H115" s="18">
        <v>0.38</v>
      </c>
      <c r="I115" s="20" t="s">
        <v>137</v>
      </c>
      <c r="J115" s="17">
        <v>0.03</v>
      </c>
      <c r="K115" s="18">
        <v>7.0000000000000007E-2</v>
      </c>
      <c r="L115" s="14" t="s">
        <v>28</v>
      </c>
      <c r="M115" s="19"/>
      <c r="N115" s="18"/>
      <c r="O115" s="14"/>
      <c r="Q115" s="2" t="str">
        <f>CONCATENATE(B108,"_",E108,"_",D108,"_",C108)</f>
        <v>MAP_Men_BNT_FEV1</v>
      </c>
      <c r="S115" s="75">
        <f>G108</f>
        <v>0.16</v>
      </c>
      <c r="T115" s="74">
        <v>71</v>
      </c>
      <c r="U115" s="102">
        <f>W115/G108*H108</f>
        <v>1.3516135801015263</v>
      </c>
      <c r="V115" s="76" t="str">
        <f>I108</f>
        <v>p=0.9</v>
      </c>
      <c r="W115" s="74">
        <f t="shared" si="64"/>
        <v>0.16138669613152551</v>
      </c>
      <c r="X115" s="74">
        <f t="shared" si="65"/>
        <v>1.1462852809603259</v>
      </c>
      <c r="Y115" s="74">
        <f t="shared" si="66"/>
        <v>0.83278480144984246</v>
      </c>
      <c r="Z115" s="74">
        <f t="shared" si="67"/>
        <v>-2.4877759208674659</v>
      </c>
      <c r="AA115" s="74">
        <f t="shared" si="68"/>
        <v>2.810549313130517</v>
      </c>
      <c r="AB115" s="74">
        <f t="shared" si="69"/>
        <v>2.6491626169989915</v>
      </c>
      <c r="AC115" s="78">
        <f t="shared" si="70"/>
        <v>8.834106643531793E-2</v>
      </c>
      <c r="AD115" s="78"/>
      <c r="AE115" s="78">
        <f t="shared" si="71"/>
        <v>0.54738753907770998</v>
      </c>
      <c r="AF115" s="79" t="str">
        <f t="shared" si="72"/>
        <v>0.16, (-0.99, 0.99)</v>
      </c>
      <c r="AG115" s="78">
        <f t="shared" si="73"/>
        <v>0.73985643139578783</v>
      </c>
      <c r="AH115" s="2">
        <f t="shared" si="74"/>
        <v>0.26315789473684209</v>
      </c>
      <c r="AI115" s="78">
        <f t="shared" si="75"/>
        <v>0.88187145235115427</v>
      </c>
      <c r="AJ115" s="85">
        <f t="shared" si="76"/>
        <v>2</v>
      </c>
    </row>
    <row r="116" spans="1:36" ht="14.1" customHeight="1" x14ac:dyDescent="0.25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-7.0000000000000007E-2</v>
      </c>
      <c r="H116" s="15">
        <v>0.39</v>
      </c>
      <c r="I116" s="14" t="s">
        <v>57</v>
      </c>
      <c r="J116" s="12">
        <v>0.11</v>
      </c>
      <c r="K116" s="13">
        <v>0.06</v>
      </c>
      <c r="L116" s="14" t="s">
        <v>154</v>
      </c>
      <c r="M116" s="12"/>
      <c r="N116" s="16"/>
      <c r="O116" s="14"/>
      <c r="Q116" s="2" t="str">
        <f>CONCATENATE(B109,"_",E109,"_",D109,"_",C109)</f>
        <v>MAP_Women_BNT_FEV1</v>
      </c>
      <c r="S116" s="75">
        <f>G109</f>
        <v>-0.04</v>
      </c>
      <c r="T116" s="2">
        <v>70</v>
      </c>
      <c r="U116" s="102">
        <f>W116/G109*H109</f>
        <v>0.43022955374525862</v>
      </c>
      <c r="V116" s="76" t="str">
        <f>I109</f>
        <v>p=0.92</v>
      </c>
      <c r="W116" s="74">
        <f t="shared" si="64"/>
        <v>-4.0021353836768248E-2</v>
      </c>
      <c r="X116" s="74">
        <f t="shared" si="65"/>
        <v>0.66805435460674867</v>
      </c>
      <c r="Y116" s="74">
        <f t="shared" si="66"/>
        <v>0.70583785227151308</v>
      </c>
      <c r="Z116" s="74">
        <f t="shared" si="67"/>
        <v>-0.88327127917747505</v>
      </c>
      <c r="AA116" s="74">
        <f t="shared" si="68"/>
        <v>0.80322857150393867</v>
      </c>
      <c r="AB116" s="74">
        <f t="shared" si="69"/>
        <v>0.84324992534070686</v>
      </c>
      <c r="AC116" s="78">
        <f t="shared" si="70"/>
        <v>0.21621772610496465</v>
      </c>
      <c r="AD116" s="78"/>
      <c r="AE116" s="78">
        <f t="shared" si="71"/>
        <v>5.4025590185387982</v>
      </c>
      <c r="AF116" s="79" t="str">
        <f t="shared" si="72"/>
        <v>-0.04, (-0.71, 0.67)</v>
      </c>
      <c r="AG116" s="78">
        <f t="shared" si="73"/>
        <v>2.3243405556283698</v>
      </c>
      <c r="AH116" s="2">
        <f t="shared" si="74"/>
        <v>-0.17948717948717949</v>
      </c>
      <c r="AI116" s="78">
        <f t="shared" si="75"/>
        <v>1.0971742213954929</v>
      </c>
      <c r="AJ116" s="85">
        <f t="shared" si="76"/>
        <v>5</v>
      </c>
    </row>
    <row r="117" spans="1:36" ht="14.1" customHeight="1" x14ac:dyDescent="0.25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2">
        <v>0.2</v>
      </c>
      <c r="H117" s="18">
        <v>0.3</v>
      </c>
      <c r="I117" s="20" t="s">
        <v>99</v>
      </c>
      <c r="J117" s="17">
        <v>0.15</v>
      </c>
      <c r="K117" s="18">
        <v>0.04</v>
      </c>
      <c r="L117" s="14" t="s">
        <v>27</v>
      </c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0.17</v>
      </c>
      <c r="T117" s="74">
        <v>69</v>
      </c>
      <c r="U117" s="102">
        <f>W117/G112*H112</f>
        <v>0.50490195147229144</v>
      </c>
      <c r="V117" s="76" t="str">
        <f>I112</f>
        <v>p=0.73</v>
      </c>
      <c r="W117" s="74">
        <f t="shared" si="64"/>
        <v>0.1716666635005791</v>
      </c>
      <c r="X117" s="74">
        <f t="shared" si="65"/>
        <v>0.84394773075247587</v>
      </c>
      <c r="Y117" s="74">
        <f t="shared" si="66"/>
        <v>0.65145479443856069</v>
      </c>
      <c r="Z117" s="74">
        <f t="shared" si="67"/>
        <v>-0.81794116138511208</v>
      </c>
      <c r="AA117" s="74">
        <f t="shared" si="68"/>
        <v>1.1612744883862702</v>
      </c>
      <c r="AB117" s="74">
        <f t="shared" si="69"/>
        <v>0.98960782488569121</v>
      </c>
      <c r="AC117" s="78">
        <f t="shared" si="70"/>
        <v>0.67339807067206181</v>
      </c>
      <c r="AD117" s="78"/>
      <c r="AE117" s="78">
        <f t="shared" si="71"/>
        <v>3.9227072801458052</v>
      </c>
      <c r="AF117" s="79" t="str">
        <f t="shared" si="72"/>
        <v>0.17, (-0.67, 0.82)</v>
      </c>
      <c r="AG117" s="78">
        <f t="shared" si="73"/>
        <v>1.9805825608001817</v>
      </c>
      <c r="AH117" s="2">
        <f t="shared" si="74"/>
        <v>0.66666666666666674</v>
      </c>
      <c r="AI117" s="78">
        <f t="shared" si="75"/>
        <v>0.68315285297792583</v>
      </c>
      <c r="AJ117" s="85">
        <f t="shared" si="76"/>
        <v>4</v>
      </c>
    </row>
    <row r="118" spans="1:36" ht="14.1" customHeight="1" x14ac:dyDescent="0.25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-0.03</v>
      </c>
      <c r="H118" s="15">
        <v>0.3</v>
      </c>
      <c r="I118" s="14" t="s">
        <v>152</v>
      </c>
      <c r="J118" s="12">
        <v>0.11</v>
      </c>
      <c r="K118" s="13">
        <v>0.13</v>
      </c>
      <c r="L118" s="14" t="s">
        <v>43</v>
      </c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-0.35</v>
      </c>
      <c r="T118" s="2">
        <v>68</v>
      </c>
      <c r="U118" s="102">
        <f>W118/G113*H113</f>
        <v>0.45941500536975521</v>
      </c>
      <c r="V118" s="76" t="str">
        <f>I113</f>
        <v>p=0.42</v>
      </c>
      <c r="W118" s="74">
        <f t="shared" si="64"/>
        <v>-0.36544375427139619</v>
      </c>
      <c r="X118" s="74">
        <f t="shared" si="65"/>
        <v>0.50268176080497251</v>
      </c>
      <c r="Y118" s="74">
        <f t="shared" si="66"/>
        <v>0.83920117702975339</v>
      </c>
      <c r="Z118" s="74">
        <f t="shared" si="67"/>
        <v>-1.2658971647961164</v>
      </c>
      <c r="AA118" s="74">
        <f t="shared" si="68"/>
        <v>0.53500965625332397</v>
      </c>
      <c r="AB118" s="74">
        <f t="shared" si="69"/>
        <v>0.90045341052472017</v>
      </c>
      <c r="AC118" s="78">
        <f t="shared" si="70"/>
        <v>1.7314509455657254</v>
      </c>
      <c r="AD118" s="78"/>
      <c r="AE118" s="78">
        <f t="shared" si="71"/>
        <v>4.7379409972891926</v>
      </c>
      <c r="AF118" s="79" t="str">
        <f t="shared" si="72"/>
        <v>-0.35, (-0.85, 0.49)</v>
      </c>
      <c r="AG118" s="78">
        <f t="shared" si="73"/>
        <v>2.1766811887111976</v>
      </c>
      <c r="AH118" s="2">
        <f t="shared" si="74"/>
        <v>-0.1</v>
      </c>
      <c r="AI118" s="78">
        <f t="shared" si="75"/>
        <v>1.9763977905211674</v>
      </c>
      <c r="AJ118" s="85">
        <f t="shared" si="76"/>
        <v>4</v>
      </c>
    </row>
    <row r="119" spans="1:36" ht="14.1" customHeight="1" x14ac:dyDescent="0.25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2">
        <v>0.31</v>
      </c>
      <c r="H119" s="18">
        <v>0.16</v>
      </c>
      <c r="I119" s="20" t="s">
        <v>140</v>
      </c>
      <c r="J119" s="17">
        <v>0.16</v>
      </c>
      <c r="K119" s="18">
        <v>0.1</v>
      </c>
      <c r="L119" s="14" t="s">
        <v>157</v>
      </c>
      <c r="M119" s="19"/>
      <c r="N119" s="18"/>
      <c r="O119" s="14"/>
      <c r="Q119" s="2" t="str">
        <f>CONCATENATE(B120,"_",E120,"_",D120,"_",C120)</f>
        <v>MAP_Men_NART_FEV1</v>
      </c>
      <c r="S119" s="75">
        <f>G120</f>
        <v>-0.01</v>
      </c>
      <c r="T119" s="74">
        <v>67</v>
      </c>
      <c r="U119" s="102">
        <f>W119/G120*H120</f>
        <v>0.59001966784675153</v>
      </c>
      <c r="V119" s="76" t="str">
        <f>I120</f>
        <v>p=0.98</v>
      </c>
      <c r="W119" s="74">
        <f t="shared" si="64"/>
        <v>-1.0000333353334771E-2</v>
      </c>
      <c r="X119" s="74">
        <f t="shared" si="65"/>
        <v>0.81312720765573021</v>
      </c>
      <c r="Y119" s="74">
        <f t="shared" si="66"/>
        <v>0.82657069441805053</v>
      </c>
      <c r="Z119" s="74">
        <f t="shared" si="67"/>
        <v>-1.1664388823329677</v>
      </c>
      <c r="AA119" s="74">
        <f t="shared" si="68"/>
        <v>1.1464382156262982</v>
      </c>
      <c r="AB119" s="74">
        <f t="shared" si="69"/>
        <v>1.1564385489796329</v>
      </c>
      <c r="AC119" s="78">
        <f t="shared" si="70"/>
        <v>2.8726419585686017E-2</v>
      </c>
      <c r="AD119" s="78"/>
      <c r="AE119" s="78">
        <f t="shared" si="71"/>
        <v>2.8725462012830536</v>
      </c>
      <c r="AF119" s="79" t="str">
        <f t="shared" si="72"/>
        <v>-0.01, (-0.82, 0.82)</v>
      </c>
      <c r="AG119" s="78">
        <f t="shared" si="73"/>
        <v>1.694858755555475</v>
      </c>
      <c r="AH119" s="2">
        <f t="shared" si="74"/>
        <v>1.9375</v>
      </c>
      <c r="AI119" s="78">
        <f t="shared" si="75"/>
        <v>1.0173698333345498</v>
      </c>
      <c r="AJ119" s="85">
        <f t="shared" si="76"/>
        <v>4</v>
      </c>
    </row>
    <row r="120" spans="1:36" ht="14.1" customHeight="1" x14ac:dyDescent="0.25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-0.01</v>
      </c>
      <c r="H120" s="15">
        <v>0.59</v>
      </c>
      <c r="I120" s="14" t="s">
        <v>94</v>
      </c>
      <c r="J120" s="12">
        <v>0.13</v>
      </c>
      <c r="K120" s="13">
        <v>0.08</v>
      </c>
      <c r="L120" s="14" t="s">
        <v>53</v>
      </c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0.32</v>
      </c>
      <c r="T120" s="2">
        <v>66</v>
      </c>
      <c r="U120" s="102">
        <f>W120/G121*H121</f>
        <v>0.65293024526322885</v>
      </c>
      <c r="V120" s="76" t="str">
        <f>I121</f>
        <v>p=0.61</v>
      </c>
      <c r="W120" s="74">
        <f t="shared" si="64"/>
        <v>0.33164710870513214</v>
      </c>
      <c r="X120" s="74">
        <f t="shared" si="65"/>
        <v>1.0589199337034072</v>
      </c>
      <c r="Y120" s="74">
        <f t="shared" si="66"/>
        <v>0.60336523105365503</v>
      </c>
      <c r="Z120" s="74">
        <f t="shared" si="67"/>
        <v>-0.94809617201079643</v>
      </c>
      <c r="AA120" s="74">
        <f t="shared" si="68"/>
        <v>1.6113903894210608</v>
      </c>
      <c r="AB120" s="74">
        <f t="shared" si="69"/>
        <v>1.2797432807159286</v>
      </c>
      <c r="AC120" s="78">
        <f t="shared" si="70"/>
        <v>0.77793380169076609</v>
      </c>
      <c r="AD120" s="78"/>
      <c r="AE120" s="78">
        <f t="shared" si="71"/>
        <v>2.3456673713456917</v>
      </c>
      <c r="AF120" s="79" t="str">
        <f t="shared" si="72"/>
        <v>0.32, (-0.74, 0.92)</v>
      </c>
      <c r="AG120" s="78">
        <f t="shared" si="73"/>
        <v>1.5315571720786956</v>
      </c>
      <c r="AH120" s="2">
        <f t="shared" si="74"/>
        <v>-1.6949152542372881E-2</v>
      </c>
      <c r="AI120" s="78">
        <f t="shared" si="75"/>
        <v>0.54885682657841095</v>
      </c>
      <c r="AJ120" s="85">
        <f t="shared" si="76"/>
        <v>3</v>
      </c>
    </row>
    <row r="121" spans="1:36" ht="14.1" customHeight="1" x14ac:dyDescent="0.25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2">
        <v>0.32</v>
      </c>
      <c r="H121" s="18">
        <v>0.63</v>
      </c>
      <c r="I121" s="20" t="s">
        <v>40</v>
      </c>
      <c r="J121" s="17">
        <v>0.18</v>
      </c>
      <c r="K121" s="18">
        <v>7.0000000000000007E-2</v>
      </c>
      <c r="L121" s="14" t="s">
        <v>158</v>
      </c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-0.03</v>
      </c>
      <c r="T121" s="74">
        <v>65</v>
      </c>
      <c r="U121" s="102">
        <f>W121/G105*H105</f>
        <v>0.17005102755771695</v>
      </c>
      <c r="V121" s="76" t="str">
        <f>I105</f>
        <v>p=0.87</v>
      </c>
      <c r="W121" s="74">
        <f t="shared" si="64"/>
        <v>-3.000900486312652E-2</v>
      </c>
      <c r="X121" s="74">
        <f t="shared" si="65"/>
        <v>0.31812537189614132</v>
      </c>
      <c r="Y121" s="74">
        <f t="shared" si="66"/>
        <v>0.32432144110230055</v>
      </c>
      <c r="Z121" s="74">
        <f t="shared" si="67"/>
        <v>-0.36330901887625172</v>
      </c>
      <c r="AA121" s="74">
        <f t="shared" si="68"/>
        <v>0.30329100914999868</v>
      </c>
      <c r="AB121" s="74">
        <f t="shared" si="69"/>
        <v>0.3333000140131252</v>
      </c>
      <c r="AC121" s="78">
        <f t="shared" si="70"/>
        <v>1.0377507902761618</v>
      </c>
      <c r="AD121" s="78"/>
      <c r="AE121" s="78">
        <f t="shared" si="71"/>
        <v>34.58131300952585</v>
      </c>
      <c r="AF121" s="79" t="str">
        <f t="shared" si="72"/>
        <v>-0.03, (-0.35, 0.29)</v>
      </c>
      <c r="AG121" s="78">
        <f t="shared" si="73"/>
        <v>5.8805878115649168</v>
      </c>
      <c r="AH121" s="2">
        <f t="shared" si="74"/>
        <v>0.50793650793650791</v>
      </c>
      <c r="AI121" s="78">
        <f t="shared" si="75"/>
        <v>1.1881785127015991</v>
      </c>
      <c r="AJ121" s="85">
        <f t="shared" si="76"/>
        <v>10</v>
      </c>
    </row>
    <row r="122" spans="1:36" ht="14.1" customHeight="1" x14ac:dyDescent="0.25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0.1</v>
      </c>
      <c r="H122" s="15">
        <v>0.48</v>
      </c>
      <c r="I122" s="14" t="s">
        <v>156</v>
      </c>
      <c r="J122" s="12">
        <v>-0.01</v>
      </c>
      <c r="K122" s="13">
        <v>0.13</v>
      </c>
      <c r="L122" s="14" t="s">
        <v>138</v>
      </c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7">G103</f>
        <v>-0.04</v>
      </c>
      <c r="T122" s="2">
        <v>64</v>
      </c>
      <c r="U122" s="102">
        <f>W122/G103*H103</f>
        <v>0.62033098446990775</v>
      </c>
      <c r="V122" s="76" t="str">
        <f t="shared" ref="V122:V123" si="78">I103</f>
        <v>p=0.95</v>
      </c>
      <c r="W122" s="74">
        <f t="shared" ref="W122:W127" si="79">0.5*LN((1+S122)/(1-S122))</f>
        <v>-4.0021353836768248E-2</v>
      </c>
      <c r="X122" s="74">
        <f t="shared" ref="X122:X127" si="80">S122-(EXP(2*Z122)-1)/(EXP(2*Z122)+1)</f>
        <v>0.80992152395898365</v>
      </c>
      <c r="Y122" s="74">
        <f t="shared" ref="Y122:Y127" si="81">(EXP(2*AA122)-1)/(EXP(2*AA122)+1)-S122</f>
        <v>0.86613133234362938</v>
      </c>
      <c r="Z122" s="74">
        <f t="shared" ref="Z122:Z127" si="82">W122-AB122</f>
        <v>-1.2558700833977874</v>
      </c>
      <c r="AA122" s="74">
        <f t="shared" ref="AA122:AA127" si="83">W122+AB122</f>
        <v>1.175827375724251</v>
      </c>
      <c r="AB122" s="74">
        <f t="shared" ref="AB122:AB127" si="84">1.96*U122</f>
        <v>1.2158487295610192</v>
      </c>
      <c r="AC122" s="78">
        <f t="shared" ref="AC122:AC127" si="85">IF(W122&lt;&gt;"",ABS(W122/U122^2),"")</f>
        <v>0.1040027511883662</v>
      </c>
      <c r="AD122" s="78"/>
      <c r="AE122" s="78">
        <f t="shared" ref="AE122:AE127" si="86">U122^-2</f>
        <v>2.598681484203496</v>
      </c>
      <c r="AF122" s="79" t="str">
        <f t="shared" ref="AF122:AF127" si="87">CONCATENATE(ROUND(S122,2),", (",ROUND(-(X122-S122),2),", ",ROUND(Y122+S122,2),")")</f>
        <v>-0.04, (-0.85, 0.83)</v>
      </c>
      <c r="AG122" s="78">
        <f t="shared" si="73"/>
        <v>1.612042643419676</v>
      </c>
      <c r="AH122" s="2">
        <f t="shared" si="74"/>
        <v>0.20833333333333334</v>
      </c>
      <c r="AI122" s="78">
        <f t="shared" si="75"/>
        <v>1.0669162736130149</v>
      </c>
      <c r="AJ122" s="85">
        <f t="shared" si="76"/>
        <v>4</v>
      </c>
    </row>
    <row r="123" spans="1:36" ht="14.1" customHeight="1" x14ac:dyDescent="0.25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2">
        <v>0.27</v>
      </c>
      <c r="H123" s="18">
        <v>0.32</v>
      </c>
      <c r="I123" s="20" t="s">
        <v>112</v>
      </c>
      <c r="J123" s="17">
        <v>0.03</v>
      </c>
      <c r="K123" s="18">
        <v>0.09</v>
      </c>
      <c r="L123" s="14" t="s">
        <v>160</v>
      </c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7"/>
        <v>0.17</v>
      </c>
      <c r="T123" s="74">
        <v>63</v>
      </c>
      <c r="U123" s="102">
        <f>W123/G104*H104</f>
        <v>0.19186274155947075</v>
      </c>
      <c r="V123" s="76" t="str">
        <f t="shared" si="78"/>
        <v>p=0.37</v>
      </c>
      <c r="W123" s="74">
        <f t="shared" si="79"/>
        <v>0.1716666635005791</v>
      </c>
      <c r="X123" s="74">
        <f t="shared" si="80"/>
        <v>0.37158516056456548</v>
      </c>
      <c r="Y123" s="74">
        <f t="shared" si="81"/>
        <v>0.32880767346045114</v>
      </c>
      <c r="Z123" s="74">
        <f t="shared" si="82"/>
        <v>-0.20438430995598358</v>
      </c>
      <c r="AA123" s="74">
        <f t="shared" si="83"/>
        <v>0.54771763695714182</v>
      </c>
      <c r="AB123" s="74">
        <f t="shared" si="84"/>
        <v>0.37605097345656269</v>
      </c>
      <c r="AC123" s="78">
        <f t="shared" si="85"/>
        <v>4.6634215420502896</v>
      </c>
      <c r="AD123" s="78"/>
      <c r="AE123" s="78">
        <f t="shared" si="86"/>
        <v>27.165562881896157</v>
      </c>
      <c r="AF123" s="79" t="str">
        <f t="shared" si="87"/>
        <v>0.17, (-0.2, 0.5)</v>
      </c>
      <c r="AG123" s="78">
        <f t="shared" si="73"/>
        <v>5.2120593705267932</v>
      </c>
      <c r="AH123" s="2">
        <f t="shared" si="74"/>
        <v>0.84375</v>
      </c>
      <c r="AI123" s="78">
        <f t="shared" si="75"/>
        <v>0.2953940013452383</v>
      </c>
      <c r="AJ123" s="85">
        <f t="shared" si="76"/>
        <v>9</v>
      </c>
    </row>
    <row r="124" spans="1:36" ht="14.1" customHeight="1" x14ac:dyDescent="0.25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0.1</v>
      </c>
      <c r="H124" s="15">
        <v>0.41</v>
      </c>
      <c r="I124" s="14" t="s">
        <v>113</v>
      </c>
      <c r="J124" s="17"/>
      <c r="K124" s="18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-0.03</v>
      </c>
      <c r="T124" s="2">
        <v>62</v>
      </c>
      <c r="U124" s="102">
        <f>W124/G118*H118</f>
        <v>0.3000900486312652</v>
      </c>
      <c r="V124" s="76" t="str">
        <f>I118</f>
        <v>p=0.93</v>
      </c>
      <c r="W124" s="74">
        <f t="shared" si="79"/>
        <v>-3.000900486312652E-2</v>
      </c>
      <c r="X124" s="74">
        <f t="shared" si="80"/>
        <v>0.51986340544851739</v>
      </c>
      <c r="Y124" s="74">
        <f t="shared" si="81"/>
        <v>0.53661652076664468</v>
      </c>
      <c r="Z124" s="74">
        <f t="shared" si="82"/>
        <v>-0.6181855001804063</v>
      </c>
      <c r="AA124" s="74">
        <f t="shared" si="83"/>
        <v>0.55816749045415326</v>
      </c>
      <c r="AB124" s="74">
        <f t="shared" si="84"/>
        <v>0.58817649531727978</v>
      </c>
      <c r="AC124" s="78">
        <f t="shared" si="85"/>
        <v>0.33323330932201195</v>
      </c>
      <c r="AD124" s="78"/>
      <c r="AE124" s="78">
        <f t="shared" si="86"/>
        <v>11.104443844169969</v>
      </c>
      <c r="AF124" s="79" t="str">
        <f t="shared" si="87"/>
        <v>-0.03, (-0.55, 0.51)</v>
      </c>
      <c r="AG124" s="78">
        <f t="shared" si="73"/>
        <v>3.3323330932201194</v>
      </c>
      <c r="AH124" s="2">
        <f t="shared" si="74"/>
        <v>0.24390243902439027</v>
      </c>
      <c r="AI124" s="78">
        <f t="shared" si="75"/>
        <v>1.1046438983756768</v>
      </c>
      <c r="AJ124" s="85">
        <f t="shared" si="76"/>
        <v>6</v>
      </c>
    </row>
    <row r="125" spans="1:36" ht="14.1" customHeight="1" x14ac:dyDescent="0.25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2">
        <v>0.33</v>
      </c>
      <c r="H125" s="18">
        <v>0.25</v>
      </c>
      <c r="I125" s="20" t="s">
        <v>47</v>
      </c>
      <c r="J125" s="17"/>
      <c r="K125" s="18"/>
      <c r="L125" s="14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0.31</v>
      </c>
      <c r="T125" s="74">
        <v>61</v>
      </c>
      <c r="U125" s="102">
        <f>W125/G119*H119</f>
        <v>0.16544279189777863</v>
      </c>
      <c r="V125" s="76" t="str">
        <f>I119</f>
        <v>p=0.06^</v>
      </c>
      <c r="W125" s="74">
        <f t="shared" si="79"/>
        <v>0.32054540930194614</v>
      </c>
      <c r="X125" s="74">
        <f t="shared" si="80"/>
        <v>0.31372244562407525</v>
      </c>
      <c r="Y125" s="74">
        <f t="shared" si="81"/>
        <v>0.25816794871453425</v>
      </c>
      <c r="Z125" s="74">
        <f t="shared" si="82"/>
        <v>-3.7224628177000008E-3</v>
      </c>
      <c r="AA125" s="74">
        <f>W125+AB125</f>
        <v>0.64481328142159233</v>
      </c>
      <c r="AB125" s="74">
        <f>1.96*U125</f>
        <v>0.32426787211964614</v>
      </c>
      <c r="AC125" s="78">
        <f t="shared" si="85"/>
        <v>11.710996760723877</v>
      </c>
      <c r="AD125" s="78"/>
      <c r="AE125" s="78">
        <f t="shared" si="86"/>
        <v>36.534595164619553</v>
      </c>
      <c r="AF125" s="79" t="str">
        <f>CONCATENATE(ROUND(S125,2),", (",ROUND(-(X125-S125),2),", ",ROUND(Y125+S125,2),")")</f>
        <v>0.31, (0, 0.57)</v>
      </c>
      <c r="AG125" s="78">
        <f t="shared" si="73"/>
        <v>6.0443854248897422</v>
      </c>
      <c r="AH125" s="2">
        <f t="shared" si="74"/>
        <v>1.32</v>
      </c>
      <c r="AI125" s="78">
        <f t="shared" si="75"/>
        <v>1.317810287380245E-4</v>
      </c>
      <c r="AJ125" s="85">
        <f t="shared" si="76"/>
        <v>11</v>
      </c>
    </row>
    <row r="126" spans="1:36" ht="14.1" customHeight="1" x14ac:dyDescent="0.25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-0.57999999999999996</v>
      </c>
      <c r="H126" s="15">
        <v>0.72</v>
      </c>
      <c r="I126" s="14" t="s">
        <v>26</v>
      </c>
      <c r="J126" s="17"/>
      <c r="K126" s="18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0.1</v>
      </c>
      <c r="T126" s="2">
        <v>60</v>
      </c>
      <c r="U126" s="102">
        <f>W126/G124*H124</f>
        <v>0.41137492569741002</v>
      </c>
      <c r="V126" s="76" t="str">
        <f>I124</f>
        <v>p=0.81</v>
      </c>
      <c r="W126" s="74">
        <f t="shared" si="79"/>
        <v>0.10033534773107562</v>
      </c>
      <c r="X126" s="74">
        <f t="shared" si="80"/>
        <v>0.70813689194666807</v>
      </c>
      <c r="Y126" s="74">
        <f t="shared" si="81"/>
        <v>0.61951092419222564</v>
      </c>
      <c r="Z126" s="74">
        <f t="shared" si="82"/>
        <v>-0.70595950663584794</v>
      </c>
      <c r="AA126" s="74">
        <f t="shared" si="83"/>
        <v>0.90663020209799927</v>
      </c>
      <c r="AB126" s="74">
        <f t="shared" si="84"/>
        <v>0.80629485436692361</v>
      </c>
      <c r="AC126" s="78">
        <f t="shared" si="85"/>
        <v>0.59289573522474381</v>
      </c>
      <c r="AD126" s="78"/>
      <c r="AE126" s="78">
        <f t="shared" si="86"/>
        <v>5.9091411813696588</v>
      </c>
      <c r="AF126" s="79" t="str">
        <f t="shared" si="87"/>
        <v>0.1, (-0.61, 0.72)</v>
      </c>
      <c r="AG126" s="78">
        <f t="shared" si="73"/>
        <v>2.4308725144214494</v>
      </c>
      <c r="AH126" s="2">
        <f t="shared" si="74"/>
        <v>-0.80555555555555558</v>
      </c>
      <c r="AI126" s="78">
        <f t="shared" si="75"/>
        <v>0.76660527873449502</v>
      </c>
      <c r="AJ126" s="85">
        <f t="shared" si="76"/>
        <v>5</v>
      </c>
    </row>
    <row r="127" spans="1:36" ht="14.1" customHeight="1" x14ac:dyDescent="0.25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2">
        <v>-0.7</v>
      </c>
      <c r="H127" s="18">
        <v>0.4</v>
      </c>
      <c r="I127" s="20" t="s">
        <v>129</v>
      </c>
      <c r="J127" s="17"/>
      <c r="K127" s="18"/>
      <c r="L127" s="14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0.33</v>
      </c>
      <c r="T127" s="74">
        <v>59</v>
      </c>
      <c r="U127" s="102">
        <f>W127/G125*H125</f>
        <v>0.2597183745571166</v>
      </c>
      <c r="V127" s="76" t="str">
        <f>I125</f>
        <v>p=0.18</v>
      </c>
      <c r="W127" s="74">
        <f t="shared" si="79"/>
        <v>0.34282825441539394</v>
      </c>
      <c r="X127" s="74">
        <f t="shared" si="80"/>
        <v>0.49470566167630314</v>
      </c>
      <c r="Y127" s="74">
        <f t="shared" si="81"/>
        <v>0.3620484051859108</v>
      </c>
      <c r="Z127" s="74">
        <f t="shared" si="82"/>
        <v>-0.16621975971655462</v>
      </c>
      <c r="AA127" s="74">
        <f t="shared" si="83"/>
        <v>0.85187626854734244</v>
      </c>
      <c r="AB127" s="74">
        <f t="shared" si="84"/>
        <v>0.50904801413194856</v>
      </c>
      <c r="AC127" s="78">
        <f t="shared" si="85"/>
        <v>5.0824282350100303</v>
      </c>
      <c r="AD127" s="78"/>
      <c r="AE127" s="78">
        <f t="shared" si="86"/>
        <v>14.824998142807145</v>
      </c>
      <c r="AF127" s="79" t="str">
        <f t="shared" si="87"/>
        <v>0.33, (-0.16, 0.69)</v>
      </c>
      <c r="AG127" s="78">
        <f t="shared" si="73"/>
        <v>3.8503244204621438</v>
      </c>
      <c r="AH127" s="2">
        <f t="shared" si="74"/>
        <v>-1.7499999999999998</v>
      </c>
      <c r="AI127" s="78">
        <f t="shared" si="75"/>
        <v>0.1066222407330279</v>
      </c>
      <c r="AJ127" s="85">
        <f t="shared" si="76"/>
        <v>7</v>
      </c>
    </row>
    <row r="128" spans="1:36" ht="14.1" customHeight="1" x14ac:dyDescent="0.25">
      <c r="A128" s="10"/>
      <c r="B128" s="11"/>
      <c r="C128" s="11"/>
      <c r="D128" s="11"/>
      <c r="E128" s="11"/>
      <c r="F128" s="11"/>
      <c r="G128" s="12"/>
      <c r="H128" s="18"/>
      <c r="I128" s="20"/>
      <c r="J128" s="17"/>
      <c r="K128" s="18"/>
      <c r="L128" s="14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18"/>
      <c r="AI128" s="78"/>
      <c r="AJ128" s="85"/>
    </row>
    <row r="129" spans="1:42" ht="14.1" customHeight="1" x14ac:dyDescent="0.25">
      <c r="A129" s="10"/>
      <c r="B129" s="11"/>
      <c r="C129" s="11"/>
      <c r="D129" s="11"/>
      <c r="E129" s="11"/>
      <c r="F129" s="11"/>
      <c r="G129" s="12"/>
      <c r="H129" s="18"/>
      <c r="I129" s="20"/>
      <c r="J129" s="17"/>
      <c r="K129" s="18"/>
      <c r="L129" s="14"/>
      <c r="M129" s="19"/>
      <c r="N129" s="18"/>
      <c r="O129" s="14"/>
      <c r="Q129" s="2" t="s">
        <v>323</v>
      </c>
      <c r="S129" s="84">
        <f>(EXP(2*AD129)-1)/(EXP(2*AD129)+1)</f>
        <v>9.9426792710269024E-2</v>
      </c>
      <c r="T129" s="74">
        <v>57</v>
      </c>
      <c r="U129" s="103">
        <f>1/SQRT(AD129*AE129)</f>
        <v>0.34015377201725416</v>
      </c>
      <c r="V129" s="80">
        <f>1/SQRT(AE129)</f>
        <v>0.10743496341563676</v>
      </c>
      <c r="W129" s="74">
        <f>0.5*LN((1+S129)/(1-S129))</f>
        <v>9.9756383925873771E-2</v>
      </c>
      <c r="X129" s="74">
        <f>S129-(EXP(2*Z129)-1)/(EXP(2*Z129)+1)</f>
        <v>0.61253893985408803</v>
      </c>
      <c r="Y129" s="74">
        <f>(EXP(2*AA129)-1)/(EXP(2*AA129)+1)-S129</f>
        <v>0.54543819562826912</v>
      </c>
      <c r="Z129" s="74">
        <f>W129-AB129</f>
        <v>-0.56694500922794444</v>
      </c>
      <c r="AA129" s="74">
        <f>W129+AB129</f>
        <v>0.76645777707969187</v>
      </c>
      <c r="AB129" s="74">
        <f>1.96*U129</f>
        <v>0.66670139315381816</v>
      </c>
      <c r="AC129" s="78">
        <f>SUM(AC122,AC121,AC103,AC115,AC105,AC117,AC107,AC111,AC124,AC113,AC119,AC126,AC109,)</f>
        <v>8.6426995847611643</v>
      </c>
      <c r="AD129" s="78">
        <f>AC129/AE129</f>
        <v>9.9756383925873771E-2</v>
      </c>
      <c r="AE129" s="78">
        <f>SUM(AE122,AE121,AE103,AE115,AE105,AE117,AE107,AE111,AE124,AE113,AE119,AE126,AE109,)</f>
        <v>86.638060088297877</v>
      </c>
      <c r="AF129" s="79" t="str">
        <f>CONCATENATE(ROUND(S129,2),", (",ROUND(-(X129-S129),2),", ",ROUND(Y129+S129,2),")")</f>
        <v>0.1, (-0.51, 0.64)</v>
      </c>
      <c r="AG129" s="78">
        <f>SUM(AG122,AG121,AG103,AG115,AG105,AG117,AG107,AG111,AG124,AG113,AG119,AG126,AG109,)</f>
        <v>28.217251591236874</v>
      </c>
      <c r="AH129" s="18"/>
      <c r="AI129" s="78">
        <f>SUM(AI122,AI121,AI103,AI115,AI105,AI117,AI107,AI111,AI124,AI113,AI119,AI126,AI109,)</f>
        <v>13.035969057709165</v>
      </c>
      <c r="AJ129"/>
      <c r="AK129" s="81">
        <f>AK133-AK131</f>
        <v>14</v>
      </c>
      <c r="AL129">
        <f>CHIDIST(AI129,AK129-1)</f>
        <v>0.44503717117521069</v>
      </c>
      <c r="AM129" s="82">
        <f>IF((AI129-AK129+1)/AI129&lt;0,0,(AI129-AK129+1)/AI129)</f>
        <v>2.7592162538843928E-3</v>
      </c>
      <c r="AN129" s="74"/>
      <c r="AO129" s="77">
        <f>S129-Y129</f>
        <v>-0.44601140291800012</v>
      </c>
      <c r="AP129">
        <f>S129+Z129</f>
        <v>-0.46751821651767544</v>
      </c>
    </row>
    <row r="130" spans="1:42" ht="14.1" customHeight="1" x14ac:dyDescent="0.25">
      <c r="A130" s="10"/>
      <c r="B130" s="11"/>
      <c r="C130" s="11"/>
      <c r="D130" s="11"/>
      <c r="E130" s="11"/>
      <c r="F130" s="11"/>
      <c r="G130" s="12"/>
      <c r="H130" s="18"/>
      <c r="I130" s="20"/>
      <c r="J130" s="17"/>
      <c r="K130" s="18"/>
      <c r="L130" s="14"/>
      <c r="M130" s="19"/>
      <c r="N130" s="18"/>
      <c r="O130" s="14"/>
      <c r="T130" s="2">
        <v>56</v>
      </c>
      <c r="U130" s="75"/>
      <c r="AH130" s="18"/>
    </row>
    <row r="131" spans="1:42" ht="14.1" customHeight="1" x14ac:dyDescent="0.25">
      <c r="A131" s="10"/>
      <c r="B131" s="11"/>
      <c r="C131" s="11"/>
      <c r="D131" s="11"/>
      <c r="E131" s="11"/>
      <c r="F131" s="11"/>
      <c r="G131" s="12"/>
      <c r="H131" s="18"/>
      <c r="I131" s="20"/>
      <c r="J131" s="12">
        <v>0.13</v>
      </c>
      <c r="K131" s="13">
        <v>0.1</v>
      </c>
      <c r="L131" s="14" t="s">
        <v>164</v>
      </c>
      <c r="M131" s="19"/>
      <c r="N131" s="18"/>
      <c r="O131" s="14"/>
      <c r="Q131" s="2" t="s">
        <v>322</v>
      </c>
      <c r="S131" s="84">
        <f>(EXP(2*AD131)-1)/(EXP(2*AD131)+1)</f>
        <v>0.21981732265658269</v>
      </c>
      <c r="T131" s="74">
        <v>55</v>
      </c>
      <c r="U131" s="103">
        <f>1/SQRT(AD131*AE131)</f>
        <v>0.22383580938438555</v>
      </c>
      <c r="V131" s="80">
        <f>1/SQRT(AE131)</f>
        <v>0.10581165199861134</v>
      </c>
      <c r="W131" s="74">
        <f>0.5*LN((1+S131)/(1-S131))</f>
        <v>0.22346414850170132</v>
      </c>
      <c r="X131" s="74">
        <f>S131-(EXP(2*Z131)-1)/(EXP(2*Z131)+1)</f>
        <v>0.43180729407446455</v>
      </c>
      <c r="Y131" s="74">
        <f>(EXP(2*AA131)-1)/(EXP(2*AA131)+1)-S131</f>
        <v>0.3599965919122784</v>
      </c>
      <c r="Z131" s="74">
        <f>W131-AB131</f>
        <v>-0.21525403789169434</v>
      </c>
      <c r="AA131" s="74">
        <f>W131+AB131</f>
        <v>0.66218233489509704</v>
      </c>
      <c r="AB131" s="74">
        <f>1.96*U131</f>
        <v>0.43871818639339566</v>
      </c>
      <c r="AC131" s="78">
        <f>SUM(AC124,AC119,AC114,AC127,AC110,AC108,AC106,AC118,AC116,AC104,AC123)</f>
        <v>19.959096003188179</v>
      </c>
      <c r="AD131" s="78">
        <f>AC131/AE131</f>
        <v>0.22346414850170124</v>
      </c>
      <c r="AE131" s="78">
        <f>SUM(AE124,AE119,AE114,AE127,AE110,AE108,AE106,AE118,AE116,AE104,AE123)</f>
        <v>89.316770215765644</v>
      </c>
      <c r="AF131" s="79" t="str">
        <f>CONCATENATE(ROUND(S131,2),", (",ROUND(-(X131-S131),2),", ",ROUND(Y131+S131,2),")")</f>
        <v>0.22, (-0.21, 0.58)</v>
      </c>
      <c r="AG131" s="78">
        <f>SUM(AG124,AG119,AG114,AG127,AG110,AG108,AG106,AG118,AG116,AG104,AG123)</f>
        <v>28.71625022406996</v>
      </c>
      <c r="AH131" s="18"/>
      <c r="AI131" s="78">
        <f>SUM(AI124,AI119,AI114,AI127,AI110,AI108,AI106,AI118,AI116,AI104,AI123)</f>
        <v>11.465647265836797</v>
      </c>
      <c r="AJ131"/>
      <c r="AK131" s="78">
        <f>COUNT(AI124,AI119,AI114,AI127,AI110,AI108,AI106,AI118,AI116,AI104,AI123)</f>
        <v>11</v>
      </c>
      <c r="AL131">
        <f>CHIDIST(AI131,AK131-1)</f>
        <v>0.32240792863624151</v>
      </c>
      <c r="AM131" s="82">
        <f>IF((AI131-AK131+1)/AI131&lt;0,0,(AI131-AK131+1)/AI131)</f>
        <v>0.12782943970410288</v>
      </c>
      <c r="AN131" s="74"/>
      <c r="AO131" s="77">
        <f>S131-Y131</f>
        <v>-0.14017926925569571</v>
      </c>
      <c r="AP131">
        <f>S131+Z131</f>
        <v>4.5632847648883479E-3</v>
      </c>
    </row>
    <row r="132" spans="1:42" ht="14.1" customHeight="1" x14ac:dyDescent="0.25">
      <c r="A132" s="10"/>
      <c r="B132" s="11"/>
      <c r="C132" s="11"/>
      <c r="D132" s="11"/>
      <c r="E132" s="11"/>
      <c r="F132" s="11"/>
      <c r="G132" s="12"/>
      <c r="H132" s="18"/>
      <c r="I132" s="20"/>
      <c r="J132" s="17">
        <v>0.02</v>
      </c>
      <c r="K132" s="18">
        <v>0.06</v>
      </c>
      <c r="L132" s="14" t="s">
        <v>16</v>
      </c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18"/>
      <c r="AI132" s="78"/>
      <c r="AJ132" s="85"/>
    </row>
    <row r="133" spans="1:42" ht="14.1" customHeight="1" x14ac:dyDescent="0.25">
      <c r="A133" s="10"/>
      <c r="B133" s="11"/>
      <c r="C133" s="11"/>
      <c r="D133" s="11"/>
      <c r="E133" s="11"/>
      <c r="F133" s="11"/>
      <c r="G133" s="12"/>
      <c r="H133" s="18"/>
      <c r="I133" s="20"/>
      <c r="J133" s="12">
        <v>0.16</v>
      </c>
      <c r="K133" s="13">
        <v>0.11</v>
      </c>
      <c r="L133" s="14" t="s">
        <v>167</v>
      </c>
      <c r="M133" s="19"/>
      <c r="N133" s="18"/>
      <c r="O133" s="14"/>
      <c r="Q133" s="2" t="s">
        <v>185</v>
      </c>
      <c r="S133" s="84">
        <f>(EXP(2*AD133)-1)/(EXP(2*AD133)+1)</f>
        <v>0.20003759863619866</v>
      </c>
      <c r="T133" s="74">
        <v>53</v>
      </c>
      <c r="U133" s="103">
        <f>1/SQRT(AD133*AE133)</f>
        <v>0.15263878524224461</v>
      </c>
      <c r="V133" s="80">
        <f>1/SQRT(AE133)</f>
        <v>6.8733521189033309E-2</v>
      </c>
      <c r="W133" s="74">
        <f>0.5*LN((1+S133)/(1-S133))</f>
        <v>0.20277171960692819</v>
      </c>
      <c r="X133" s="74">
        <f>S133-(EXP(2*Z133)-1)/(EXP(2*Z133)+1)</f>
        <v>0.29614038739976684</v>
      </c>
      <c r="Y133" s="74">
        <f>(EXP(2*AA133)-1)/(EXP(2*AA133)+1)-S133</f>
        <v>0.2636068337281805</v>
      </c>
      <c r="Z133" s="74">
        <f>W133-AB133</f>
        <v>-9.6400299467871264E-2</v>
      </c>
      <c r="AA133" s="74">
        <f>W133+AB133</f>
        <v>0.50194373868172759</v>
      </c>
      <c r="AB133" s="74">
        <f>1.96*U133</f>
        <v>0.29917201907479946</v>
      </c>
      <c r="AC133" s="78">
        <f>SUM(AC103:AC127)</f>
        <v>42.921036165790895</v>
      </c>
      <c r="AD133" s="78">
        <f>AC133/AE133</f>
        <v>0.20277171960692816</v>
      </c>
      <c r="AE133" s="78">
        <f>SUM(AE103:AE127)</f>
        <v>211.67170771640681</v>
      </c>
      <c r="AF133" s="79" t="str">
        <f>CONCATENATE(ROUND(S133,2),", (",ROUND(-(X133-S133),2),", ",ROUND(Y133+S133,2),")")</f>
        <v>0.2, (-0.1, 0.46)</v>
      </c>
      <c r="AG133" s="78">
        <f>SUM(AG103:AG127)</f>
        <v>62.770657180001592</v>
      </c>
      <c r="AH133" s="18"/>
      <c r="AI133" s="78">
        <f>SUM(AI103:AI127)</f>
        <v>23.364011626116952</v>
      </c>
      <c r="AJ133"/>
      <c r="AK133" s="78">
        <f>COUNT(AI103:AI127)</f>
        <v>25</v>
      </c>
      <c r="AL133">
        <f>CHIDIST(AI133,AK133-1)</f>
        <v>0.49840347343110747</v>
      </c>
      <c r="AM133" s="82">
        <f>IF((AI133-AK133+1)/AI133&lt;0,0,(AI133-AK133+1)/AI133)</f>
        <v>0</v>
      </c>
      <c r="AN133" s="74"/>
    </row>
    <row r="134" spans="1:42" ht="14.1" customHeight="1" x14ac:dyDescent="0.25">
      <c r="A134" s="10" t="s">
        <v>162</v>
      </c>
      <c r="B134" s="11"/>
      <c r="C134" s="11"/>
      <c r="D134" s="11"/>
      <c r="E134" s="11"/>
      <c r="F134" s="11"/>
      <c r="G134" s="12"/>
      <c r="H134" s="18"/>
      <c r="I134" s="20"/>
      <c r="J134" s="17">
        <v>0.09</v>
      </c>
      <c r="K134" s="18">
        <v>0.06</v>
      </c>
      <c r="L134" s="14" t="s">
        <v>70</v>
      </c>
      <c r="M134" s="19"/>
      <c r="N134" s="18"/>
      <c r="O134" s="14"/>
      <c r="T134" s="2">
        <v>52</v>
      </c>
      <c r="U134" s="75"/>
      <c r="AH134" s="18"/>
    </row>
    <row r="135" spans="1:42" ht="14.1" customHeight="1" x14ac:dyDescent="0.25">
      <c r="A135" s="10"/>
      <c r="B135" s="11"/>
      <c r="C135" s="11"/>
      <c r="D135" s="11"/>
      <c r="E135" s="11"/>
      <c r="F135" s="11"/>
      <c r="G135" s="12"/>
      <c r="H135" s="18"/>
      <c r="I135" s="20"/>
      <c r="J135" s="23">
        <v>0.23</v>
      </c>
      <c r="K135" s="24">
        <v>0.09</v>
      </c>
      <c r="L135" s="25" t="s">
        <v>39</v>
      </c>
      <c r="M135" s="19"/>
      <c r="N135" s="18"/>
      <c r="O135" s="14"/>
      <c r="Q135" s="1" t="s">
        <v>304</v>
      </c>
      <c r="T135" s="74">
        <v>51</v>
      </c>
      <c r="U135" s="75"/>
      <c r="AH135" s="18"/>
    </row>
    <row r="136" spans="1:42" ht="14.1" customHeight="1" x14ac:dyDescent="0.25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0.64</v>
      </c>
      <c r="H136" s="15">
        <v>2.09</v>
      </c>
      <c r="I136" s="14" t="s">
        <v>69</v>
      </c>
      <c r="J136" s="28">
        <v>0.1</v>
      </c>
      <c r="K136" s="29">
        <v>0.08</v>
      </c>
      <c r="L136" s="25" t="s">
        <v>62</v>
      </c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0.3</v>
      </c>
      <c r="T136" s="2">
        <v>50</v>
      </c>
      <c r="U136" s="102">
        <f>W136/G146*H146</f>
        <v>0.47459672644477147</v>
      </c>
      <c r="V136" s="76" t="str">
        <f>I146</f>
        <v>p=0.51</v>
      </c>
      <c r="W136" s="74">
        <f t="shared" ref="W136:W155" si="88">0.5*LN((1+S136)/(1-S136))</f>
        <v>0.30951960420311181</v>
      </c>
      <c r="X136" s="74">
        <f t="shared" ref="X136:X155" si="89">S136-(EXP(2*Z136)-1)/(EXP(2*Z136)+1)</f>
        <v>0.85160824961428849</v>
      </c>
      <c r="Y136" s="74">
        <f t="shared" ref="Y136:Y155" si="90">(EXP(2*AA136)-1)/(EXP(2*AA136)+1)-S136</f>
        <v>0.54537834115839234</v>
      </c>
      <c r="Z136" s="74">
        <f t="shared" ref="Z136:Z155" si="91">W136-AB136</f>
        <v>-0.62068997962864025</v>
      </c>
      <c r="AA136" s="74">
        <f t="shared" ref="AA136:AA155" si="92">W136+AB136</f>
        <v>1.2397291880348638</v>
      </c>
      <c r="AB136" s="74">
        <f t="shared" ref="AB136:AB155" si="93">1.96*U136</f>
        <v>0.93020958383175201</v>
      </c>
      <c r="AC136" s="78">
        <f t="shared" ref="AC136:AC155" si="94">IF(W136&lt;&gt;"",ABS(W136/U136^2),"")</f>
        <v>1.3741643730435029</v>
      </c>
      <c r="AD136" s="78"/>
      <c r="AE136" s="78">
        <f t="shared" ref="AE136:AE155" si="95">U136^-2</f>
        <v>4.4396682936495155</v>
      </c>
      <c r="AF136" s="79" t="str">
        <f t="shared" ref="AF136:AF155" si="96">CONCATENATE(ROUND(S136,2),", (",ROUND(-(X136-S136),2),", ",ROUND(Y136+S136,2),")")</f>
        <v>0.3, (-0.55, 0.85)</v>
      </c>
      <c r="AG136" s="78">
        <f t="shared" ref="AG136:AG173" si="97">1.96/AB136</f>
        <v>2.1070520386667044</v>
      </c>
      <c r="AH136" s="2">
        <f t="shared" ref="AH136:AH173" si="98">G136/H136</f>
        <v>0.30622009569377995</v>
      </c>
      <c r="AI136" s="78">
        <f t="shared" ref="AI136:AI173" si="99">(Z136/1.96)^2*AE136</f>
        <v>0.44523351565077257</v>
      </c>
      <c r="AJ136" s="85">
        <f t="shared" ref="AJ136:AJ173" si="100">ROUND(AG136/AG$179*100,0)+1</f>
        <v>3</v>
      </c>
    </row>
    <row r="137" spans="1:42" ht="14.1" customHeight="1" x14ac:dyDescent="0.25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2">
        <v>-0.02</v>
      </c>
      <c r="H137" s="18">
        <v>0.47</v>
      </c>
      <c r="I137" s="20" t="s">
        <v>165</v>
      </c>
      <c r="J137" s="12">
        <v>0.14000000000000001</v>
      </c>
      <c r="K137" s="13">
        <v>7.0000000000000007E-2</v>
      </c>
      <c r="L137" s="14" t="s">
        <v>65</v>
      </c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0.12</v>
      </c>
      <c r="T137" s="74">
        <v>49</v>
      </c>
      <c r="U137" s="102">
        <f>W137/G147*H147</f>
        <v>1.0550839985738862</v>
      </c>
      <c r="V137" s="83" t="str">
        <f>I147</f>
        <v>p=0.51</v>
      </c>
      <c r="W137" s="74">
        <f t="shared" si="88"/>
        <v>0.12058102840844412</v>
      </c>
      <c r="X137" s="74">
        <f t="shared" si="89"/>
        <v>1.0801153559867105</v>
      </c>
      <c r="Y137" s="74">
        <f t="shared" si="90"/>
        <v>0.85518799695312586</v>
      </c>
      <c r="Z137" s="74">
        <f t="shared" si="91"/>
        <v>-1.9473836087963727</v>
      </c>
      <c r="AA137" s="74">
        <f t="shared" si="92"/>
        <v>2.1885456656132609</v>
      </c>
      <c r="AB137" s="74">
        <f t="shared" si="93"/>
        <v>2.0679646372048168</v>
      </c>
      <c r="AC137" s="78">
        <f t="shared" si="94"/>
        <v>0.10831906695598603</v>
      </c>
      <c r="AD137" s="78"/>
      <c r="AE137" s="78">
        <f t="shared" si="95"/>
        <v>0.89830936413211582</v>
      </c>
      <c r="AF137" s="79" t="str">
        <f t="shared" si="96"/>
        <v>0.12, (-0.96, 0.98)</v>
      </c>
      <c r="AG137" s="78">
        <f t="shared" si="97"/>
        <v>0.94779183586487814</v>
      </c>
      <c r="AH137" s="2">
        <f t="shared" si="98"/>
        <v>-4.2553191489361708E-2</v>
      </c>
      <c r="AI137" s="78">
        <f t="shared" si="99"/>
        <v>0.88678186809917625</v>
      </c>
      <c r="AJ137" s="85">
        <f t="shared" si="100"/>
        <v>2</v>
      </c>
    </row>
    <row r="138" spans="1:42" ht="14.1" customHeight="1" x14ac:dyDescent="0.25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0.8</v>
      </c>
      <c r="H138" s="15">
        <v>1.1200000000000001</v>
      </c>
      <c r="I138" s="14" t="s">
        <v>86</v>
      </c>
      <c r="J138" s="17">
        <v>0.05</v>
      </c>
      <c r="K138" s="18">
        <v>0.04</v>
      </c>
      <c r="L138" s="14" t="s">
        <v>170</v>
      </c>
      <c r="M138" s="12"/>
      <c r="N138" s="16"/>
      <c r="O138" s="14"/>
      <c r="Q138" s="2" t="str">
        <f>CONCATENATE(B161,"_",E161,"_",D161,"_",C161)</f>
        <v>EAS_Men_Word_Im_PEF</v>
      </c>
      <c r="S138" s="75">
        <f>G161</f>
        <v>0.38</v>
      </c>
      <c r="T138" s="2">
        <v>48</v>
      </c>
      <c r="U138" s="102">
        <f>W138/G161*H161</f>
        <v>0.44217119216722034</v>
      </c>
      <c r="V138" s="76" t="str">
        <f>I161</f>
        <v>p=0.37</v>
      </c>
      <c r="W138" s="74">
        <f t="shared" si="88"/>
        <v>0.40005965005605654</v>
      </c>
      <c r="X138" s="74">
        <f t="shared" si="89"/>
        <v>0.81544475636960156</v>
      </c>
      <c r="Y138" s="74">
        <f t="shared" si="90"/>
        <v>0.47290487097295564</v>
      </c>
      <c r="Z138" s="74">
        <f t="shared" si="91"/>
        <v>-0.46659588659169532</v>
      </c>
      <c r="AA138" s="74">
        <f t="shared" si="92"/>
        <v>1.2667151867038084</v>
      </c>
      <c r="AB138" s="74">
        <f t="shared" si="93"/>
        <v>0.86665553664775186</v>
      </c>
      <c r="AC138" s="78">
        <f t="shared" si="94"/>
        <v>2.0461801238732487</v>
      </c>
      <c r="AD138" s="78"/>
      <c r="AE138" s="78">
        <f t="shared" si="95"/>
        <v>5.1146875811807986</v>
      </c>
      <c r="AF138" s="79" t="str">
        <f t="shared" si="96"/>
        <v>0.38, (-0.44, 0.85)</v>
      </c>
      <c r="AG138" s="78">
        <f t="shared" si="97"/>
        <v>2.26156750533359</v>
      </c>
      <c r="AH138" s="2">
        <f t="shared" si="98"/>
        <v>0.7142857142857143</v>
      </c>
      <c r="AI138" s="78">
        <f t="shared" si="99"/>
        <v>0.2898603284156922</v>
      </c>
      <c r="AJ138" s="85">
        <f t="shared" si="100"/>
        <v>4</v>
      </c>
    </row>
    <row r="139" spans="1:42" ht="14.1" customHeight="1" x14ac:dyDescent="0.25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2">
        <v>0.11</v>
      </c>
      <c r="H139" s="18">
        <v>0.6</v>
      </c>
      <c r="I139" s="20" t="s">
        <v>127</v>
      </c>
      <c r="J139" s="12">
        <v>0.11</v>
      </c>
      <c r="K139" s="13">
        <v>7.0000000000000007E-2</v>
      </c>
      <c r="L139" s="14" t="s">
        <v>167</v>
      </c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0.64</v>
      </c>
      <c r="T139" s="74">
        <v>47</v>
      </c>
      <c r="U139" s="102">
        <f>W139/G162*H162</f>
        <v>0.62786263231647421</v>
      </c>
      <c r="V139" s="76" t="str">
        <f>I162</f>
        <v>p=0.23</v>
      </c>
      <c r="W139" s="74">
        <f t="shared" si="88"/>
        <v>0.7581737446840443</v>
      </c>
      <c r="X139" s="74">
        <f t="shared" si="89"/>
        <v>1.0801662728454566</v>
      </c>
      <c r="Y139" s="74">
        <f t="shared" si="90"/>
        <v>0.32322656905018887</v>
      </c>
      <c r="Z139" s="74">
        <f t="shared" si="91"/>
        <v>-0.47243701465624521</v>
      </c>
      <c r="AA139" s="74">
        <f t="shared" si="92"/>
        <v>1.9887845040243337</v>
      </c>
      <c r="AB139" s="74">
        <f t="shared" si="93"/>
        <v>1.2306107593402895</v>
      </c>
      <c r="AC139" s="78">
        <f t="shared" si="94"/>
        <v>1.9232665039423089</v>
      </c>
      <c r="AD139" s="78"/>
      <c r="AE139" s="78">
        <f t="shared" si="95"/>
        <v>2.5367094513986324</v>
      </c>
      <c r="AF139" s="79" t="str">
        <f t="shared" si="96"/>
        <v>0.64, (-0.44, 0.96)</v>
      </c>
      <c r="AG139" s="78">
        <f t="shared" si="97"/>
        <v>1.5927050735772246</v>
      </c>
      <c r="AH139" s="2">
        <f t="shared" si="98"/>
        <v>0.18333333333333335</v>
      </c>
      <c r="AI139" s="78">
        <f t="shared" si="99"/>
        <v>0.14738266911155601</v>
      </c>
      <c r="AJ139" s="85">
        <f t="shared" si="100"/>
        <v>3</v>
      </c>
    </row>
    <row r="140" spans="1:42" ht="14.1" customHeight="1" x14ac:dyDescent="0.25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0.05</v>
      </c>
      <c r="H140" s="26">
        <v>0.38</v>
      </c>
      <c r="I140" s="25" t="s">
        <v>115</v>
      </c>
      <c r="J140" s="17">
        <v>0.04</v>
      </c>
      <c r="K140" s="18">
        <v>0.05</v>
      </c>
      <c r="L140" s="14" t="s">
        <v>151</v>
      </c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0.7</v>
      </c>
      <c r="T140" s="2">
        <v>46</v>
      </c>
      <c r="U140" s="102">
        <f>W140/G156*H156</f>
        <v>0.66906040707826964</v>
      </c>
      <c r="V140" s="76" t="str">
        <f>I156</f>
        <v>p=0.19</v>
      </c>
      <c r="W140" s="74">
        <f t="shared" si="88"/>
        <v>0.86730052769405319</v>
      </c>
      <c r="X140" s="74">
        <f t="shared" si="89"/>
        <v>1.1170023490514938</v>
      </c>
      <c r="Y140" s="74">
        <f t="shared" si="90"/>
        <v>0.27469876295790663</v>
      </c>
      <c r="Z140" s="74">
        <f t="shared" si="91"/>
        <v>-0.44405787017935527</v>
      </c>
      <c r="AA140" s="74">
        <f t="shared" si="92"/>
        <v>2.1786589255674618</v>
      </c>
      <c r="AB140" s="74">
        <f t="shared" si="93"/>
        <v>1.3113583978734085</v>
      </c>
      <c r="AC140" s="78">
        <f t="shared" si="94"/>
        <v>1.9374876806073653</v>
      </c>
      <c r="AD140" s="78"/>
      <c r="AE140" s="78">
        <f t="shared" si="95"/>
        <v>2.2339288617276485</v>
      </c>
      <c r="AF140" s="79" t="str">
        <f t="shared" si="96"/>
        <v>0.7, (-0.42, 0.97)</v>
      </c>
      <c r="AG140" s="78">
        <f t="shared" si="97"/>
        <v>1.494633353611396</v>
      </c>
      <c r="AH140" s="2">
        <f t="shared" si="98"/>
        <v>0.13157894736842105</v>
      </c>
      <c r="AI140" s="78">
        <f t="shared" si="99"/>
        <v>0.11466644270877076</v>
      </c>
      <c r="AJ140" s="85">
        <f t="shared" si="100"/>
        <v>3</v>
      </c>
    </row>
    <row r="141" spans="1:42" ht="14.1" customHeight="1" x14ac:dyDescent="0.25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23">
        <v>0.25</v>
      </c>
      <c r="H141" s="29">
        <v>0.24</v>
      </c>
      <c r="I141" s="31" t="s">
        <v>133</v>
      </c>
      <c r="J141" s="12">
        <v>7.0000000000000007E-2</v>
      </c>
      <c r="K141" s="13">
        <v>0.12</v>
      </c>
      <c r="L141" s="14" t="s">
        <v>71</v>
      </c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0.69</v>
      </c>
      <c r="T141" s="74">
        <v>45</v>
      </c>
      <c r="U141" s="102">
        <f>W141/G157*H157</f>
        <v>0.61446069218765476</v>
      </c>
      <c r="V141" s="76" t="str">
        <f>I157</f>
        <v>p=0.17</v>
      </c>
      <c r="W141" s="74">
        <f t="shared" si="88"/>
        <v>0.84795575521896349</v>
      </c>
      <c r="X141" s="74">
        <f t="shared" si="89"/>
        <v>1.0320278227213779</v>
      </c>
      <c r="Y141" s="74">
        <f t="shared" si="90"/>
        <v>0.27754212908997511</v>
      </c>
      <c r="Z141" s="74">
        <f t="shared" si="91"/>
        <v>-0.35638720146883973</v>
      </c>
      <c r="AA141" s="74">
        <f t="shared" si="92"/>
        <v>2.0522987119067668</v>
      </c>
      <c r="AB141" s="74">
        <f t="shared" si="93"/>
        <v>1.2043429566878032</v>
      </c>
      <c r="AC141" s="78">
        <f t="shared" si="94"/>
        <v>2.2458718963564741</v>
      </c>
      <c r="AD141" s="78"/>
      <c r="AE141" s="78">
        <f t="shared" si="95"/>
        <v>2.6485720304787996</v>
      </c>
      <c r="AF141" s="79" t="str">
        <f t="shared" si="96"/>
        <v>0.69, (-0.34, 0.97)</v>
      </c>
      <c r="AG141" s="78">
        <f t="shared" si="97"/>
        <v>1.6274434031568654</v>
      </c>
      <c r="AH141" s="2">
        <f t="shared" si="98"/>
        <v>1.0416666666666667</v>
      </c>
      <c r="AI141" s="78">
        <f t="shared" si="99"/>
        <v>8.7567680133277787E-2</v>
      </c>
      <c r="AJ141" s="85">
        <f t="shared" si="100"/>
        <v>3</v>
      </c>
    </row>
    <row r="142" spans="1:42" ht="14.1" customHeight="1" x14ac:dyDescent="0.25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0.05</v>
      </c>
      <c r="H142" s="15">
        <v>0.44</v>
      </c>
      <c r="I142" s="14" t="s">
        <v>142</v>
      </c>
      <c r="J142" s="17">
        <v>0.11</v>
      </c>
      <c r="K142" s="24">
        <v>7.0000000000000007E-2</v>
      </c>
      <c r="L142" s="14" t="s">
        <v>167</v>
      </c>
      <c r="M142" s="12"/>
      <c r="N142" s="16"/>
      <c r="O142" s="14"/>
      <c r="Q142" s="2" t="str">
        <f>CONCATENATE(B165,"_",E165,"_",D165,"_",C165)</f>
        <v>HRS_Men_Word_Im_PEF</v>
      </c>
      <c r="S142" s="75">
        <f>G165</f>
        <v>0.37</v>
      </c>
      <c r="T142" s="2">
        <v>44</v>
      </c>
      <c r="U142" s="102">
        <f>W142/G165*H165</f>
        <v>0.61937737522647229</v>
      </c>
      <c r="V142" s="76" t="str">
        <f>I165</f>
        <v>p=0.53</v>
      </c>
      <c r="W142" s="74">
        <f t="shared" si="88"/>
        <v>0.38842309971829619</v>
      </c>
      <c r="X142" s="74">
        <f t="shared" si="89"/>
        <v>1.0480828677426504</v>
      </c>
      <c r="Y142" s="74">
        <f t="shared" si="90"/>
        <v>0.55202943423624373</v>
      </c>
      <c r="Z142" s="74">
        <f t="shared" si="91"/>
        <v>-0.8255565557255895</v>
      </c>
      <c r="AA142" s="74">
        <f t="shared" si="92"/>
        <v>1.602402755162182</v>
      </c>
      <c r="AB142" s="74">
        <f t="shared" si="93"/>
        <v>1.2139796554438858</v>
      </c>
      <c r="AC142" s="78">
        <f t="shared" si="94"/>
        <v>1.0124984688672132</v>
      </c>
      <c r="AD142" s="78"/>
      <c r="AE142" s="78">
        <f t="shared" si="95"/>
        <v>2.6066896371547617</v>
      </c>
      <c r="AF142" s="79" t="str">
        <f t="shared" si="96"/>
        <v>0.37, (-0.68, 0.92)</v>
      </c>
      <c r="AG142" s="78">
        <f>1.96/AB142</f>
        <v>1.6145245854909616</v>
      </c>
      <c r="AH142" s="2">
        <f t="shared" si="98"/>
        <v>0.11363636363636365</v>
      </c>
      <c r="AI142" s="78">
        <f t="shared" si="99"/>
        <v>0.46245645277792297</v>
      </c>
      <c r="AJ142" s="85">
        <f t="shared" si="100"/>
        <v>3</v>
      </c>
    </row>
    <row r="143" spans="1:42" ht="14.1" customHeight="1" x14ac:dyDescent="0.25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2">
        <v>-0.6</v>
      </c>
      <c r="H143" s="18">
        <v>0.79</v>
      </c>
      <c r="I143" s="20" t="s">
        <v>41</v>
      </c>
      <c r="J143" s="23">
        <v>0.57999999999999996</v>
      </c>
      <c r="K143" s="24">
        <v>0.12</v>
      </c>
      <c r="L143" s="25" t="s">
        <v>27</v>
      </c>
      <c r="M143" s="19"/>
      <c r="N143" s="18"/>
      <c r="O143" s="14"/>
      <c r="Q143" s="2" t="str">
        <f>CONCATENATE(B166,"_",E166,"_",D166,"_",C166)</f>
        <v>HRS_Women_Word_Im_PEF</v>
      </c>
      <c r="S143" s="75">
        <f>G166</f>
        <v>0.44</v>
      </c>
      <c r="T143" s="74">
        <v>43</v>
      </c>
      <c r="U143" s="102">
        <f>W143/G166*H166</f>
        <v>0.59028850552553214</v>
      </c>
      <c r="V143" s="76" t="str">
        <f>I166</f>
        <v>p=0.43</v>
      </c>
      <c r="W143" s="74">
        <f t="shared" si="88"/>
        <v>0.47223080442042564</v>
      </c>
      <c r="X143" s="74">
        <f t="shared" si="89"/>
        <v>1.0345888055440176</v>
      </c>
      <c r="Y143" s="74">
        <f t="shared" si="90"/>
        <v>0.48594703777730647</v>
      </c>
      <c r="Z143" s="74">
        <f t="shared" si="91"/>
        <v>-0.68473466640961733</v>
      </c>
      <c r="AA143" s="74">
        <f t="shared" si="92"/>
        <v>1.6291962752504685</v>
      </c>
      <c r="AB143" s="74">
        <f t="shared" si="93"/>
        <v>1.156965470830043</v>
      </c>
      <c r="AC143" s="78">
        <f t="shared" si="94"/>
        <v>1.3552694868888939</v>
      </c>
      <c r="AD143" s="78"/>
      <c r="AE143" s="78">
        <f t="shared" si="95"/>
        <v>2.8699302845188845</v>
      </c>
      <c r="AF143" s="79" t="str">
        <f t="shared" si="96"/>
        <v>0.44, (-0.59, 0.93)</v>
      </c>
      <c r="AG143" s="78">
        <f>1.96/AB143</f>
        <v>1.6940868586111175</v>
      </c>
      <c r="AH143" s="2">
        <f t="shared" si="98"/>
        <v>-0.75949367088607589</v>
      </c>
      <c r="AI143" s="78">
        <f t="shared" si="99"/>
        <v>0.35027072053311131</v>
      </c>
      <c r="AJ143" s="85">
        <f t="shared" si="100"/>
        <v>3</v>
      </c>
    </row>
    <row r="144" spans="1:42" ht="14.1" customHeight="1" x14ac:dyDescent="0.25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0.12</v>
      </c>
      <c r="H144" s="15">
        <v>1.05</v>
      </c>
      <c r="I144" s="14" t="s">
        <v>138</v>
      </c>
      <c r="J144" s="17">
        <v>0.13</v>
      </c>
      <c r="K144" s="18">
        <v>0.1</v>
      </c>
      <c r="L144" s="14" t="s">
        <v>80</v>
      </c>
      <c r="M144" s="12"/>
      <c r="N144" s="16"/>
      <c r="O144" s="14"/>
      <c r="Q144" s="2" t="str">
        <f>CONCATENATE(B167,"_",E167,"_",D167,"_",C167)</f>
        <v>LASA_Men_Word_Im_PEF</v>
      </c>
      <c r="S144" s="75">
        <f>G167</f>
        <v>0.11</v>
      </c>
      <c r="T144" s="2">
        <v>42</v>
      </c>
      <c r="U144" s="102">
        <f>W144/G167*H167</f>
        <v>0.44178766316038881</v>
      </c>
      <c r="V144" s="76" t="str">
        <f>I167</f>
        <v>p=0.8</v>
      </c>
      <c r="W144" s="74">
        <f t="shared" si="88"/>
        <v>0.11044691579009722</v>
      </c>
      <c r="X144" s="74">
        <f t="shared" si="89"/>
        <v>0.74839318732548576</v>
      </c>
      <c r="Y144" s="74">
        <f t="shared" si="90"/>
        <v>0.64148182219253069</v>
      </c>
      <c r="Z144" s="74">
        <f t="shared" si="91"/>
        <v>-0.7554569040042648</v>
      </c>
      <c r="AA144" s="74">
        <f t="shared" si="92"/>
        <v>0.97635073558445928</v>
      </c>
      <c r="AB144" s="74">
        <f t="shared" si="93"/>
        <v>0.86590381979436204</v>
      </c>
      <c r="AC144" s="78">
        <f t="shared" si="94"/>
        <v>0.56588270983302402</v>
      </c>
      <c r="AD144" s="78"/>
      <c r="AE144" s="78">
        <f t="shared" si="95"/>
        <v>5.1235718606074609</v>
      </c>
      <c r="AF144" s="79" t="str">
        <f t="shared" si="96"/>
        <v>0.11, (-0.64, 0.75)</v>
      </c>
      <c r="AG144" s="78">
        <f t="shared" si="97"/>
        <v>2.2635308393320956</v>
      </c>
      <c r="AH144" s="2">
        <f t="shared" si="98"/>
        <v>0.11428571428571428</v>
      </c>
      <c r="AI144" s="78">
        <f t="shared" si="99"/>
        <v>0.76116722199083708</v>
      </c>
      <c r="AJ144" s="85">
        <f t="shared" si="100"/>
        <v>4</v>
      </c>
    </row>
    <row r="145" spans="1:36" ht="14.1" customHeight="1" x14ac:dyDescent="0.25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2">
        <v>-0.11</v>
      </c>
      <c r="H145" s="18">
        <v>0.47</v>
      </c>
      <c r="I145" s="20" t="s">
        <v>113</v>
      </c>
      <c r="J145" s="23">
        <v>0.51</v>
      </c>
      <c r="K145" s="24">
        <v>0.17</v>
      </c>
      <c r="L145" s="25" t="s">
        <v>45</v>
      </c>
      <c r="M145" s="19"/>
      <c r="N145" s="18"/>
      <c r="O145" s="14"/>
      <c r="Q145" s="2" t="str">
        <f>CONCATENATE(B168,"_",E168,"_",D168,"_",C168)</f>
        <v>LASA_Women_Word_Im_PEF</v>
      </c>
      <c r="S145" s="75">
        <f>G168</f>
        <v>0.1</v>
      </c>
      <c r="T145" s="74">
        <v>41</v>
      </c>
      <c r="U145" s="102">
        <f>W145/G168*H168</f>
        <v>0.57191148206713094</v>
      </c>
      <c r="V145" s="76" t="str">
        <f>I168</f>
        <v>p=0.86</v>
      </c>
      <c r="W145" s="74">
        <f t="shared" si="88"/>
        <v>0.10033534773107562</v>
      </c>
      <c r="X145" s="74">
        <f t="shared" si="89"/>
        <v>0.87011534647707267</v>
      </c>
      <c r="Y145" s="74">
        <f t="shared" si="90"/>
        <v>0.74003189089174803</v>
      </c>
      <c r="Z145" s="74">
        <f t="shared" si="91"/>
        <v>-1.020611157120501</v>
      </c>
      <c r="AA145" s="74">
        <f t="shared" si="92"/>
        <v>1.2212818525826521</v>
      </c>
      <c r="AB145" s="74">
        <f t="shared" si="93"/>
        <v>1.1209465048515765</v>
      </c>
      <c r="AC145" s="78">
        <f t="shared" si="94"/>
        <v>0.30675830437451357</v>
      </c>
      <c r="AD145" s="78"/>
      <c r="AE145" s="78">
        <f t="shared" si="95"/>
        <v>3.0573303557655893</v>
      </c>
      <c r="AF145" s="79" t="str">
        <f t="shared" si="96"/>
        <v>0.1, (-0.77, 0.84)</v>
      </c>
      <c r="AG145" s="78">
        <f t="shared" si="97"/>
        <v>1.748522334934727</v>
      </c>
      <c r="AH145" s="2">
        <f t="shared" si="98"/>
        <v>-0.23404255319148937</v>
      </c>
      <c r="AI145" s="78">
        <f t="shared" si="99"/>
        <v>0.8289929724315902</v>
      </c>
      <c r="AJ145" s="85">
        <f t="shared" si="100"/>
        <v>3</v>
      </c>
    </row>
    <row r="146" spans="1:36" ht="14.1" customHeight="1" x14ac:dyDescent="0.25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0.3</v>
      </c>
      <c r="H146" s="15">
        <v>0.46</v>
      </c>
      <c r="I146" s="14" t="s">
        <v>99</v>
      </c>
      <c r="J146" s="17">
        <v>7.0000000000000007E-2</v>
      </c>
      <c r="K146" s="18">
        <v>7.0000000000000007E-2</v>
      </c>
      <c r="L146" s="14" t="s">
        <v>20</v>
      </c>
      <c r="M146" s="12"/>
      <c r="N146" s="16"/>
      <c r="O146" s="14"/>
      <c r="Q146" s="2" t="str">
        <f t="shared" ref="Q146:Q153" si="101">CONCATENATE(B148,"_",E148,"_",D148,"_",C148)</f>
        <v>OCTO_Men_Objects_Recall_PEF</v>
      </c>
      <c r="S146" s="75">
        <f t="shared" ref="S146:S153" si="102">G148</f>
        <v>0.43</v>
      </c>
      <c r="T146" s="2">
        <v>40</v>
      </c>
      <c r="U146" s="102">
        <f t="shared" ref="U146:U153" si="103">W146/G148*H148</f>
        <v>0.18181961815384964</v>
      </c>
      <c r="V146" s="76" t="str">
        <f t="shared" ref="V146:V153" si="104">I148</f>
        <v>p=0.01 **</v>
      </c>
      <c r="W146" s="74">
        <f t="shared" si="88"/>
        <v>0.45989668121267852</v>
      </c>
      <c r="X146" s="74">
        <f t="shared" si="89"/>
        <v>0.32683808787068269</v>
      </c>
      <c r="Y146" s="74">
        <f t="shared" si="90"/>
        <v>0.24303083599124181</v>
      </c>
      <c r="Z146" s="74">
        <f t="shared" si="91"/>
        <v>0.10353022963113323</v>
      </c>
      <c r="AA146" s="74">
        <f t="shared" si="92"/>
        <v>0.8162631327942238</v>
      </c>
      <c r="AB146" s="74">
        <f t="shared" si="93"/>
        <v>0.35636645158154528</v>
      </c>
      <c r="AC146" s="78">
        <f t="shared" si="94"/>
        <v>13.911654805949373</v>
      </c>
      <c r="AD146" s="78"/>
      <c r="AE146" s="78">
        <f t="shared" si="95"/>
        <v>30.249522064969959</v>
      </c>
      <c r="AF146" s="79" t="str">
        <f t="shared" si="96"/>
        <v>0.43, (0.1, 0.67)</v>
      </c>
      <c r="AG146" s="78">
        <f t="shared" si="97"/>
        <v>5.4999565511892872</v>
      </c>
      <c r="AH146" s="2">
        <f t="shared" si="98"/>
        <v>0.65217391304347816</v>
      </c>
      <c r="AI146" s="78">
        <f t="shared" si="99"/>
        <v>8.4399666229036691E-2</v>
      </c>
      <c r="AJ146" s="85">
        <f t="shared" si="100"/>
        <v>7</v>
      </c>
    </row>
    <row r="147" spans="1:36" ht="14.1" customHeight="1" x14ac:dyDescent="0.25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2">
        <v>0.12</v>
      </c>
      <c r="H147" s="94">
        <v>1.05</v>
      </c>
      <c r="I147" s="20" t="s">
        <v>99</v>
      </c>
      <c r="J147" s="12">
        <v>0.22</v>
      </c>
      <c r="K147" s="13">
        <v>0.13</v>
      </c>
      <c r="L147" s="14" t="s">
        <v>108</v>
      </c>
      <c r="M147" s="19"/>
      <c r="N147" s="18"/>
      <c r="O147" s="14"/>
      <c r="Q147" s="2" t="str">
        <f t="shared" si="101"/>
        <v>OCTO_Women_Objects_Recall_PEF</v>
      </c>
      <c r="S147" s="75">
        <f t="shared" si="102"/>
        <v>0.18</v>
      </c>
      <c r="T147" s="74">
        <v>39</v>
      </c>
      <c r="U147" s="102">
        <f t="shared" si="103"/>
        <v>0.28308418226776449</v>
      </c>
      <c r="V147" s="76" t="str">
        <f t="shared" si="104"/>
        <v>p=0.53</v>
      </c>
      <c r="W147" s="74">
        <f t="shared" si="88"/>
        <v>0.18198268860070574</v>
      </c>
      <c r="X147" s="74">
        <f t="shared" si="89"/>
        <v>0.53649280382574549</v>
      </c>
      <c r="Y147" s="74">
        <f t="shared" si="90"/>
        <v>0.44722469766895184</v>
      </c>
      <c r="Z147" s="74">
        <f t="shared" si="91"/>
        <v>-0.37286230864411263</v>
      </c>
      <c r="AA147" s="74">
        <f t="shared" si="92"/>
        <v>0.73682768584552416</v>
      </c>
      <c r="AB147" s="74">
        <f t="shared" si="93"/>
        <v>0.55484499724481839</v>
      </c>
      <c r="AC147" s="78">
        <f t="shared" si="94"/>
        <v>2.2709044981152471</v>
      </c>
      <c r="AD147" s="78"/>
      <c r="AE147" s="78">
        <f t="shared" si="95"/>
        <v>12.478684184614471</v>
      </c>
      <c r="AF147" s="79" t="str">
        <f t="shared" si="96"/>
        <v>0.18, (-0.36, 0.63)</v>
      </c>
      <c r="AG147" s="78">
        <f t="shared" si="97"/>
        <v>3.5325181081792731</v>
      </c>
      <c r="AH147" s="2">
        <f t="shared" si="98"/>
        <v>0.11428571428571428</v>
      </c>
      <c r="AI147" s="78">
        <f t="shared" si="99"/>
        <v>0.45159967360538539</v>
      </c>
      <c r="AJ147" s="85">
        <f t="shared" si="100"/>
        <v>5</v>
      </c>
    </row>
    <row r="148" spans="1:36" ht="14.1" customHeight="1" x14ac:dyDescent="0.25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0.43</v>
      </c>
      <c r="H148" s="26">
        <v>0.17</v>
      </c>
      <c r="I148" s="25" t="s">
        <v>39</v>
      </c>
      <c r="J148" s="28">
        <v>0.15</v>
      </c>
      <c r="K148" s="29">
        <v>0.09</v>
      </c>
      <c r="L148" s="25" t="s">
        <v>97</v>
      </c>
      <c r="M148" s="23"/>
      <c r="N148" s="27"/>
      <c r="O148" s="25"/>
      <c r="Q148" s="2" t="str">
        <f t="shared" si="101"/>
        <v>OCTO_Men_Objects_Recog_PEF</v>
      </c>
      <c r="S148" s="75">
        <f t="shared" si="102"/>
        <v>0.28000000000000003</v>
      </c>
      <c r="T148" s="2">
        <v>38</v>
      </c>
      <c r="U148" s="102">
        <f t="shared" si="103"/>
        <v>0.61646158382524485</v>
      </c>
      <c r="V148" s="76" t="str">
        <f t="shared" si="104"/>
        <v>p=0.65</v>
      </c>
      <c r="W148" s="74">
        <f t="shared" si="88"/>
        <v>0.28768207245178096</v>
      </c>
      <c r="X148" s="74">
        <f t="shared" si="89"/>
        <v>1.0061729256578551</v>
      </c>
      <c r="Y148" s="74">
        <f t="shared" si="90"/>
        <v>0.62441311627174645</v>
      </c>
      <c r="Z148" s="74">
        <f t="shared" si="91"/>
        <v>-0.92058263184569888</v>
      </c>
      <c r="AA148" s="74">
        <f t="shared" si="92"/>
        <v>1.4959467767492609</v>
      </c>
      <c r="AB148" s="74">
        <f t="shared" si="93"/>
        <v>1.2082647042974799</v>
      </c>
      <c r="AC148" s="78">
        <f t="shared" si="94"/>
        <v>0.75700851263256952</v>
      </c>
      <c r="AD148" s="78"/>
      <c r="AE148" s="78">
        <f t="shared" si="95"/>
        <v>2.6314066294814165</v>
      </c>
      <c r="AF148" s="79" t="str">
        <f t="shared" si="96"/>
        <v>0.28, (-0.73, 0.9)</v>
      </c>
      <c r="AG148" s="78">
        <f t="shared" si="97"/>
        <v>1.6221610984983632</v>
      </c>
      <c r="AH148" s="2">
        <f t="shared" si="98"/>
        <v>2.5294117647058822</v>
      </c>
      <c r="AI148" s="78">
        <f t="shared" si="99"/>
        <v>0.58049886621315183</v>
      </c>
      <c r="AJ148" s="85">
        <f t="shared" si="100"/>
        <v>3</v>
      </c>
    </row>
    <row r="149" spans="1:36" ht="14.1" customHeight="1" x14ac:dyDescent="0.25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2">
        <v>0.18</v>
      </c>
      <c r="H149" s="18">
        <v>0.28000000000000003</v>
      </c>
      <c r="I149" s="20" t="s">
        <v>143</v>
      </c>
      <c r="J149" s="12">
        <v>0.06</v>
      </c>
      <c r="K149" s="13">
        <v>0.04</v>
      </c>
      <c r="L149" s="14" t="s">
        <v>84</v>
      </c>
      <c r="M149" s="19"/>
      <c r="N149" s="18"/>
      <c r="O149" s="14"/>
      <c r="Q149" s="2" t="str">
        <f t="shared" si="101"/>
        <v>OCTO_Women_Objects_Recog_PEF</v>
      </c>
      <c r="S149" s="75">
        <f t="shared" si="102"/>
        <v>0.52</v>
      </c>
      <c r="T149" s="74">
        <v>37</v>
      </c>
      <c r="U149" s="102">
        <f t="shared" si="103"/>
        <v>0.35467061844258013</v>
      </c>
      <c r="V149" s="76" t="str">
        <f t="shared" si="104"/>
        <v>p=0.10</v>
      </c>
      <c r="W149" s="74">
        <f t="shared" si="88"/>
        <v>0.57633975496919276</v>
      </c>
      <c r="X149" s="74">
        <f t="shared" si="89"/>
        <v>0.63825869723207496</v>
      </c>
      <c r="Y149" s="74">
        <f t="shared" si="90"/>
        <v>0.33420210036168607</v>
      </c>
      <c r="Z149" s="74">
        <f t="shared" si="91"/>
        <v>-0.11881465717826434</v>
      </c>
      <c r="AA149" s="74">
        <f t="shared" si="92"/>
        <v>1.27149416711665</v>
      </c>
      <c r="AB149" s="74">
        <f t="shared" si="93"/>
        <v>0.6951544121474571</v>
      </c>
      <c r="AC149" s="78">
        <f t="shared" si="94"/>
        <v>4.5817158667826945</v>
      </c>
      <c r="AD149" s="78"/>
      <c r="AE149" s="78">
        <f t="shared" si="95"/>
        <v>7.9496786874047967</v>
      </c>
      <c r="AF149" s="79" t="str">
        <f t="shared" si="96"/>
        <v>0.52, (-0.12, 0.85)</v>
      </c>
      <c r="AG149" s="78">
        <f t="shared" si="97"/>
        <v>2.8195174564816572</v>
      </c>
      <c r="AH149" s="2">
        <f t="shared" si="98"/>
        <v>0.64285714285714279</v>
      </c>
      <c r="AI149" s="78">
        <f t="shared" si="99"/>
        <v>2.9213088296543111E-2</v>
      </c>
      <c r="AJ149" s="85">
        <f t="shared" si="100"/>
        <v>4</v>
      </c>
    </row>
    <row r="150" spans="1:36" ht="14.1" customHeight="1" x14ac:dyDescent="0.25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0.28000000000000003</v>
      </c>
      <c r="H150" s="26">
        <v>0.6</v>
      </c>
      <c r="I150" s="25" t="s">
        <v>67</v>
      </c>
      <c r="J150" s="17">
        <v>0.05</v>
      </c>
      <c r="K150" s="18">
        <v>0.04</v>
      </c>
      <c r="L150" s="14" t="s">
        <v>62</v>
      </c>
      <c r="M150" s="23"/>
      <c r="N150" s="27"/>
      <c r="O150" s="25"/>
      <c r="Q150" s="2" t="str">
        <f t="shared" si="101"/>
        <v>OCTO_Men_Prose_Im_PEF</v>
      </c>
      <c r="S150" s="75">
        <f t="shared" si="102"/>
        <v>-0.26</v>
      </c>
      <c r="T150" s="2">
        <v>36</v>
      </c>
      <c r="U150" s="102">
        <f t="shared" si="103"/>
        <v>0.54245175247321797</v>
      </c>
      <c r="V150" s="76" t="str">
        <f t="shared" si="104"/>
        <v>p=0.62</v>
      </c>
      <c r="W150" s="74">
        <f t="shared" si="88"/>
        <v>-0.26610840687365411</v>
      </c>
      <c r="X150" s="74">
        <f t="shared" si="89"/>
        <v>0.60908153216787853</v>
      </c>
      <c r="Y150" s="74">
        <f t="shared" si="90"/>
        <v>0.92241071881542136</v>
      </c>
      <c r="Z150" s="74">
        <f t="shared" si="91"/>
        <v>-1.3293138417211614</v>
      </c>
      <c r="AA150" s="74">
        <f t="shared" si="92"/>
        <v>0.79709702797385318</v>
      </c>
      <c r="AB150" s="74">
        <f t="shared" si="93"/>
        <v>1.0632054348475073</v>
      </c>
      <c r="AC150" s="78">
        <f t="shared" si="94"/>
        <v>0.90434962279906972</v>
      </c>
      <c r="AD150" s="78"/>
      <c r="AE150" s="78">
        <f t="shared" si="95"/>
        <v>3.3984256018955721</v>
      </c>
      <c r="AF150" s="79" t="str">
        <f t="shared" si="96"/>
        <v>-0.26, (-0.87, 0.66)</v>
      </c>
      <c r="AG150" s="78">
        <f t="shared" si="97"/>
        <v>1.8434819233981037</v>
      </c>
      <c r="AH150" s="2">
        <f t="shared" si="98"/>
        <v>0.46666666666666673</v>
      </c>
      <c r="AI150" s="78">
        <f t="shared" si="99"/>
        <v>1.5632220703103863</v>
      </c>
      <c r="AJ150" s="85">
        <f t="shared" si="100"/>
        <v>3</v>
      </c>
    </row>
    <row r="151" spans="1:36" ht="14.1" customHeight="1" x14ac:dyDescent="0.25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2">
        <v>0.52</v>
      </c>
      <c r="H151" s="18">
        <v>0.32</v>
      </c>
      <c r="I151" s="20" t="s">
        <v>144</v>
      </c>
      <c r="J151" s="12">
        <v>0.27</v>
      </c>
      <c r="K151" s="13">
        <v>0.03</v>
      </c>
      <c r="L151" s="14" t="s">
        <v>27</v>
      </c>
      <c r="M151" s="19"/>
      <c r="N151" s="18"/>
      <c r="O151" s="14"/>
      <c r="Q151" s="2" t="str">
        <f t="shared" si="101"/>
        <v>OCTO_Women_Prose_Im_PEF</v>
      </c>
      <c r="S151" s="75">
        <f t="shared" si="102"/>
        <v>-0.06</v>
      </c>
      <c r="T151" s="74">
        <v>35</v>
      </c>
      <c r="U151" s="102">
        <f t="shared" si="103"/>
        <v>0.37044496151302869</v>
      </c>
      <c r="V151" s="76" t="str">
        <f t="shared" si="104"/>
        <v>p=0.87</v>
      </c>
      <c r="W151" s="74">
        <f t="shared" si="88"/>
        <v>-6.007215592103167E-2</v>
      </c>
      <c r="X151" s="74">
        <f t="shared" si="89"/>
        <v>0.59621923205727478</v>
      </c>
      <c r="Y151" s="74">
        <f t="shared" si="90"/>
        <v>0.64234251088820704</v>
      </c>
      <c r="Z151" s="74">
        <f t="shared" si="91"/>
        <v>-0.78614428048656793</v>
      </c>
      <c r="AA151" s="74">
        <f t="shared" si="92"/>
        <v>0.66599996864450461</v>
      </c>
      <c r="AB151" s="74">
        <f t="shared" si="93"/>
        <v>0.72607212456553627</v>
      </c>
      <c r="AC151" s="78">
        <f t="shared" si="94"/>
        <v>0.43774967676664928</v>
      </c>
      <c r="AD151" s="78"/>
      <c r="AE151" s="78">
        <f t="shared" si="95"/>
        <v>7.2870645318955525</v>
      </c>
      <c r="AF151" s="79" t="str">
        <f t="shared" si="96"/>
        <v>-0.06, (-0.66, 0.58)</v>
      </c>
      <c r="AG151" s="78">
        <f t="shared" si="97"/>
        <v>2.6994563400610039</v>
      </c>
      <c r="AH151" s="2">
        <f t="shared" si="98"/>
        <v>1.625</v>
      </c>
      <c r="AI151" s="78">
        <f t="shared" si="99"/>
        <v>1.1723168061518074</v>
      </c>
      <c r="AJ151" s="85">
        <f t="shared" si="100"/>
        <v>4</v>
      </c>
    </row>
    <row r="152" spans="1:36" ht="14.1" customHeight="1" x14ac:dyDescent="0.25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-0.26</v>
      </c>
      <c r="H152" s="15">
        <v>0.53</v>
      </c>
      <c r="I152" s="14" t="s">
        <v>176</v>
      </c>
      <c r="J152" s="17">
        <v>0.28000000000000003</v>
      </c>
      <c r="K152" s="18">
        <v>0.03</v>
      </c>
      <c r="L152" s="14" t="s">
        <v>27</v>
      </c>
      <c r="M152" s="12"/>
      <c r="N152" s="16"/>
      <c r="O152" s="14"/>
      <c r="Q152" s="2" t="str">
        <f t="shared" si="101"/>
        <v>ELSA_Men_Word_De_FEV1</v>
      </c>
      <c r="S152" s="75">
        <f t="shared" si="102"/>
        <v>-0.22</v>
      </c>
      <c r="T152" s="2">
        <v>34</v>
      </c>
      <c r="U152" s="102">
        <f t="shared" si="103"/>
        <v>0.39648128417506651</v>
      </c>
      <c r="V152" s="76" t="str">
        <f t="shared" si="104"/>
        <v>p=0.58</v>
      </c>
      <c r="W152" s="74">
        <f t="shared" si="88"/>
        <v>-0.22365610902183239</v>
      </c>
      <c r="X152" s="74">
        <f t="shared" si="89"/>
        <v>0.5419129109711821</v>
      </c>
      <c r="Y152" s="74">
        <f t="shared" si="90"/>
        <v>0.72309936267505337</v>
      </c>
      <c r="Z152" s="74">
        <f t="shared" si="91"/>
        <v>-1.0007594260049626</v>
      </c>
      <c r="AA152" s="74">
        <f t="shared" si="92"/>
        <v>0.55344720796129787</v>
      </c>
      <c r="AB152" s="74">
        <f t="shared" si="93"/>
        <v>0.77710331698313029</v>
      </c>
      <c r="AC152" s="78">
        <f t="shared" si="94"/>
        <v>1.4227722382312611</v>
      </c>
      <c r="AD152" s="78"/>
      <c r="AE152" s="78">
        <f t="shared" si="95"/>
        <v>6.3614280175659141</v>
      </c>
      <c r="AF152" s="79" t="str">
        <f t="shared" si="96"/>
        <v>-0.22, (-0.76, 0.5)</v>
      </c>
      <c r="AG152" s="78">
        <f t="shared" si="97"/>
        <v>2.5221871495917814</v>
      </c>
      <c r="AH152" s="2">
        <f t="shared" si="98"/>
        <v>-0.49056603773584906</v>
      </c>
      <c r="AI152" s="78">
        <f t="shared" si="99"/>
        <v>1.65844797847489</v>
      </c>
      <c r="AJ152" s="85">
        <f t="shared" si="100"/>
        <v>4</v>
      </c>
    </row>
    <row r="153" spans="1:36" ht="14.1" customHeight="1" x14ac:dyDescent="0.25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23">
        <v>-0.06</v>
      </c>
      <c r="H153" s="29">
        <v>0.37</v>
      </c>
      <c r="I153" s="31" t="s">
        <v>119</v>
      </c>
      <c r="J153" s="12">
        <v>0.1</v>
      </c>
      <c r="K153" s="13">
        <v>0.08</v>
      </c>
      <c r="L153" s="14" t="s">
        <v>62</v>
      </c>
      <c r="M153" s="30"/>
      <c r="N153" s="29"/>
      <c r="O153" s="25"/>
      <c r="Q153" s="2" t="str">
        <f t="shared" si="101"/>
        <v>ELSA_Women_Word_De_FEV1</v>
      </c>
      <c r="S153" s="75">
        <f t="shared" si="102"/>
        <v>-0.43</v>
      </c>
      <c r="T153" s="74">
        <v>33</v>
      </c>
      <c r="U153" s="102">
        <f t="shared" si="103"/>
        <v>1.1230035238914242</v>
      </c>
      <c r="V153" s="76" t="str">
        <f t="shared" si="104"/>
        <v>p=0.68</v>
      </c>
      <c r="W153" s="74">
        <f t="shared" si="88"/>
        <v>-0.45989668121267852</v>
      </c>
      <c r="X153" s="74">
        <f t="shared" si="89"/>
        <v>0.56028118177750419</v>
      </c>
      <c r="Y153" s="74">
        <f t="shared" si="90"/>
        <v>1.370364521092208</v>
      </c>
      <c r="Z153" s="74">
        <f t="shared" si="91"/>
        <v>-2.6609835880398696</v>
      </c>
      <c r="AA153" s="74">
        <f t="shared" si="92"/>
        <v>1.7411902256145126</v>
      </c>
      <c r="AB153" s="74">
        <f t="shared" si="93"/>
        <v>2.2010869068271912</v>
      </c>
      <c r="AC153" s="78">
        <f t="shared" si="94"/>
        <v>0.36466832099041896</v>
      </c>
      <c r="AD153" s="78"/>
      <c r="AE153" s="78">
        <f t="shared" si="95"/>
        <v>0.79293531762143477</v>
      </c>
      <c r="AF153" s="79" t="str">
        <f t="shared" si="96"/>
        <v>-0.43, (-0.99, 0.94)</v>
      </c>
      <c r="AG153" s="78">
        <f t="shared" si="97"/>
        <v>0.89046915590683706</v>
      </c>
      <c r="AH153" s="2">
        <f t="shared" si="98"/>
        <v>-0.16216216216216217</v>
      </c>
      <c r="AI153" s="78">
        <f t="shared" si="99"/>
        <v>1.4615376624063479</v>
      </c>
      <c r="AJ153" s="85">
        <f t="shared" si="100"/>
        <v>2</v>
      </c>
    </row>
    <row r="154" spans="1:36" ht="14.1" customHeight="1" x14ac:dyDescent="0.25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-0.22</v>
      </c>
      <c r="H154" s="15">
        <v>0.39</v>
      </c>
      <c r="I154" s="14" t="s">
        <v>179</v>
      </c>
      <c r="J154" s="17">
        <v>0.04</v>
      </c>
      <c r="K154" s="18">
        <v>0.05</v>
      </c>
      <c r="L154" s="14" t="s">
        <v>161</v>
      </c>
      <c r="M154" s="12"/>
      <c r="N154" s="16"/>
      <c r="O154" s="14"/>
      <c r="Q154" s="2" t="str">
        <f>CONCATENATE(B163,"_",E163,"_",D163,"_",C163)</f>
        <v>ELSA_Men_Word_Im_FEV1</v>
      </c>
      <c r="S154" s="75">
        <f>G163</f>
        <v>-0.11</v>
      </c>
      <c r="T154" s="2">
        <v>32</v>
      </c>
      <c r="U154" s="102">
        <f>W154/G163*H163</f>
        <v>0.18073131674743179</v>
      </c>
      <c r="V154" s="76" t="str">
        <f>I163</f>
        <v>p=0.53</v>
      </c>
      <c r="W154" s="74">
        <f t="shared" si="88"/>
        <v>-0.1104469157900972</v>
      </c>
      <c r="X154" s="74">
        <f t="shared" si="89"/>
        <v>0.3238910914360934</v>
      </c>
      <c r="Y154" s="74">
        <f t="shared" si="90"/>
        <v>0.34906902050626931</v>
      </c>
      <c r="Z154" s="74">
        <f t="shared" si="91"/>
        <v>-0.46468029661506349</v>
      </c>
      <c r="AA154" s="74">
        <f t="shared" si="92"/>
        <v>0.24378646503486912</v>
      </c>
      <c r="AB154" s="74">
        <f t="shared" si="93"/>
        <v>0.3542333808249663</v>
      </c>
      <c r="AC154" s="78">
        <f t="shared" si="94"/>
        <v>3.3813238464096731</v>
      </c>
      <c r="AD154" s="78"/>
      <c r="AE154" s="78">
        <f t="shared" si="95"/>
        <v>30.614923216469272</v>
      </c>
      <c r="AF154" s="79" t="str">
        <f t="shared" si="96"/>
        <v>-0.11, (-0.43, 0.24)</v>
      </c>
      <c r="AG154" s="78">
        <f t="shared" si="97"/>
        <v>5.5330753850340111</v>
      </c>
      <c r="AH154" s="2">
        <f t="shared" si="98"/>
        <v>-0.5641025641025641</v>
      </c>
      <c r="AI154" s="78">
        <f t="shared" si="99"/>
        <v>1.7207966330901219</v>
      </c>
      <c r="AJ154" s="85">
        <f t="shared" si="100"/>
        <v>7</v>
      </c>
    </row>
    <row r="155" spans="1:36" ht="14.1" customHeight="1" x14ac:dyDescent="0.25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2">
        <v>-0.43</v>
      </c>
      <c r="H155" s="18">
        <v>1.05</v>
      </c>
      <c r="I155" s="20" t="s">
        <v>124</v>
      </c>
      <c r="J155" s="12">
        <v>0.08</v>
      </c>
      <c r="K155" s="13">
        <v>0.05</v>
      </c>
      <c r="L155" s="14" t="s">
        <v>154</v>
      </c>
      <c r="M155" s="19"/>
      <c r="N155" s="18"/>
      <c r="O155" s="14"/>
      <c r="Q155" s="2" t="str">
        <f>CONCATENATE(B164,"_",E164,"_",D164,"_",C164)</f>
        <v>ELSA_Women_Word_Im_FEV1</v>
      </c>
      <c r="S155" s="75">
        <f>G164</f>
        <v>-0.16</v>
      </c>
      <c r="T155" s="74">
        <v>31</v>
      </c>
      <c r="U155" s="102">
        <f>W155/G164*H164</f>
        <v>0.43372674585347482</v>
      </c>
      <c r="V155" s="76" t="str">
        <f>I164</f>
        <v>p=0.71</v>
      </c>
      <c r="W155" s="74">
        <f t="shared" si="88"/>
        <v>-0.16138669613152551</v>
      </c>
      <c r="X155" s="74">
        <f t="shared" si="89"/>
        <v>0.60637805350515595</v>
      </c>
      <c r="Y155" s="74">
        <f t="shared" si="90"/>
        <v>0.75715761337141896</v>
      </c>
      <c r="Z155" s="74">
        <f t="shared" si="91"/>
        <v>-1.0114911180043362</v>
      </c>
      <c r="AA155" s="74">
        <f t="shared" si="92"/>
        <v>0.68871772574128509</v>
      </c>
      <c r="AB155" s="74">
        <f t="shared" si="93"/>
        <v>0.85010442187281066</v>
      </c>
      <c r="AC155" s="78">
        <f t="shared" si="94"/>
        <v>0.85789734392242778</v>
      </c>
      <c r="AD155" s="78"/>
      <c r="AE155" s="78">
        <f t="shared" si="95"/>
        <v>5.3157872642938688</v>
      </c>
      <c r="AF155" s="79" t="str">
        <f t="shared" si="96"/>
        <v>-0.16, (-0.77, 0.6)</v>
      </c>
      <c r="AG155" s="78">
        <f t="shared" si="97"/>
        <v>2.3055991117915249</v>
      </c>
      <c r="AH155" s="2">
        <f t="shared" si="98"/>
        <v>-0.40952380952380951</v>
      </c>
      <c r="AI155" s="78">
        <f t="shared" si="99"/>
        <v>1.4157272670549883</v>
      </c>
      <c r="AJ155" s="85">
        <f t="shared" si="100"/>
        <v>4</v>
      </c>
    </row>
    <row r="156" spans="1:36" ht="14.1" customHeight="1" x14ac:dyDescent="0.25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0.7</v>
      </c>
      <c r="H156" s="15">
        <v>0.54</v>
      </c>
      <c r="I156" s="14" t="s">
        <v>82</v>
      </c>
      <c r="J156" s="12">
        <v>7.0000000000000007E-2</v>
      </c>
      <c r="K156" s="13">
        <v>0.12</v>
      </c>
      <c r="L156" s="14" t="s">
        <v>71</v>
      </c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05">G136</f>
        <v>0.64</v>
      </c>
      <c r="T156" s="2">
        <v>30</v>
      </c>
      <c r="U156" s="102">
        <f>W156/G136*H136</f>
        <v>2.4759111349838316</v>
      </c>
      <c r="V156" s="76" t="str">
        <f t="shared" ref="V156:V159" si="106">I136</f>
        <v>p=0.76</v>
      </c>
      <c r="W156" s="74">
        <f t="shared" ref="W156:W171" si="107">0.5*LN((1+S156)/(1-S156))</f>
        <v>0.7581737446840443</v>
      </c>
      <c r="X156" s="74">
        <f t="shared" ref="X156:X171" si="108">S156-(EXP(2*Z156)-1)/(EXP(2*Z156)+1)</f>
        <v>1.6394448957199432</v>
      </c>
      <c r="Y156" s="74">
        <f t="shared" ref="Y156:Y171" si="109">(EXP(2*AA156)-1)/(EXP(2*AA156)+1)-S156</f>
        <v>0.35997324489697657</v>
      </c>
      <c r="Z156" s="74">
        <f t="shared" ref="Z156:Z171" si="110">W156-AB156</f>
        <v>-4.0946120798842651</v>
      </c>
      <c r="AA156" s="74">
        <f t="shared" ref="AA156:AA171" si="111">W156+AB156</f>
        <v>5.610959569252354</v>
      </c>
      <c r="AB156" s="74">
        <f t="shared" ref="AB156:AB171" si="112">1.96*U156</f>
        <v>4.8527858245683095</v>
      </c>
      <c r="AC156" s="78">
        <f t="shared" ref="AC156:AC171" si="113">IF(W156&lt;&gt;"",ABS(W156/U156^2),"")</f>
        <v>0.12367976029793155</v>
      </c>
      <c r="AD156" s="78"/>
      <c r="AE156" s="78">
        <f t="shared" ref="AE156:AE171" si="114">U156^-2</f>
        <v>0.1631285192412894</v>
      </c>
      <c r="AF156" s="79" t="str">
        <f t="shared" ref="AF156:AF171" si="115">CONCATENATE(ROUND(S156,2),", (",ROUND(-(X156-S156),2),", ",ROUND(Y156+S156,2),")")</f>
        <v>0.64, (-1, 1)</v>
      </c>
      <c r="AG156" s="78">
        <f t="shared" si="97"/>
        <v>0.40389171722293271</v>
      </c>
      <c r="AH156" s="2">
        <f t="shared" si="98"/>
        <v>1.2962962962962961</v>
      </c>
      <c r="AI156" s="78">
        <f t="shared" si="99"/>
        <v>0.71193980942500257</v>
      </c>
      <c r="AJ156" s="85">
        <f t="shared" si="100"/>
        <v>1</v>
      </c>
    </row>
    <row r="157" spans="1:36" ht="14.1" customHeight="1" x14ac:dyDescent="0.25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2">
        <v>0.69</v>
      </c>
      <c r="H157" s="18">
        <v>0.5</v>
      </c>
      <c r="I157" s="20" t="s">
        <v>68</v>
      </c>
      <c r="J157" s="17">
        <v>0.28999999999999998</v>
      </c>
      <c r="K157" s="18">
        <v>0.1</v>
      </c>
      <c r="L157" s="14" t="s">
        <v>45</v>
      </c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05"/>
        <v>-0.02</v>
      </c>
      <c r="T157" s="74">
        <v>29</v>
      </c>
      <c r="U157" s="102">
        <f>W157/G137*H137</f>
        <v>0.4700626817109661</v>
      </c>
      <c r="V157" s="76" t="str">
        <f t="shared" si="106"/>
        <v>p=0.97</v>
      </c>
      <c r="W157" s="74">
        <f t="shared" si="107"/>
        <v>-2.0002667306849624E-2</v>
      </c>
      <c r="X157" s="74">
        <f t="shared" si="108"/>
        <v>0.71583066904432191</v>
      </c>
      <c r="Y157" s="74">
        <f t="shared" si="109"/>
        <v>0.7369400853855429</v>
      </c>
      <c r="Z157" s="74">
        <f t="shared" si="110"/>
        <v>-0.94132552346034315</v>
      </c>
      <c r="AA157" s="74">
        <f t="shared" si="111"/>
        <v>0.90132018884664389</v>
      </c>
      <c r="AB157" s="74">
        <f t="shared" si="112"/>
        <v>0.92132285615349352</v>
      </c>
      <c r="AC157" s="78">
        <f t="shared" si="113"/>
        <v>9.0526632181209765E-2</v>
      </c>
      <c r="AD157" s="78"/>
      <c r="AE157" s="78">
        <f t="shared" si="114"/>
        <v>4.5257280337912853</v>
      </c>
      <c r="AF157" s="79" t="str">
        <f t="shared" si="115"/>
        <v>-0.02, (-0.74, 0.72)</v>
      </c>
      <c r="AG157" s="78">
        <f t="shared" si="97"/>
        <v>2.1273758562584293</v>
      </c>
      <c r="AH157" s="2">
        <f t="shared" si="98"/>
        <v>1.38</v>
      </c>
      <c r="AI157" s="78">
        <f t="shared" si="99"/>
        <v>1.0438929833257571</v>
      </c>
      <c r="AJ157" s="85">
        <f t="shared" si="100"/>
        <v>3</v>
      </c>
    </row>
    <row r="158" spans="1:36" ht="14.1" customHeight="1" x14ac:dyDescent="0.25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0.69</v>
      </c>
      <c r="H158" s="15">
        <v>1.04</v>
      </c>
      <c r="I158" s="14" t="s">
        <v>181</v>
      </c>
      <c r="J158" s="12">
        <v>0.06</v>
      </c>
      <c r="K158" s="13">
        <v>0.04</v>
      </c>
      <c r="L158" s="14" t="s">
        <v>105</v>
      </c>
      <c r="M158" s="12"/>
      <c r="N158" s="16"/>
      <c r="O158" s="14"/>
      <c r="Q158" s="2" t="str">
        <f>CONCATENATE(B138,"_",E138,"_",D138,"_",C138)</f>
        <v>MAP_Men_Bstory_Im_FEV1</v>
      </c>
      <c r="S158" s="75">
        <f t="shared" si="105"/>
        <v>0.8</v>
      </c>
      <c r="T158" s="2">
        <v>28</v>
      </c>
      <c r="U158" s="102">
        <f>W158/G138*H138</f>
        <v>1.5380572041353537</v>
      </c>
      <c r="V158" s="76" t="str">
        <f t="shared" si="106"/>
        <v>p=0.47</v>
      </c>
      <c r="W158" s="74">
        <f t="shared" si="107"/>
        <v>1.0986122886681098</v>
      </c>
      <c r="X158" s="74">
        <f t="shared" si="108"/>
        <v>1.7575847877091719</v>
      </c>
      <c r="Y158" s="74">
        <f t="shared" si="109"/>
        <v>0.19946515260590891</v>
      </c>
      <c r="Z158" s="74">
        <f t="shared" si="110"/>
        <v>-1.9159798314371834</v>
      </c>
      <c r="AA158" s="74">
        <f t="shared" si="111"/>
        <v>4.1132044087734032</v>
      </c>
      <c r="AB158" s="74">
        <f t="shared" si="112"/>
        <v>3.0145921201052932</v>
      </c>
      <c r="AC158" s="78">
        <f t="shared" si="113"/>
        <v>0.46440776868716183</v>
      </c>
      <c r="AD158" s="78"/>
      <c r="AE158" s="78">
        <f t="shared" si="114"/>
        <v>0.42272216820929737</v>
      </c>
      <c r="AF158" s="79" t="str">
        <f t="shared" si="115"/>
        <v>0.8, (-0.96, 1)</v>
      </c>
      <c r="AG158" s="78">
        <f t="shared" si="97"/>
        <v>0.65017087616202662</v>
      </c>
      <c r="AH158" s="2">
        <f t="shared" si="98"/>
        <v>0.66346153846153844</v>
      </c>
      <c r="AI158" s="78">
        <f t="shared" si="99"/>
        <v>0.40394733486897461</v>
      </c>
      <c r="AJ158" s="85">
        <f t="shared" si="100"/>
        <v>2</v>
      </c>
    </row>
    <row r="159" spans="1:36" ht="14.1" customHeight="1" x14ac:dyDescent="0.25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2">
        <v>-0.57999999999999996</v>
      </c>
      <c r="H159" s="18">
        <v>0.84</v>
      </c>
      <c r="I159" s="20" t="s">
        <v>33</v>
      </c>
      <c r="J159" s="17">
        <v>7.0000000000000007E-2</v>
      </c>
      <c r="K159" s="18">
        <v>0.04</v>
      </c>
      <c r="L159" s="14" t="s">
        <v>34</v>
      </c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05"/>
        <v>0.11</v>
      </c>
      <c r="T159" s="74">
        <v>27</v>
      </c>
      <c r="U159" s="102">
        <f>W159/G139*H139</f>
        <v>0.60243772249143934</v>
      </c>
      <c r="V159" s="76" t="str">
        <f t="shared" si="106"/>
        <v>p=0.85</v>
      </c>
      <c r="W159" s="74">
        <f t="shared" si="107"/>
        <v>0.11044691579009722</v>
      </c>
      <c r="X159" s="74">
        <f t="shared" si="108"/>
        <v>0.8995859005882223</v>
      </c>
      <c r="Y159" s="74">
        <f t="shared" si="109"/>
        <v>0.74944699149501548</v>
      </c>
      <c r="Z159" s="74">
        <f t="shared" si="110"/>
        <v>-1.070331020293124</v>
      </c>
      <c r="AA159" s="74">
        <f t="shared" si="111"/>
        <v>1.2912248518733183</v>
      </c>
      <c r="AB159" s="74">
        <f t="shared" si="112"/>
        <v>1.1807779360832211</v>
      </c>
      <c r="AC159" s="78">
        <f t="shared" si="113"/>
        <v>0.30431914617687061</v>
      </c>
      <c r="AD159" s="78"/>
      <c r="AE159" s="78">
        <f t="shared" si="114"/>
        <v>2.7553430894822339</v>
      </c>
      <c r="AF159" s="79" t="str">
        <f t="shared" si="115"/>
        <v>0.11, (-0.79, 0.86)</v>
      </c>
      <c r="AG159" s="78">
        <f t="shared" si="97"/>
        <v>1.6599226155102031</v>
      </c>
      <c r="AH159" s="2">
        <f t="shared" si="98"/>
        <v>-0.69047619047619047</v>
      </c>
      <c r="AI159" s="78">
        <f t="shared" si="99"/>
        <v>0.8216744180665464</v>
      </c>
      <c r="AJ159" s="85">
        <f t="shared" si="100"/>
        <v>3</v>
      </c>
    </row>
    <row r="160" spans="1:36" ht="14.1" customHeight="1" x14ac:dyDescent="0.25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-0.03</v>
      </c>
      <c r="H160" s="15">
        <v>0.12</v>
      </c>
      <c r="I160" s="14" t="s">
        <v>55</v>
      </c>
      <c r="J160" s="12">
        <v>0.26</v>
      </c>
      <c r="K160" s="13">
        <v>0.03</v>
      </c>
      <c r="L160" s="14" t="s">
        <v>27</v>
      </c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0.05</v>
      </c>
      <c r="T160" s="2">
        <v>26</v>
      </c>
      <c r="U160" s="102">
        <f>W160/G142*H142</f>
        <v>0.44036721765072351</v>
      </c>
      <c r="V160" s="76" t="str">
        <f>I142</f>
        <v>p=0.9</v>
      </c>
      <c r="W160" s="74">
        <f t="shared" si="107"/>
        <v>5.0041729278491313E-2</v>
      </c>
      <c r="X160" s="74">
        <f t="shared" si="108"/>
        <v>0.721284746730396</v>
      </c>
      <c r="Y160" s="74">
        <f t="shared" si="109"/>
        <v>0.67264620557478949</v>
      </c>
      <c r="Z160" s="74">
        <f t="shared" si="110"/>
        <v>-0.81307801731692675</v>
      </c>
      <c r="AA160" s="74">
        <f t="shared" si="111"/>
        <v>0.91316147587390928</v>
      </c>
      <c r="AB160" s="74">
        <f t="shared" si="112"/>
        <v>0.86311974659541801</v>
      </c>
      <c r="AC160" s="78">
        <f t="shared" si="113"/>
        <v>0.25804909875578919</v>
      </c>
      <c r="AD160" s="78"/>
      <c r="AE160" s="78">
        <f t="shared" si="114"/>
        <v>5.1566782858301927</v>
      </c>
      <c r="AF160" s="79" t="str">
        <f t="shared" si="115"/>
        <v>0.05, (-0.67, 0.72)</v>
      </c>
      <c r="AG160" s="78">
        <f t="shared" si="97"/>
        <v>2.2708320690509445</v>
      </c>
      <c r="AH160" s="2">
        <f t="shared" si="98"/>
        <v>-0.25</v>
      </c>
      <c r="AI160" s="78">
        <f t="shared" si="99"/>
        <v>0.88740594483703417</v>
      </c>
      <c r="AJ160" s="85">
        <f t="shared" si="100"/>
        <v>4</v>
      </c>
    </row>
    <row r="161" spans="1:42" ht="14.1" customHeight="1" x14ac:dyDescent="0.25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0.38</v>
      </c>
      <c r="H161" s="15">
        <v>0.42</v>
      </c>
      <c r="I161" s="14" t="s">
        <v>87</v>
      </c>
      <c r="J161" s="17">
        <v>0.31</v>
      </c>
      <c r="K161" s="18">
        <v>0.03</v>
      </c>
      <c r="L161" s="14" t="s">
        <v>27</v>
      </c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-0.6</v>
      </c>
      <c r="T161" s="74">
        <v>25</v>
      </c>
      <c r="U161" s="102">
        <f>W161/G143*H143</f>
        <v>0.9126437877372614</v>
      </c>
      <c r="V161" s="76" t="str">
        <f>I143</f>
        <v>p=0.44</v>
      </c>
      <c r="W161" s="74">
        <f t="shared" si="107"/>
        <v>-0.69314718055994529</v>
      </c>
      <c r="X161" s="74">
        <f t="shared" si="108"/>
        <v>0.38612508109419263</v>
      </c>
      <c r="Y161" s="74">
        <f t="shared" si="109"/>
        <v>1.3989254912763256</v>
      </c>
      <c r="Z161" s="74">
        <f t="shared" si="110"/>
        <v>-2.4819290045249778</v>
      </c>
      <c r="AA161" s="74">
        <f t="shared" si="111"/>
        <v>1.095634643405087</v>
      </c>
      <c r="AB161" s="74">
        <f t="shared" si="112"/>
        <v>1.7887818239650324</v>
      </c>
      <c r="AC161" s="78">
        <f t="shared" si="113"/>
        <v>0.83219069815738944</v>
      </c>
      <c r="AD161" s="78"/>
      <c r="AE161" s="78">
        <f t="shared" si="114"/>
        <v>1.20059739330559</v>
      </c>
      <c r="AF161" s="79" t="str">
        <f t="shared" si="115"/>
        <v>-0.6, (-0.99, 0.8)</v>
      </c>
      <c r="AG161" s="78">
        <f t="shared" si="97"/>
        <v>1.0957177525738961</v>
      </c>
      <c r="AH161" s="2">
        <f t="shared" si="98"/>
        <v>0.90476190476190477</v>
      </c>
      <c r="AI161" s="78">
        <f t="shared" si="99"/>
        <v>1.9251472891476018</v>
      </c>
      <c r="AJ161" s="85">
        <f t="shared" si="100"/>
        <v>2</v>
      </c>
    </row>
    <row r="162" spans="1:42" ht="14.1" customHeight="1" x14ac:dyDescent="0.25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2">
        <v>0.64</v>
      </c>
      <c r="H162" s="18">
        <v>0.53</v>
      </c>
      <c r="I162" s="20" t="s">
        <v>83</v>
      </c>
      <c r="J162" s="12">
        <v>0.1</v>
      </c>
      <c r="K162" s="13">
        <v>0.05</v>
      </c>
      <c r="L162" s="14" t="s">
        <v>65</v>
      </c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0.12</v>
      </c>
      <c r="T162" s="2">
        <v>24</v>
      </c>
      <c r="U162" s="102">
        <f>W162/G144*H144</f>
        <v>1.0550839985738862</v>
      </c>
      <c r="V162" s="76" t="str">
        <f>I144</f>
        <v>p=0.91</v>
      </c>
      <c r="W162" s="74">
        <f t="shared" si="107"/>
        <v>0.12058102840844412</v>
      </c>
      <c r="X162" s="74">
        <f t="shared" si="108"/>
        <v>1.0801153559867105</v>
      </c>
      <c r="Y162" s="74">
        <f t="shared" si="109"/>
        <v>0.85518799695312586</v>
      </c>
      <c r="Z162" s="74">
        <f t="shared" si="110"/>
        <v>-1.9473836087963727</v>
      </c>
      <c r="AA162" s="74">
        <f t="shared" si="111"/>
        <v>2.1885456656132609</v>
      </c>
      <c r="AB162" s="74">
        <f t="shared" si="112"/>
        <v>2.0679646372048168</v>
      </c>
      <c r="AC162" s="78">
        <f t="shared" si="113"/>
        <v>0.10831906695598603</v>
      </c>
      <c r="AD162" s="78"/>
      <c r="AE162" s="78">
        <f t="shared" si="114"/>
        <v>0.89830936413211582</v>
      </c>
      <c r="AF162" s="79" t="str">
        <f t="shared" si="115"/>
        <v>0.12, (-0.96, 0.98)</v>
      </c>
      <c r="AG162" s="78">
        <f t="shared" si="97"/>
        <v>0.94779183586487814</v>
      </c>
      <c r="AH162" s="2">
        <f t="shared" si="98"/>
        <v>1.2075471698113207</v>
      </c>
      <c r="AI162" s="78">
        <f t="shared" si="99"/>
        <v>0.88678186809917625</v>
      </c>
      <c r="AJ162" s="85">
        <f t="shared" si="100"/>
        <v>2</v>
      </c>
    </row>
    <row r="163" spans="1:42" ht="14.1" customHeight="1" x14ac:dyDescent="0.25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-0.11</v>
      </c>
      <c r="H163" s="15">
        <v>0.18</v>
      </c>
      <c r="I163" s="14" t="s">
        <v>143</v>
      </c>
      <c r="J163" s="17">
        <v>0.16</v>
      </c>
      <c r="K163" s="18">
        <v>0.05</v>
      </c>
      <c r="L163" s="14" t="s">
        <v>45</v>
      </c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-0.11</v>
      </c>
      <c r="T163" s="74">
        <v>23</v>
      </c>
      <c r="U163" s="102">
        <f>W163/G145*H145</f>
        <v>0.47190954928496076</v>
      </c>
      <c r="V163" s="76" t="str">
        <f>I145</f>
        <v>p=0.81</v>
      </c>
      <c r="W163" s="74">
        <f t="shared" si="107"/>
        <v>-0.1104469157900972</v>
      </c>
      <c r="X163" s="74">
        <f t="shared" si="108"/>
        <v>0.66606093801554245</v>
      </c>
      <c r="Y163" s="74">
        <f t="shared" si="109"/>
        <v>0.78206290295116121</v>
      </c>
      <c r="Z163" s="74">
        <f t="shared" si="110"/>
        <v>-1.0353896323886203</v>
      </c>
      <c r="AA163" s="74">
        <f t="shared" si="111"/>
        <v>0.81449580080842587</v>
      </c>
      <c r="AB163" s="74">
        <f t="shared" si="112"/>
        <v>0.92494271659852312</v>
      </c>
      <c r="AC163" s="78">
        <f t="shared" si="113"/>
        <v>0.49594790685230161</v>
      </c>
      <c r="AD163" s="78"/>
      <c r="AE163" s="78">
        <f t="shared" si="114"/>
        <v>4.4903735274495453</v>
      </c>
      <c r="AF163" s="79" t="str">
        <f t="shared" si="115"/>
        <v>-0.11, (-0.78, 0.67)</v>
      </c>
      <c r="AG163" s="78">
        <f t="shared" si="97"/>
        <v>2.1190501474598342</v>
      </c>
      <c r="AH163" s="2">
        <f t="shared" si="98"/>
        <v>-0.61111111111111116</v>
      </c>
      <c r="AI163" s="78">
        <f t="shared" si="99"/>
        <v>1.2530775523779232</v>
      </c>
      <c r="AJ163" s="85">
        <f t="shared" si="100"/>
        <v>3</v>
      </c>
    </row>
    <row r="164" spans="1:42" ht="14.1" customHeight="1" x14ac:dyDescent="0.25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2">
        <v>-0.16</v>
      </c>
      <c r="H164" s="18">
        <v>0.43</v>
      </c>
      <c r="I164" s="20" t="s">
        <v>36</v>
      </c>
      <c r="J164" s="12">
        <v>0.05</v>
      </c>
      <c r="K164" s="13">
        <v>0.08</v>
      </c>
      <c r="L164" s="14" t="s">
        <v>93</v>
      </c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0.69</v>
      </c>
      <c r="T164" s="2">
        <v>22</v>
      </c>
      <c r="U164" s="102">
        <f>W164/G158*H158</f>
        <v>1.2780782397503219</v>
      </c>
      <c r="V164" s="76" t="str">
        <f>I158</f>
        <v>p=0.5</v>
      </c>
      <c r="W164" s="74">
        <f>0.5*LN((1+S164)/(1-S164))</f>
        <v>0.84795575521896349</v>
      </c>
      <c r="X164" s="74">
        <f>S164-(EXP(2*Z164)-1)/(EXP(2*Z164)+1)</f>
        <v>1.6198224747735466</v>
      </c>
      <c r="Y164" s="74">
        <f>(EXP(2*AA164)-1)/(EXP(2*AA164)+1)-S164</f>
        <v>0.30755584020427928</v>
      </c>
      <c r="Z164" s="74">
        <f>W164-AB164</f>
        <v>-1.6570775946916672</v>
      </c>
      <c r="AA164" s="74">
        <f>W164+AB164</f>
        <v>3.3529891051295944</v>
      </c>
      <c r="AB164" s="74">
        <f>1.96*U164</f>
        <v>2.5050333499106308</v>
      </c>
      <c r="AC164" s="78">
        <f>IF(W164&lt;&gt;"",ABS(W164/U164^2),"")</f>
        <v>0.51910870385458452</v>
      </c>
      <c r="AD164" s="78"/>
      <c r="AE164" s="78">
        <f>U164^-2</f>
        <v>0.61218843160105396</v>
      </c>
      <c r="AF164" s="79" t="str">
        <f>CONCATENATE(ROUND(S164,2),", (",ROUND(-(X164-S164),2),", ",ROUND(Y164+S164,2),")")</f>
        <v>0.69, (-0.93, 1)</v>
      </c>
      <c r="AG164" s="78">
        <f t="shared" si="97"/>
        <v>0.78242471305618533</v>
      </c>
      <c r="AH164" s="2">
        <f t="shared" si="98"/>
        <v>-0.37209302325581395</v>
      </c>
      <c r="AI164" s="78">
        <f t="shared" si="99"/>
        <v>0.43758121153907759</v>
      </c>
      <c r="AJ164" s="85">
        <f t="shared" si="100"/>
        <v>2</v>
      </c>
    </row>
    <row r="165" spans="1:42" ht="14.1" customHeight="1" x14ac:dyDescent="0.25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0.37</v>
      </c>
      <c r="H165" s="15">
        <v>0.59</v>
      </c>
      <c r="I165" s="14" t="s">
        <v>143</v>
      </c>
      <c r="J165" s="17">
        <v>0.11</v>
      </c>
      <c r="K165" s="18">
        <v>0.04</v>
      </c>
      <c r="L165" s="14" t="s">
        <v>66</v>
      </c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-0.57999999999999996</v>
      </c>
      <c r="T165" s="74">
        <v>21</v>
      </c>
      <c r="U165" s="102">
        <f>W165/G159*H159</f>
        <v>0.95942874860743332</v>
      </c>
      <c r="V165" s="76" t="str">
        <f>I159</f>
        <v>p=0.49</v>
      </c>
      <c r="W165" s="74">
        <f>0.5*LN((1+S165)/(1-S165))</f>
        <v>-0.66246270737179924</v>
      </c>
      <c r="X165" s="74">
        <f>S165-(EXP(2*Z165)-1)/(EXP(2*Z165)+1)</f>
        <v>0.40770918809579149</v>
      </c>
      <c r="Y165" s="74">
        <f>(EXP(2*AA165)-1)/(EXP(2*AA165)+1)-S165</f>
        <v>1.4190684431737073</v>
      </c>
      <c r="Z165" s="74">
        <f>W165-AB165</f>
        <v>-2.5429430546423686</v>
      </c>
      <c r="AA165" s="74">
        <f>W165+AB165</f>
        <v>1.2180176398987701</v>
      </c>
      <c r="AB165" s="74">
        <f>1.96*U165</f>
        <v>1.8804803472705693</v>
      </c>
      <c r="AC165" s="78">
        <f>IF(W165&lt;&gt;"",ABS(W165/U165^2),"")</f>
        <v>0.71967427646751769</v>
      </c>
      <c r="AD165" s="78"/>
      <c r="AE165" s="78">
        <f>U165^-2</f>
        <v>1.0863619468070815</v>
      </c>
      <c r="AF165" s="79" t="str">
        <f>CONCATENATE(ROUND(S165,2),", (",ROUND(-(X165-S165),2),", ",ROUND(Y165+S165,2),")")</f>
        <v>-0.58, (-0.99, 0.84)</v>
      </c>
      <c r="AG165" s="78">
        <f t="shared" si="97"/>
        <v>1.0422868831598531</v>
      </c>
      <c r="AH165" s="2">
        <f t="shared" si="98"/>
        <v>0.6271186440677966</v>
      </c>
      <c r="AI165" s="78">
        <f t="shared" si="99"/>
        <v>1.8286713963664045</v>
      </c>
      <c r="AJ165" s="85">
        <f t="shared" si="100"/>
        <v>2</v>
      </c>
    </row>
    <row r="166" spans="1:42" ht="14.1" customHeight="1" x14ac:dyDescent="0.25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2">
        <v>0.44</v>
      </c>
      <c r="H166" s="18">
        <v>0.55000000000000004</v>
      </c>
      <c r="I166" s="20" t="s">
        <v>116</v>
      </c>
      <c r="J166" s="23">
        <v>0.11</v>
      </c>
      <c r="K166" s="24">
        <v>0.05</v>
      </c>
      <c r="L166" s="25" t="s">
        <v>19</v>
      </c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0.54</v>
      </c>
      <c r="T166" s="2">
        <v>20</v>
      </c>
      <c r="U166" s="102">
        <f>W166/G169*H169</f>
        <v>1.085242471987776</v>
      </c>
      <c r="V166" s="76" t="str">
        <f>I169</f>
        <v>p=0.58</v>
      </c>
      <c r="W166" s="74">
        <f t="shared" si="107"/>
        <v>0.60415560296226711</v>
      </c>
      <c r="X166" s="74">
        <f t="shared" si="108"/>
        <v>1.4492051125235923</v>
      </c>
      <c r="Y166" s="74">
        <f t="shared" si="109"/>
        <v>0.4515496602951341</v>
      </c>
      <c r="Z166" s="74">
        <f t="shared" si="110"/>
        <v>-1.5229196421337736</v>
      </c>
      <c r="AA166" s="74">
        <f t="shared" si="111"/>
        <v>2.7312308480583081</v>
      </c>
      <c r="AB166" s="74">
        <f t="shared" si="112"/>
        <v>2.1270752450960408</v>
      </c>
      <c r="AC166" s="78">
        <f t="shared" si="113"/>
        <v>0.51297387016945428</v>
      </c>
      <c r="AD166" s="78"/>
      <c r="AE166" s="78">
        <f t="shared" si="114"/>
        <v>0.84907574746350967</v>
      </c>
      <c r="AF166" s="79" t="str">
        <f t="shared" si="115"/>
        <v>0.54, (-0.91, 0.99)</v>
      </c>
      <c r="AG166" s="78">
        <f t="shared" si="97"/>
        <v>0.9214530630821679</v>
      </c>
      <c r="AH166" s="2">
        <f t="shared" si="98"/>
        <v>0.79999999999999993</v>
      </c>
      <c r="AI166" s="78">
        <f t="shared" si="99"/>
        <v>0.51261141102639529</v>
      </c>
      <c r="AJ166" s="85">
        <f t="shared" si="100"/>
        <v>2</v>
      </c>
    </row>
    <row r="167" spans="1:42" ht="14.1" customHeight="1" x14ac:dyDescent="0.25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0.11</v>
      </c>
      <c r="H167" s="15">
        <v>0.44</v>
      </c>
      <c r="I167" s="14" t="s">
        <v>76</v>
      </c>
      <c r="J167" s="12">
        <v>0.01</v>
      </c>
      <c r="K167" s="13">
        <v>0.08</v>
      </c>
      <c r="L167" s="14" t="s">
        <v>152</v>
      </c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-0.55000000000000004</v>
      </c>
      <c r="T167" s="74">
        <v>19</v>
      </c>
      <c r="U167" s="102">
        <f>W167/G170*H170</f>
        <v>0.48346175424912591</v>
      </c>
      <c r="V167" s="76" t="str">
        <f>I170</f>
        <v>p=0.19</v>
      </c>
      <c r="W167" s="74">
        <f t="shared" si="107"/>
        <v>-0.61838131357446346</v>
      </c>
      <c r="X167" s="74">
        <f t="shared" si="108"/>
        <v>0.36638177560768459</v>
      </c>
      <c r="Y167" s="74">
        <f t="shared" si="109"/>
        <v>0.86780510678383771</v>
      </c>
      <c r="Z167" s="74">
        <f t="shared" si="110"/>
        <v>-1.5659663519027502</v>
      </c>
      <c r="AA167" s="74">
        <f t="shared" si="111"/>
        <v>0.32920372475382331</v>
      </c>
      <c r="AB167" s="74">
        <f t="shared" si="112"/>
        <v>0.94758503832828678</v>
      </c>
      <c r="AC167" s="78">
        <f t="shared" si="113"/>
        <v>2.6456482983403915</v>
      </c>
      <c r="AD167" s="78"/>
      <c r="AE167" s="78">
        <f t="shared" si="114"/>
        <v>4.278344510521519</v>
      </c>
      <c r="AF167" s="79" t="str">
        <f t="shared" si="115"/>
        <v>-0.55, (-0.92, 0.32)</v>
      </c>
      <c r="AG167" s="78">
        <f t="shared" si="97"/>
        <v>2.0684159423388513</v>
      </c>
      <c r="AH167" s="2">
        <f t="shared" si="98"/>
        <v>0.25</v>
      </c>
      <c r="AI167" s="78">
        <f t="shared" si="99"/>
        <v>2.7310425235203741</v>
      </c>
      <c r="AJ167" s="85">
        <f t="shared" si="100"/>
        <v>3</v>
      </c>
    </row>
    <row r="168" spans="1:42" ht="14.1" customHeight="1" x14ac:dyDescent="0.25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2">
        <v>0.1</v>
      </c>
      <c r="H168" s="18">
        <v>0.56999999999999995</v>
      </c>
      <c r="I168" s="20" t="s">
        <v>57</v>
      </c>
      <c r="J168" s="36">
        <v>0.02</v>
      </c>
      <c r="K168" s="37">
        <v>0.04</v>
      </c>
      <c r="L168" s="38" t="s">
        <v>124</v>
      </c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-0.57999999999999996</v>
      </c>
      <c r="T168" s="2">
        <v>18</v>
      </c>
      <c r="U168" s="102">
        <f>W168/G172*H172</f>
        <v>0.49113614512047182</v>
      </c>
      <c r="V168" s="76" t="str">
        <f>I172</f>
        <v>p=0.18</v>
      </c>
      <c r="W168" s="74">
        <f>0.5*LN((1+S168)/(1-S168))</f>
        <v>-0.66246270737179924</v>
      </c>
      <c r="X168" s="74">
        <f>S168-(EXP(2*Z168)-1)/(EXP(2*Z168)+1)</f>
        <v>0.34535909591726022</v>
      </c>
      <c r="Y168" s="74">
        <f>(EXP(2*AA168)-1)/(EXP(2*AA168)+1)-S168</f>
        <v>0.87146281316273533</v>
      </c>
      <c r="Z168" s="74">
        <f>W168-AB168</f>
        <v>-1.625089551807924</v>
      </c>
      <c r="AA168" s="74">
        <f>W168+AB168</f>
        <v>0.30016413706432554</v>
      </c>
      <c r="AB168" s="74">
        <f>1.96*U168</f>
        <v>0.96262684443612478</v>
      </c>
      <c r="AC168" s="78">
        <f>IF(W168&lt;&gt;"",ABS(W168/U168^2),"")</f>
        <v>2.7463611112789641</v>
      </c>
      <c r="AD168" s="78"/>
      <c r="AE168" s="78">
        <f>U168^-2</f>
        <v>4.1456840977126914</v>
      </c>
      <c r="AF168" s="79" t="str">
        <f>CONCATENATE(ROUND(S168,2),", (",ROUND(-(X168-S168),2),", ",ROUND(Y168+S168,2),")")</f>
        <v>-0.58, (-0.93, 0.29)</v>
      </c>
      <c r="AG168" s="78">
        <f t="shared" si="97"/>
        <v>2.0360953066378524</v>
      </c>
      <c r="AH168" s="2">
        <f t="shared" si="98"/>
        <v>0.17543859649122809</v>
      </c>
      <c r="AI168" s="78">
        <f t="shared" si="99"/>
        <v>2.8499593080132244</v>
      </c>
      <c r="AJ168" s="85">
        <f t="shared" si="100"/>
        <v>3</v>
      </c>
    </row>
    <row r="169" spans="1:42" ht="14.1" customHeight="1" x14ac:dyDescent="0.25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0.54</v>
      </c>
      <c r="H169" s="15">
        <v>0.97</v>
      </c>
      <c r="I169" s="14" t="s">
        <v>179</v>
      </c>
      <c r="J169" s="28"/>
      <c r="K169" s="29"/>
      <c r="L169" s="25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0.08</v>
      </c>
      <c r="T169" s="74">
        <v>17</v>
      </c>
      <c r="U169" s="102">
        <f>W169/G173*H173</f>
        <v>1.1424413817856538</v>
      </c>
      <c r="V169" s="76" t="str">
        <f>I173</f>
        <v>p=0.95</v>
      </c>
      <c r="W169" s="74">
        <f>0.5*LN((1+S169)/(1-S169))</f>
        <v>8.0171325037589738E-2</v>
      </c>
      <c r="X169" s="74">
        <f>S169-(EXP(2*Z169)-1)/(EXP(2*Z169)+1)</f>
        <v>1.0536982161877608</v>
      </c>
      <c r="Y169" s="74">
        <f>(EXP(2*AA169)-1)/(EXP(2*AA169)+1)-S169</f>
        <v>0.90084495910682683</v>
      </c>
      <c r="Z169" s="74">
        <f>W169-AB169</f>
        <v>-2.1590137832622918</v>
      </c>
      <c r="AA169" s="74">
        <f>W169+AB169</f>
        <v>2.3193564333374712</v>
      </c>
      <c r="AB169" s="74">
        <f>1.96*U169</f>
        <v>2.2391851082998815</v>
      </c>
      <c r="AC169" s="78">
        <f>IF(W169&lt;&gt;"",ABS(W169/U169^2),"")</f>
        <v>6.1425854941288903E-2</v>
      </c>
      <c r="AD169" s="78"/>
      <c r="AE169" s="78">
        <f>U169^-2</f>
        <v>0.76618235899791243</v>
      </c>
      <c r="AF169" s="79" t="str">
        <f>CONCATENATE(ROUND(S169,2),", (",ROUND(-(X169-S169),2),", ",ROUND(Y169+S169,2),")")</f>
        <v>0.08, (-0.97, 0.98)</v>
      </c>
      <c r="AG169" s="78">
        <f t="shared" si="97"/>
        <v>0.87531843291336686</v>
      </c>
      <c r="AH169" s="2">
        <f t="shared" si="98"/>
        <v>0.55670103092783507</v>
      </c>
      <c r="AI169" s="78">
        <f t="shared" si="99"/>
        <v>0.9296743213463049</v>
      </c>
      <c r="AJ169" s="85">
        <f t="shared" si="100"/>
        <v>2</v>
      </c>
    </row>
    <row r="170" spans="1:42" ht="14.1" customHeight="1" x14ac:dyDescent="0.25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2">
        <v>-0.55000000000000004</v>
      </c>
      <c r="H170" s="18">
        <v>0.43</v>
      </c>
      <c r="I170" s="20" t="s">
        <v>82</v>
      </c>
      <c r="J170" s="28"/>
      <c r="K170" s="29"/>
      <c r="L170" s="25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-0.03</v>
      </c>
      <c r="T170" s="2">
        <v>16</v>
      </c>
      <c r="U170" s="102">
        <f>W170/G160*H160</f>
        <v>0.12003601945250608</v>
      </c>
      <c r="V170" s="76" t="str">
        <f>I160</f>
        <v>p=0.77</v>
      </c>
      <c r="W170" s="74">
        <f>0.5*LN((1+S170)/(1-S170))</f>
        <v>-3.000900486312652E-2</v>
      </c>
      <c r="X170" s="74">
        <f>S170-(EXP(2*Z170)-1)/(EXP(2*Z170)+1)</f>
        <v>0.22922705687515046</v>
      </c>
      <c r="Y170" s="74">
        <f>(EXP(2*AA170)-1)/(EXP(2*AA170)+1)-S170</f>
        <v>0.23242664505158156</v>
      </c>
      <c r="Z170" s="74">
        <f>W170-AB170</f>
        <v>-0.26527960299003844</v>
      </c>
      <c r="AA170" s="74">
        <f>W170+AB170</f>
        <v>0.2052615932637854</v>
      </c>
      <c r="AB170" s="74">
        <f>1.96*U170</f>
        <v>0.23527059812691192</v>
      </c>
      <c r="AC170" s="78">
        <f>IF(W170&lt;&gt;"",ABS(W170/U170^2),"")</f>
        <v>2.0827081832625747</v>
      </c>
      <c r="AD170" s="78"/>
      <c r="AE170" s="78">
        <f>U170^-2</f>
        <v>69.402774026062303</v>
      </c>
      <c r="AF170" s="79" t="str">
        <f>CONCATENATE(ROUND(S170,2),", (",ROUND(-(X170-S170),2),", ",ROUND(Y170+S170,2),")")</f>
        <v>-0.03, (-0.26, 0.2)</v>
      </c>
      <c r="AG170" s="78">
        <f t="shared" si="97"/>
        <v>8.3308327330502987</v>
      </c>
      <c r="AH170" s="2">
        <f t="shared" si="98"/>
        <v>-1.2790697674418605</v>
      </c>
      <c r="AI170" s="78">
        <f t="shared" si="99"/>
        <v>1.2713713036234904</v>
      </c>
      <c r="AJ170" s="85">
        <f t="shared" si="100"/>
        <v>11</v>
      </c>
    </row>
    <row r="171" spans="1:42" ht="14.1" customHeight="1" x14ac:dyDescent="0.25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0.15</v>
      </c>
      <c r="H171" s="26">
        <v>0.18</v>
      </c>
      <c r="I171" s="25" t="s">
        <v>61</v>
      </c>
      <c r="J171" s="28"/>
      <c r="K171" s="29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0.15</v>
      </c>
      <c r="T171" s="74">
        <v>15</v>
      </c>
      <c r="U171" s="102">
        <f>W171/G171*H171</f>
        <v>0.18136852312376012</v>
      </c>
      <c r="V171" s="76" t="str">
        <f>I171</f>
        <v>p=0.39</v>
      </c>
      <c r="W171" s="74">
        <f t="shared" si="107"/>
        <v>0.15114043593646675</v>
      </c>
      <c r="X171" s="74">
        <f t="shared" si="108"/>
        <v>0.35154444428584986</v>
      </c>
      <c r="Y171" s="74">
        <f t="shared" si="109"/>
        <v>0.31730962972385823</v>
      </c>
      <c r="Z171" s="74">
        <f t="shared" si="110"/>
        <v>-0.20434186938610305</v>
      </c>
      <c r="AA171" s="74">
        <f t="shared" si="111"/>
        <v>0.5066227412590365</v>
      </c>
      <c r="AB171" s="74">
        <f t="shared" si="112"/>
        <v>0.3554823053225698</v>
      </c>
      <c r="AC171" s="78">
        <f t="shared" si="113"/>
        <v>4.594696582298865</v>
      </c>
      <c r="AD171" s="78"/>
      <c r="AE171" s="78">
        <f t="shared" si="114"/>
        <v>30.400180824079975</v>
      </c>
      <c r="AF171" s="79" t="str">
        <f t="shared" si="115"/>
        <v>0.15, (-0.2, 0.47)</v>
      </c>
      <c r="AG171" s="78">
        <f t="shared" si="97"/>
        <v>5.5136358987586389</v>
      </c>
      <c r="AH171" s="2">
        <f t="shared" si="98"/>
        <v>0.83333333333333337</v>
      </c>
      <c r="AI171" s="78">
        <f t="shared" si="99"/>
        <v>0.33042945069184126</v>
      </c>
      <c r="AJ171" s="85">
        <f t="shared" si="100"/>
        <v>7</v>
      </c>
    </row>
    <row r="172" spans="1:42" ht="14.1" customHeight="1" x14ac:dyDescent="0.25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-0.57999999999999996</v>
      </c>
      <c r="H172" s="15">
        <v>0.43</v>
      </c>
      <c r="I172" s="14" t="s">
        <v>47</v>
      </c>
      <c r="J172" s="28"/>
      <c r="K172" s="29"/>
      <c r="L172" s="25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0.05</v>
      </c>
      <c r="T172" s="2">
        <v>14</v>
      </c>
      <c r="U172" s="102">
        <f>W172/G140*H140</f>
        <v>0.38031714251653398</v>
      </c>
      <c r="V172" s="76" t="str">
        <f>I140</f>
        <v>p=0.89</v>
      </c>
      <c r="W172" s="74">
        <f>0.5*LN((1+S172)/(1-S172))</f>
        <v>5.0041729278491313E-2</v>
      </c>
      <c r="X172" s="74">
        <f>S172-(EXP(2*Z172)-1)/(EXP(2*Z172)+1)</f>
        <v>0.6514270072664986</v>
      </c>
      <c r="Y172" s="74">
        <f>(EXP(2*AA172)-1)/(EXP(2*AA172)+1)-S172</f>
        <v>0.61149287460779722</v>
      </c>
      <c r="Z172" s="74">
        <f>W172-AB172</f>
        <v>-0.69537987005391533</v>
      </c>
      <c r="AA172" s="74">
        <f>W172+AB172</f>
        <v>0.79546332861089786</v>
      </c>
      <c r="AB172" s="74">
        <f>1.96*U172</f>
        <v>0.74542159933240659</v>
      </c>
      <c r="AC172" s="78">
        <f>IF(W172&lt;&gt;"",ABS(W172/U172^2),"")</f>
        <v>0.34597164486925741</v>
      </c>
      <c r="AD172" s="78"/>
      <c r="AE172" s="78">
        <f>U172^-2</f>
        <v>6.9136628541324461</v>
      </c>
      <c r="AF172" s="79" t="str">
        <f>CONCATENATE(ROUND(S172,2),", (",ROUND(-(X172-S172),2),", ",ROUND(Y172+S172,2),")")</f>
        <v>0.05, (-0.6, 0.66)</v>
      </c>
      <c r="AG172" s="78">
        <f t="shared" si="97"/>
        <v>2.6293845010063563</v>
      </c>
      <c r="AH172" s="2">
        <f t="shared" si="98"/>
        <v>-1.3488372093023255</v>
      </c>
      <c r="AI172" s="78">
        <f t="shared" si="99"/>
        <v>0.87024248899062151</v>
      </c>
      <c r="AJ172" s="85">
        <f t="shared" si="100"/>
        <v>4</v>
      </c>
    </row>
    <row r="173" spans="1:42" ht="14.1" customHeight="1" x14ac:dyDescent="0.25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96">
        <v>0.08</v>
      </c>
      <c r="H173" s="37">
        <v>1.1399999999999999</v>
      </c>
      <c r="I173" s="40" t="s">
        <v>102</v>
      </c>
      <c r="J173" s="45"/>
      <c r="K173" s="42"/>
      <c r="L173" s="46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0.25</v>
      </c>
      <c r="T173" s="74">
        <v>13</v>
      </c>
      <c r="U173" s="102">
        <f>W173/G141*H141</f>
        <v>0.24519629940767554</v>
      </c>
      <c r="V173" s="76" t="str">
        <f>I141</f>
        <v>p=0.29</v>
      </c>
      <c r="W173" s="74">
        <f>0.5*LN((1+S173)/(1-S173))</f>
        <v>0.25541281188299536</v>
      </c>
      <c r="X173" s="74">
        <f>S173-(EXP(2*Z173)-1)/(EXP(2*Z173)+1)</f>
        <v>0.47144197798129939</v>
      </c>
      <c r="Y173" s="74">
        <f>(EXP(2*AA173)-1)/(EXP(2*AA173)+1)-S173</f>
        <v>0.37672088933365533</v>
      </c>
      <c r="Z173" s="74">
        <f>W173-AB173</f>
        <v>-0.2251719349560487</v>
      </c>
      <c r="AA173" s="74">
        <f>W173+AB173</f>
        <v>0.73599755872203942</v>
      </c>
      <c r="AB173" s="74">
        <f>1.96*U173</f>
        <v>0.48058474683904406</v>
      </c>
      <c r="AC173" s="78">
        <f>IF(W173&lt;&gt;"",ABS(W173/U173^2),"")</f>
        <v>4.2482968510660104</v>
      </c>
      <c r="AD173" s="78"/>
      <c r="AE173" s="78">
        <f>U173^-2</f>
        <v>16.633060885810835</v>
      </c>
      <c r="AF173" s="79" t="str">
        <f>CONCATENATE(ROUND(S173,2),", (",ROUND(-(X173-S173),2),", ",ROUND(Y173+S173,2),")")</f>
        <v>0.25, (-0.22, 0.63)</v>
      </c>
      <c r="AG173" s="78">
        <f t="shared" si="97"/>
        <v>4.0783649770233694</v>
      </c>
      <c r="AH173" s="2">
        <f t="shared" si="98"/>
        <v>7.0175438596491238E-2</v>
      </c>
      <c r="AI173" s="78">
        <f t="shared" si="99"/>
        <v>0.21952730922300898</v>
      </c>
      <c r="AJ173" s="85">
        <f t="shared" si="100"/>
        <v>6</v>
      </c>
    </row>
    <row r="174" spans="1:42" ht="14.1" customHeight="1" x14ac:dyDescent="0.25">
      <c r="A174" s="22"/>
      <c r="B174" s="21"/>
      <c r="C174" s="21"/>
      <c r="D174" s="21"/>
      <c r="E174" s="21"/>
      <c r="F174" s="21"/>
      <c r="G174" s="23"/>
      <c r="H174" s="29"/>
      <c r="I174" s="31"/>
      <c r="J174" s="54"/>
      <c r="K174" s="51"/>
      <c r="L174" s="55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29"/>
      <c r="AI174" s="78"/>
      <c r="AJ174" s="85"/>
    </row>
    <row r="175" spans="1:42" ht="14.1" customHeight="1" x14ac:dyDescent="0.25">
      <c r="A175" s="22"/>
      <c r="B175" s="21"/>
      <c r="C175" s="21"/>
      <c r="D175" s="21"/>
      <c r="E175" s="21"/>
      <c r="F175" s="21"/>
      <c r="G175" s="23"/>
      <c r="H175" s="29"/>
      <c r="I175" s="31"/>
      <c r="J175" s="54"/>
      <c r="K175" s="51"/>
      <c r="L175" s="55"/>
      <c r="M175" s="30"/>
      <c r="N175" s="29"/>
      <c r="O175" s="25"/>
      <c r="Q175" s="2" t="s">
        <v>323</v>
      </c>
      <c r="S175" s="84">
        <f>(EXP(2*AD175)-1)/(EXP(2*AD175)+1)</f>
        <v>0.19603648299331966</v>
      </c>
      <c r="T175" s="74">
        <v>11</v>
      </c>
      <c r="U175" s="103">
        <f>1/SQRT(AD175*AE175)</f>
        <v>0.16486433713374088</v>
      </c>
      <c r="V175" s="80">
        <f>1/SQRT(AE175)</f>
        <v>7.3472411671042709E-2</v>
      </c>
      <c r="W175" s="74">
        <f>0.5*LN((1+S175)/(1-S175))</f>
        <v>0.19860727346415386</v>
      </c>
      <c r="X175" s="74">
        <f>S175-(EXP(2*Z175)-1)/(EXP(2*Z175)+1)</f>
        <v>0.31992360169065481</v>
      </c>
      <c r="Y175" s="74">
        <f>(EXP(2*AA175)-1)/(EXP(2*AA175)+1)-S175</f>
        <v>0.28300640808010835</v>
      </c>
      <c r="Z175" s="74">
        <f>W175-AB175</f>
        <v>-0.12452682731797826</v>
      </c>
      <c r="AA175" s="74">
        <f>W175+AB175</f>
        <v>0.52174137424628597</v>
      </c>
      <c r="AB175" s="74">
        <f>1.96*U175</f>
        <v>0.32313410078213212</v>
      </c>
      <c r="AC175" s="78">
        <f>SUM(AC154,AC142,AC144,AC145,AC168,AC167,AC139,AC170,AC164,AC140,AC152,AC150,AC148,AC146,AC136,AC162,AC160,AC172,AC158,AC156)</f>
        <v>36.791420702992525</v>
      </c>
      <c r="AD175" s="78">
        <f>AC175/AE175</f>
        <v>0.19860727346415388</v>
      </c>
      <c r="AE175" s="78">
        <f>SUM(AE154,AE142,AE144,AE145,AE168,AE167,AE139,AE170,AE164,AE140,AE152,AE150,AE148,AE146,AE136,AE162,AE160,AE172,AE158,AE156)</f>
        <v>185.24709624812866</v>
      </c>
      <c r="AF175" s="79" t="str">
        <f>CONCATENATE(ROUND(S175,2),", (",ROUND(-(X175-S175),2),", ",ROUND(Y175+S175,2),")")</f>
        <v>0.2, (-0.12, 0.48)</v>
      </c>
      <c r="AG175" s="78">
        <f>SUM(AG154,AG142,AG144,AG145,AG168,AG167,AG139,AG170,AG164,AG140,AG152,AG150,AG148,AG146,AG136,AG162,AG160,AG172,AG158,AG156)</f>
        <v>47.96167002771498</v>
      </c>
      <c r="AH175" s="29"/>
      <c r="AI175" s="78">
        <f>SUM(AI154,AI142,AI144,AI145,AI168,AI167,AI139,AI170,AI164,AI140,AI152,AI150,AI148,AI146,AI136,AI162,AI160,AI172,AI158,AI156)</f>
        <v>19.417536281906006</v>
      </c>
      <c r="AJ175"/>
      <c r="AK175" s="81">
        <f>AK179-AK177</f>
        <v>20</v>
      </c>
      <c r="AL175">
        <f>CHIDIST(AI175,AK175-1)</f>
        <v>0.430360338592917</v>
      </c>
      <c r="AM175" s="82">
        <f>IF((AI175-AK175+1)/AI175&lt;0,0,(AI175-AK175+1)/AI175)</f>
        <v>2.150305146050286E-2</v>
      </c>
      <c r="AN175" s="74"/>
      <c r="AO175" s="77">
        <f>S175-Y175</f>
        <v>-8.6969925086788691E-2</v>
      </c>
      <c r="AP175">
        <f>S175+Z175</f>
        <v>7.1509655675341399E-2</v>
      </c>
    </row>
    <row r="176" spans="1:42" ht="14.1" customHeight="1" x14ac:dyDescent="0.25">
      <c r="A176" s="22"/>
      <c r="B176" s="21"/>
      <c r="C176" s="21"/>
      <c r="D176" s="21"/>
      <c r="E176" s="21"/>
      <c r="F176" s="21"/>
      <c r="G176" s="23"/>
      <c r="H176" s="29"/>
      <c r="I176" s="31"/>
      <c r="J176" s="54"/>
      <c r="K176" s="51"/>
      <c r="L176" s="55"/>
      <c r="M176" s="30"/>
      <c r="N176" s="29"/>
      <c r="O176" s="25"/>
      <c r="T176" s="2">
        <v>10</v>
      </c>
      <c r="U176" s="75"/>
      <c r="AH176" s="29"/>
    </row>
    <row r="177" spans="1:42" ht="14.1" customHeight="1" x14ac:dyDescent="0.25">
      <c r="A177" s="22"/>
      <c r="B177" s="21"/>
      <c r="C177" s="21"/>
      <c r="D177" s="21"/>
      <c r="E177" s="21"/>
      <c r="F177" s="21"/>
      <c r="G177" s="23"/>
      <c r="H177" s="29"/>
      <c r="I177" s="31"/>
      <c r="J177" s="54"/>
      <c r="K177" s="51"/>
      <c r="L177" s="55"/>
      <c r="M177" s="30"/>
      <c r="N177" s="29"/>
      <c r="O177" s="25"/>
      <c r="Q177" s="2" t="s">
        <v>322</v>
      </c>
      <c r="S177" s="84">
        <f>(EXP(2*AD177)-1)/(EXP(2*AD177)+1)</f>
        <v>0.23718736671850479</v>
      </c>
      <c r="T177" s="74">
        <v>9</v>
      </c>
      <c r="U177" s="103">
        <f>1/SQRT(AD177*AE177)</f>
        <v>0.19563281147503792</v>
      </c>
      <c r="V177" s="80">
        <f>1/SQRT(AE177)</f>
        <v>9.6197190434754207E-2</v>
      </c>
      <c r="W177" s="74">
        <f>0.5*LN((1+S177)/(1-S177))</f>
        <v>0.24179169712998091</v>
      </c>
      <c r="X177" s="74">
        <f>S177-(EXP(2*Z177)-1)/(EXP(2*Z177)+1)</f>
        <v>0.3778961606068757</v>
      </c>
      <c r="Y177" s="74">
        <f>(EXP(2*AA177)-1)/(EXP(2*AA177)+1)-S177</f>
        <v>0.31757298147934232</v>
      </c>
      <c r="Z177" s="74">
        <f>W177-AB177</f>
        <v>-0.14164861336109338</v>
      </c>
      <c r="AA177" s="74">
        <f>W177+AB177</f>
        <v>0.62523200762105524</v>
      </c>
      <c r="AB177" s="74">
        <f>1.96*U177</f>
        <v>0.3834403104910743</v>
      </c>
      <c r="AC177" s="78">
        <f>SUM(AC155,AC143,AC166,AC171,AC169,AC138,AC141,AC165,AC153,AC151,AC149,AC147,AC137,AC163,AC161,AC173,AC159,AC157)</f>
        <v>26.128628098962945</v>
      </c>
      <c r="AD177" s="78">
        <f>AC177/AE177</f>
        <v>0.24179169712998094</v>
      </c>
      <c r="AE177" s="78">
        <f>SUM(AE155,AE143,AE166,AE171,AE169,AE138,AE141,AE165,AE153,AE151,AE149,AE147,AE137,AE163,AE161,AE173,AE159,AE157)</f>
        <v>108.06255305332868</v>
      </c>
      <c r="AF177" s="79" t="str">
        <f>CONCATENATE(ROUND(S177,2),", (",ROUND(-(X177-S177),2),", ",ROUND(Y177+S177,2),")")</f>
        <v>0.24, (-0.14, 0.55)</v>
      </c>
      <c r="AG177" s="78">
        <f>SUM(AG155,AG143,AG166,AG171,AG169,AG138,AG141,AG165,AG153,AG151,AG149,AG147,AG137,AG163,AG161,AG173,AG159,AG157)</f>
        <v>38.211575402126513</v>
      </c>
      <c r="AH177" s="29"/>
      <c r="AI177" s="78">
        <f>SUM(AI155,AI143,AI166,AI171,AI169,AI138,AI141,AI165,AI153,AI151,AI149,AI147,AI137,AI163,AI161,AI173,AI159,AI157)</f>
        <v>15.009581226268111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0.59479149117696195</v>
      </c>
      <c r="AM177" s="82">
        <f>IF((AI177-AK177+1)/AI177&lt;0,0,(AI177-AK177+1)/AI177)</f>
        <v>0</v>
      </c>
      <c r="AN177" s="74"/>
      <c r="AO177" s="77">
        <f>S177-Y177</f>
        <v>-8.0385614760837526E-2</v>
      </c>
      <c r="AP177">
        <f>S177+Z177</f>
        <v>9.553875335741141E-2</v>
      </c>
    </row>
    <row r="178" spans="1:42" ht="14.1" customHeight="1" x14ac:dyDescent="0.25">
      <c r="A178" s="41"/>
      <c r="B178" s="42"/>
      <c r="C178" s="43"/>
      <c r="D178" s="43"/>
      <c r="E178" s="42"/>
      <c r="F178" s="44"/>
      <c r="G178" s="97"/>
      <c r="H178" s="47"/>
      <c r="I178" s="46"/>
      <c r="J178" s="54"/>
      <c r="K178" s="51"/>
      <c r="L178" s="55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47"/>
      <c r="AI178" s="78"/>
      <c r="AJ178" s="85"/>
    </row>
    <row r="179" spans="1:42" ht="14.1" customHeight="1" x14ac:dyDescent="0.25">
      <c r="A179" s="50"/>
      <c r="B179" s="51"/>
      <c r="C179" s="52"/>
      <c r="D179" s="52"/>
      <c r="E179" s="51"/>
      <c r="F179" s="53"/>
      <c r="G179" s="98"/>
      <c r="H179" s="56"/>
      <c r="I179" s="55"/>
      <c r="J179" s="63"/>
      <c r="K179" s="60"/>
      <c r="L179" s="64"/>
      <c r="M179" s="57"/>
      <c r="N179" s="58"/>
      <c r="Q179" s="2" t="s">
        <v>185</v>
      </c>
      <c r="S179" s="84">
        <f>(EXP(2*AD179)-1)/(EXP(2*AD179)+1)</f>
        <v>0.21128641095252632</v>
      </c>
      <c r="T179" s="74">
        <v>7</v>
      </c>
      <c r="U179" s="103">
        <f>1/SQRT(AD179*AE179)</f>
        <v>0.1260681775243894</v>
      </c>
      <c r="V179" s="80">
        <f>1/SQRT(AE179)</f>
        <v>5.8389778084751973E-2</v>
      </c>
      <c r="W179" s="74">
        <f>0.5*LN((1+S179)/(1-S179))</f>
        <v>0.21451748673050847</v>
      </c>
      <c r="X179" s="74">
        <f>S179-(EXP(2*Z179)-1)/(EXP(2*Z179)+1)</f>
        <v>0.24385103373810368</v>
      </c>
      <c r="Y179" s="74">
        <f>(EXP(2*AA179)-1)/(EXP(2*AA179)+1)-S179</f>
        <v>0.22010999295928274</v>
      </c>
      <c r="Z179" s="74">
        <f>W179-AB179</f>
        <v>-3.2576141217294741E-2</v>
      </c>
      <c r="AA179" s="74">
        <f>W179+AB179</f>
        <v>0.46161111467831167</v>
      </c>
      <c r="AB179" s="74">
        <f>1.96*U179</f>
        <v>0.24709362794780321</v>
      </c>
      <c r="AC179" s="78">
        <f>SUM(AC136:AC173)</f>
        <v>62.92004880195546</v>
      </c>
      <c r="AD179" s="78">
        <f>AC179/AE179</f>
        <v>0.21451748673050844</v>
      </c>
      <c r="AE179" s="78">
        <f>SUM(AE136:AE173)</f>
        <v>293.30964930145734</v>
      </c>
      <c r="AF179" s="79" t="str">
        <f>CONCATENATE(ROUND(S179,2),", (",ROUND(-(X179-S179),2),", ",ROUND(Y179+S179,2),")")</f>
        <v>0.21, (-0.03, 0.43)</v>
      </c>
      <c r="AG179" s="78">
        <f>SUM(AG136:AG173)</f>
        <v>86.173245429841486</v>
      </c>
      <c r="AH179" s="56"/>
      <c r="AI179" s="78">
        <f>SUM(AI136:AI173)</f>
        <v>34.427117508174128</v>
      </c>
      <c r="AJ179"/>
      <c r="AK179" s="81">
        <f>COUNT(AI136:AI173)</f>
        <v>38</v>
      </c>
      <c r="AL179">
        <f>CHIDIST(AI179,AK179-1)</f>
        <v>0.59028061405165189</v>
      </c>
      <c r="AM179" s="82">
        <f>IF((AI179-AK179+1)/AI179&lt;0,0,(AI179-AK179+1)/AI179)</f>
        <v>0</v>
      </c>
    </row>
    <row r="180" spans="1:42" ht="14.1" customHeight="1" x14ac:dyDescent="0.25">
      <c r="A180" s="50"/>
      <c r="B180" s="51"/>
      <c r="C180" s="52"/>
      <c r="D180" s="52"/>
      <c r="E180" s="51"/>
      <c r="F180" s="53"/>
      <c r="G180" s="98"/>
      <c r="H180" s="56"/>
      <c r="I180" s="55"/>
      <c r="J180" s="45"/>
      <c r="K180" s="42"/>
      <c r="L180" s="46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56"/>
      <c r="AI180" s="78"/>
      <c r="AJ180"/>
      <c r="AK180" s="81"/>
      <c r="AL180"/>
      <c r="AM180" s="82"/>
    </row>
    <row r="181" spans="1:42" ht="14.1" customHeight="1" x14ac:dyDescent="0.25">
      <c r="A181" s="50"/>
      <c r="B181" s="51"/>
      <c r="C181" s="52"/>
      <c r="D181" s="52"/>
      <c r="E181" s="51"/>
      <c r="F181" s="53"/>
      <c r="G181" s="98"/>
      <c r="H181" s="56"/>
      <c r="I181" s="55"/>
      <c r="J181" s="45"/>
      <c r="K181" s="42"/>
      <c r="L181" s="46"/>
      <c r="M181" s="57"/>
      <c r="N181" s="58"/>
      <c r="Q181" s="2" t="s">
        <v>327</v>
      </c>
      <c r="S181" s="84">
        <f>(EXP(2*AD181)-1)/(EXP(2*AD181)+1)</f>
        <v>0.32004751386591812</v>
      </c>
      <c r="T181" s="74">
        <v>5</v>
      </c>
      <c r="U181" s="103">
        <f>1/SQRT(AD181*AE181)</f>
        <v>6.6433215026352063E-2</v>
      </c>
      <c r="V181" s="80">
        <f>1/SQRT(AE181)</f>
        <v>3.8261151391802792E-2</v>
      </c>
      <c r="W181" s="74">
        <f>0.5*LN((1+S181)/(1-S181))</f>
        <v>0.33170004394445135</v>
      </c>
      <c r="X181" s="74">
        <f>S181-(EXP(2*Z181)-1)/(EXP(2*Z181)+1)</f>
        <v>0.12123975641252036</v>
      </c>
      <c r="Y181" s="74">
        <f>(EXP(2*AA181)-1)/(EXP(2*AA181)+1)-S181</f>
        <v>0.11159142520575843</v>
      </c>
      <c r="Z181" s="74">
        <f>W181-AB181</f>
        <v>0.20149094249280131</v>
      </c>
      <c r="AA181" s="74">
        <f>W181+AB181</f>
        <v>0.46190914539610139</v>
      </c>
      <c r="AB181" s="74">
        <f>1.96*U181</f>
        <v>0.13020910145165004</v>
      </c>
      <c r="AC181" s="78">
        <f>SUM(AC175,AC129,AC96,AC70,AC40,AC18)</f>
        <v>226.58411452535813</v>
      </c>
      <c r="AD181" s="78">
        <f>AC181/AE181</f>
        <v>0.33170004394445141</v>
      </c>
      <c r="AE181" s="78">
        <f>SUM(AE175,AE129,AE96,AE70,AE40,AE18)</f>
        <v>683.0994407806088</v>
      </c>
      <c r="AF181" s="79" t="str">
        <f>CONCATENATE(ROUND(S181,2),", (",ROUND(-(X181-S181),2),", ",ROUND(Y181+S181,2),")")</f>
        <v>0.32, (0.2, 0.43)</v>
      </c>
      <c r="AG181" s="78">
        <f>SUM(AG175,AG129,AG96,AG70,AG40,AG18)</f>
        <v>208.55391065722029</v>
      </c>
      <c r="AH181" s="56"/>
      <c r="AI181" s="78">
        <f>SUM(AI175,AI129,AI96,AI70,AI40,AI18)</f>
        <v>70.651027273573064</v>
      </c>
      <c r="AJ181"/>
      <c r="AK181" s="81">
        <f>AK185-AK183</f>
        <v>70</v>
      </c>
      <c r="AL181">
        <f>CHIDIST(AI181,AK181)</f>
        <v>0.45573258963663793</v>
      </c>
      <c r="AM181" s="82">
        <f>IF((AI181-AK181+1)/AI181&lt;0,0,(AI181-AK181+1)/AI181)</f>
        <v>2.3368765286030435E-2</v>
      </c>
      <c r="AN181" s="74"/>
      <c r="AO181" s="77">
        <f>S181-Y181</f>
        <v>0.20845608866015969</v>
      </c>
      <c r="AP181">
        <f>S181+Z181</f>
        <v>0.52153845635871943</v>
      </c>
    </row>
    <row r="182" spans="1:42" ht="14.1" customHeight="1" x14ac:dyDescent="0.25">
      <c r="A182" s="50"/>
      <c r="B182" s="51"/>
      <c r="C182" s="52"/>
      <c r="D182" s="52"/>
      <c r="E182" s="51"/>
      <c r="F182" s="53"/>
      <c r="G182" s="98"/>
      <c r="H182" s="56"/>
      <c r="I182" s="55"/>
      <c r="J182" s="54"/>
      <c r="K182" s="51"/>
      <c r="L182" s="55"/>
      <c r="M182" s="57"/>
      <c r="N182" s="58"/>
      <c r="T182" s="2">
        <v>4</v>
      </c>
      <c r="U182" s="75"/>
      <c r="AH182" s="56"/>
    </row>
    <row r="183" spans="1:42" ht="14.1" customHeight="1" x14ac:dyDescent="0.25">
      <c r="A183" s="50"/>
      <c r="B183" s="51"/>
      <c r="C183" s="52"/>
      <c r="D183" s="52"/>
      <c r="E183" s="51"/>
      <c r="F183" s="53"/>
      <c r="G183" s="98"/>
      <c r="H183" s="56"/>
      <c r="I183" s="55"/>
      <c r="J183" s="54"/>
      <c r="K183" s="51"/>
      <c r="L183" s="55"/>
      <c r="M183" s="57"/>
      <c r="N183" s="58"/>
      <c r="Q183" s="2" t="s">
        <v>328</v>
      </c>
      <c r="S183" s="84">
        <f>(EXP(2*AD183)-1)/(EXP(2*AD183)+1)</f>
        <v>0.27436697738087323</v>
      </c>
      <c r="T183" s="74">
        <v>3</v>
      </c>
      <c r="U183" s="103">
        <f>1/SQRT(AD183*AE183)</f>
        <v>8.4631899838736493E-2</v>
      </c>
      <c r="V183" s="80">
        <f>1/SQRT(AE183)</f>
        <v>4.4909183700378968E-2</v>
      </c>
      <c r="W183" s="74">
        <f>0.5*LN((1+S183)/(1-S183))</f>
        <v>0.281580218715616</v>
      </c>
      <c r="X183" s="74">
        <f>S183-(EXP(2*Z183)-1)/(EXP(2*Z183)+1)</f>
        <v>0.15917882760495478</v>
      </c>
      <c r="Y183" s="74">
        <f>(EXP(2*AA183)-1)/(EXP(2*AA183)+1)-S183</f>
        <v>0.14544087345928486</v>
      </c>
      <c r="Z183" s="74">
        <f>W183-AB183</f>
        <v>0.11570169503169248</v>
      </c>
      <c r="AA183" s="74">
        <f>W183+AB183</f>
        <v>0.44745874239953953</v>
      </c>
      <c r="AB183" s="74">
        <f>1.96*U183</f>
        <v>0.16587852368392353</v>
      </c>
      <c r="AC183" s="78">
        <f>SUM(AC177,AC131,AC98,AC72,AC42,AC20)</f>
        <v>139.61491611476802</v>
      </c>
      <c r="AD183" s="78">
        <f>AC183/AE183</f>
        <v>0.28158021871561606</v>
      </c>
      <c r="AE183" s="78">
        <f>SUM(AE177,AE131,AE98,AE72,AE42,AE20)</f>
        <v>495.8264353639596</v>
      </c>
      <c r="AF183" s="79" t="str">
        <f>CONCATENATE(ROUND(S183,2),", (",ROUND(-(X183-S183),2),", ",ROUND(Y183+S183,2),")")</f>
        <v>0.27, (0.12, 0.42)</v>
      </c>
      <c r="AG183" s="78">
        <f>SUM(AG177,AG131,AG98,AG72,AG42,AG20)</f>
        <v>184.87145813699212</v>
      </c>
      <c r="AH183" s="56"/>
      <c r="AI183" s="78">
        <f>SUM(AI177,AI131,AI98,AI72,AI42,AI20)</f>
        <v>52.169228650826518</v>
      </c>
      <c r="AJ183"/>
      <c r="AK183" s="78">
        <f>SUM(AK177,AK131,AK98,AK72,AK42,AK20)</f>
        <v>60</v>
      </c>
      <c r="AL183">
        <f>CHIDIST(AI183,AK183)</f>
        <v>0.75394595416186827</v>
      </c>
      <c r="AM183" s="82">
        <f>IF((AI183-AK183+1)/AI183&lt;0,0,(AI183-AK183+1)/AI183)</f>
        <v>0</v>
      </c>
      <c r="AN183" s="74"/>
      <c r="AO183" s="77">
        <f>S183-Y183</f>
        <v>0.12892610392158838</v>
      </c>
      <c r="AP183">
        <f>S183+Z183</f>
        <v>0.39006867241256571</v>
      </c>
    </row>
    <row r="184" spans="1:42" ht="14.1" customHeight="1" x14ac:dyDescent="0.25">
      <c r="A184" s="59"/>
      <c r="B184" s="60"/>
      <c r="C184" s="61"/>
      <c r="D184" s="61"/>
      <c r="E184" s="60"/>
      <c r="F184" s="62"/>
      <c r="G184" s="99"/>
      <c r="H184" s="65"/>
      <c r="I184" s="64"/>
      <c r="J184" s="63"/>
      <c r="K184" s="60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65"/>
      <c r="AI184" s="78"/>
      <c r="AJ184" s="85"/>
    </row>
    <row r="185" spans="1:42" ht="14.1" customHeight="1" x14ac:dyDescent="0.25">
      <c r="A185" s="69"/>
      <c r="B185" s="42"/>
      <c r="C185" s="43"/>
      <c r="D185" s="43"/>
      <c r="E185" s="42"/>
      <c r="F185" s="44"/>
      <c r="G185" s="97"/>
      <c r="H185" s="47"/>
      <c r="I185" s="46"/>
      <c r="M185" s="48"/>
      <c r="N185" s="49"/>
      <c r="Q185" s="2" t="s">
        <v>329</v>
      </c>
      <c r="S185" s="84">
        <f>(EXP(2*AD185)-1)/(EXP(2*AD185)+1)</f>
        <v>0.30341434264732708</v>
      </c>
      <c r="T185" s="74">
        <v>1</v>
      </c>
      <c r="U185" s="103">
        <f>1/SQRT(AD185*AE185)</f>
        <v>5.1263970778347406E-2</v>
      </c>
      <c r="V185" s="80">
        <f>1/SQRT(AE185)</f>
        <v>2.869298413656577E-2</v>
      </c>
      <c r="W185" s="74">
        <f>0.5*LN((1+S185)/(1-S185))</f>
        <v>0.31327587482300695</v>
      </c>
      <c r="X185" s="74">
        <f>S185-(EXP(2*Z185)-1)/(EXP(2*Z185)+1)</f>
        <v>9.3770782125221275E-2</v>
      </c>
      <c r="Y185" s="74">
        <f>(EXP(2*AA185)-1)/(EXP(2*AA185)+1)-S185</f>
        <v>8.8240532476423661E-2</v>
      </c>
      <c r="Z185" s="74">
        <f>W185-AB185</f>
        <v>0.21279849209744603</v>
      </c>
      <c r="AA185" s="74">
        <f>W185+AB185</f>
        <v>0.41375325754856784</v>
      </c>
      <c r="AB185" s="74">
        <f>1.96*U185</f>
        <v>0.10047738272556092</v>
      </c>
      <c r="AC185" s="78">
        <f>SUM(AC179,AC133,AC100,AC74,AC44,AC22)</f>
        <v>380.51827121796765</v>
      </c>
      <c r="AD185" s="78">
        <f>AC185/AE185</f>
        <v>0.31327587482300701</v>
      </c>
      <c r="AE185" s="78">
        <f>SUM(AE179,AE133,AE100,AE74,AE44,AE22)</f>
        <v>1214.6427535569119</v>
      </c>
      <c r="AF185" s="79" t="str">
        <f>CONCATENATE(ROUND(S185,2),", (",ROUND(-(X185-S185),2),", ",ROUND(Y185+S185,2),")")</f>
        <v>0.3, (0.21, 0.39)</v>
      </c>
      <c r="AG185" s="78">
        <f>SUM(AG179,AG133,AG100,AG74,AG44,AG22)</f>
        <v>399.26252415890713</v>
      </c>
      <c r="AH185" s="47"/>
      <c r="AI185" s="78">
        <f>SUM(AI179,AI133,AI100,AI74,AI44,AI22)</f>
        <v>121.68265122697058</v>
      </c>
      <c r="AJ185"/>
      <c r="AK185" s="78">
        <f>SUM(AK179,AK133,AK100,AK74,AK44,AK22)</f>
        <v>130</v>
      </c>
      <c r="AL185">
        <f>CHIDIST(AI185,AK185)</f>
        <v>0.68639793793731851</v>
      </c>
      <c r="AM185" s="82">
        <f>IF((AI185-AK185+1)/AI185&lt;0,0,(AI185-AK185+1)/AI185)</f>
        <v>0</v>
      </c>
    </row>
    <row r="186" spans="1:42" ht="14.1" customHeight="1" x14ac:dyDescent="0.25">
      <c r="A186" s="70"/>
      <c r="B186" s="42"/>
      <c r="C186" s="43"/>
      <c r="D186" s="43"/>
      <c r="E186" s="42"/>
      <c r="F186" s="44"/>
      <c r="G186" s="97"/>
      <c r="H186" s="47"/>
      <c r="I186" s="46"/>
      <c r="M186" s="48"/>
      <c r="N186" s="49"/>
      <c r="T186" s="2">
        <v>0</v>
      </c>
      <c r="AH186" s="47"/>
    </row>
    <row r="187" spans="1:42" ht="14.1" customHeight="1" x14ac:dyDescent="0.25">
      <c r="A187" s="71"/>
      <c r="B187" s="51"/>
      <c r="C187" s="52"/>
      <c r="D187" s="52"/>
      <c r="E187" s="51"/>
      <c r="F187" s="53"/>
      <c r="G187" s="98"/>
      <c r="H187" s="56"/>
      <c r="I187" s="55"/>
      <c r="M187" s="57"/>
      <c r="N187" s="58"/>
      <c r="AH187" s="56"/>
    </row>
    <row r="188" spans="1:42" ht="14.1" customHeight="1" x14ac:dyDescent="0.25">
      <c r="A188" s="71"/>
      <c r="B188" s="51"/>
      <c r="C188" s="52"/>
      <c r="D188" s="52"/>
      <c r="E188" s="51"/>
      <c r="F188" s="53"/>
      <c r="G188" s="98"/>
      <c r="H188" s="56"/>
      <c r="I188" s="55"/>
      <c r="M188" s="57"/>
      <c r="N188" s="58"/>
      <c r="AH188" s="56"/>
    </row>
    <row r="189" spans="1:42" ht="14.1" customHeight="1" x14ac:dyDescent="0.25">
      <c r="A189" s="72"/>
      <c r="B189" s="60"/>
      <c r="C189" s="61"/>
      <c r="D189" s="61"/>
      <c r="E189" s="60"/>
      <c r="F189" s="62"/>
      <c r="G189" s="99"/>
      <c r="H189" s="65"/>
      <c r="I189" s="64"/>
      <c r="M189" s="66"/>
      <c r="N189" s="67"/>
      <c r="O189" s="68"/>
      <c r="AH189" s="65"/>
    </row>
  </sheetData>
  <mergeCells count="6">
    <mergeCell ref="G1:I1"/>
    <mergeCell ref="M1:O1"/>
    <mergeCell ref="G2:I2"/>
    <mergeCell ref="M2:O2"/>
    <mergeCell ref="J1:L1"/>
    <mergeCell ref="J2:L2"/>
  </mergeCells>
  <phoneticPr fontId="1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5"/>
  <sheetViews>
    <sheetView workbookViewId="0">
      <selection activeCell="C1" sqref="C1:C1048576"/>
    </sheetView>
  </sheetViews>
  <sheetFormatPr defaultColWidth="10.875" defaultRowHeight="15.75" x14ac:dyDescent="0.25"/>
  <cols>
    <col min="1" max="1" width="31.5" style="32" bestFit="1" customWidth="1"/>
    <col min="2" max="2" width="40.875" style="32" customWidth="1"/>
    <col min="3" max="3" width="16.875" style="32" bestFit="1" customWidth="1"/>
    <col min="4" max="4" width="10.875" style="32"/>
    <col min="5" max="5" width="10.875" style="2"/>
    <col min="6" max="16384" width="10.875" style="32"/>
  </cols>
  <sheetData>
    <row r="2" spans="1:5" x14ac:dyDescent="0.25">
      <c r="A2" s="118" t="s">
        <v>335</v>
      </c>
      <c r="C2" s="101" t="s">
        <v>330</v>
      </c>
    </row>
    <row r="3" spans="1:5" x14ac:dyDescent="0.25">
      <c r="A3" s="119" t="s">
        <v>10</v>
      </c>
    </row>
    <row r="4" spans="1:5" x14ac:dyDescent="0.25">
      <c r="A4" s="120" t="s">
        <v>337</v>
      </c>
      <c r="C4" s="32" t="str">
        <f>'Calc-S'!AF4</f>
        <v>0.76, (-0.95, 1)</v>
      </c>
      <c r="E4" s="85"/>
    </row>
    <row r="5" spans="1:5" x14ac:dyDescent="0.25">
      <c r="A5" s="120" t="s">
        <v>338</v>
      </c>
      <c r="C5" s="32" t="str">
        <f>'Calc-S'!AF5</f>
        <v>0.07, (-0.88, 0.91)</v>
      </c>
      <c r="E5" s="85"/>
    </row>
    <row r="6" spans="1:5" x14ac:dyDescent="0.25">
      <c r="A6" s="120" t="s">
        <v>339</v>
      </c>
      <c r="C6" s="32" t="str">
        <f>'Calc-S'!AF6</f>
        <v>-0.17, (-0.84, 0.71)</v>
      </c>
      <c r="E6" s="85"/>
    </row>
    <row r="7" spans="1:5" x14ac:dyDescent="0.25">
      <c r="A7" s="120" t="s">
        <v>340</v>
      </c>
      <c r="C7" s="32" t="str">
        <f>'Calc-S'!AF7</f>
        <v>0.11, (-0.46, 0.62)</v>
      </c>
      <c r="E7" s="85"/>
    </row>
    <row r="8" spans="1:5" x14ac:dyDescent="0.25">
      <c r="A8" s="120" t="s">
        <v>341</v>
      </c>
      <c r="C8" s="32" t="str">
        <f>'Calc-S'!AF8</f>
        <v>0.15, (-0.52, 0.71)</v>
      </c>
      <c r="E8" s="85"/>
    </row>
    <row r="9" spans="1:5" x14ac:dyDescent="0.25">
      <c r="A9" s="120" t="s">
        <v>342</v>
      </c>
      <c r="C9" s="32" t="str">
        <f>'Calc-S'!AF9</f>
        <v>0.2, (-0.41, 0.69)</v>
      </c>
      <c r="E9" s="85"/>
    </row>
    <row r="10" spans="1:5" x14ac:dyDescent="0.25">
      <c r="A10" s="120" t="s">
        <v>343</v>
      </c>
      <c r="C10" s="32" t="str">
        <f>'Calc-S'!AF10</f>
        <v>-0.36, (-0.82, 0.38)</v>
      </c>
      <c r="E10" s="85"/>
    </row>
    <row r="11" spans="1:5" x14ac:dyDescent="0.25">
      <c r="A11" s="120" t="s">
        <v>344</v>
      </c>
      <c r="C11" s="32" t="str">
        <f>'Calc-S'!AF11</f>
        <v>-0.24, (-0.88, 0.7)</v>
      </c>
      <c r="E11" s="85"/>
    </row>
    <row r="12" spans="1:5" x14ac:dyDescent="0.25">
      <c r="A12" s="120" t="s">
        <v>345</v>
      </c>
      <c r="C12" s="32" t="str">
        <f>'Calc-S'!AF12</f>
        <v>-0.58, (-0.98, 0.8)</v>
      </c>
      <c r="E12" s="85"/>
    </row>
    <row r="13" spans="1:5" x14ac:dyDescent="0.25">
      <c r="A13" s="120" t="s">
        <v>346</v>
      </c>
      <c r="C13" s="32" t="str">
        <f>'Calc-S'!AF13</f>
        <v>-0.2, (-0.87, 0.73)</v>
      </c>
      <c r="E13" s="85"/>
    </row>
    <row r="14" spans="1:5" x14ac:dyDescent="0.25">
      <c r="A14" s="120" t="s">
        <v>347</v>
      </c>
      <c r="C14" s="32" t="str">
        <f>'Calc-S'!AF14</f>
        <v>-0.12, (-0.52, 0.32)</v>
      </c>
      <c r="E14" s="85"/>
    </row>
    <row r="15" spans="1:5" x14ac:dyDescent="0.25">
      <c r="A15" s="120" t="s">
        <v>348</v>
      </c>
      <c r="C15" s="32" t="str">
        <f>'Calc-S'!AF15</f>
        <v>0.35, (-0.24, 0.75)</v>
      </c>
      <c r="E15" s="85"/>
    </row>
    <row r="16" spans="1:5" x14ac:dyDescent="0.25">
      <c r="A16" s="120" t="s">
        <v>349</v>
      </c>
      <c r="C16" s="32" t="str">
        <f>'Calc-S'!AF16</f>
        <v>0.36, (-0.03, 0.66)</v>
      </c>
      <c r="E16" s="85"/>
    </row>
    <row r="17" spans="1:5" x14ac:dyDescent="0.25">
      <c r="A17" s="121"/>
      <c r="E17" s="85"/>
    </row>
    <row r="18" spans="1:5" x14ac:dyDescent="0.25">
      <c r="A18" s="120" t="s">
        <v>323</v>
      </c>
      <c r="C18" s="32" t="str">
        <f>'Calc-S'!AF18</f>
        <v>0.23, (-0.33, 0.68)</v>
      </c>
      <c r="E18" s="109"/>
    </row>
    <row r="19" spans="1:5" x14ac:dyDescent="0.25">
      <c r="A19" s="120"/>
    </row>
    <row r="20" spans="1:5" x14ac:dyDescent="0.25">
      <c r="A20" s="120" t="s">
        <v>322</v>
      </c>
      <c r="C20" s="32" t="str">
        <f>'Calc-S'!AF20</f>
        <v>0.25, (-0.27, 0.66)</v>
      </c>
      <c r="E20"/>
    </row>
    <row r="21" spans="1:5" x14ac:dyDescent="0.25">
      <c r="A21" s="121"/>
      <c r="E21" s="85"/>
    </row>
    <row r="22" spans="1:5" x14ac:dyDescent="0.25">
      <c r="A22" s="121" t="s">
        <v>324</v>
      </c>
      <c r="C22" s="32" t="str">
        <f>'Calc-S'!AF22</f>
        <v>0.24, (-0.15, 0.57)</v>
      </c>
      <c r="E22"/>
    </row>
    <row r="23" spans="1:5" x14ac:dyDescent="0.25">
      <c r="A23" s="121"/>
    </row>
    <row r="24" spans="1:5" x14ac:dyDescent="0.25">
      <c r="A24" s="119" t="s">
        <v>50</v>
      </c>
    </row>
    <row r="25" spans="1:5" x14ac:dyDescent="0.25">
      <c r="A25" s="120" t="s">
        <v>350</v>
      </c>
      <c r="C25" s="32" t="str">
        <f>'Calc-S'!AF25</f>
        <v>0.67, (0.05, 0.92)</v>
      </c>
      <c r="E25" s="85"/>
    </row>
    <row r="26" spans="1:5" x14ac:dyDescent="0.25">
      <c r="A26" s="120" t="s">
        <v>351</v>
      </c>
      <c r="C26" s="32" t="str">
        <f>'Calc-S'!AF26</f>
        <v>0.46, (-0.03, 0.77)</v>
      </c>
      <c r="E26" s="85"/>
    </row>
    <row r="27" spans="1:5" x14ac:dyDescent="0.25">
      <c r="A27" s="120" t="s">
        <v>352</v>
      </c>
      <c r="C27" s="32" t="str">
        <f>'Calc-S'!AF27</f>
        <v>0.18, (-0.06, 0.4)</v>
      </c>
      <c r="E27" s="85"/>
    </row>
    <row r="28" spans="1:5" x14ac:dyDescent="0.25">
      <c r="A28" s="120" t="s">
        <v>353</v>
      </c>
      <c r="C28" s="32" t="str">
        <f>'Calc-S'!AF28</f>
        <v>-0.03, (-0.55, 0.51)</v>
      </c>
      <c r="E28" s="85"/>
    </row>
    <row r="29" spans="1:5" x14ac:dyDescent="0.25">
      <c r="A29" s="120" t="s">
        <v>354</v>
      </c>
      <c r="C29" s="32" t="str">
        <f>'Calc-S'!AF29</f>
        <v>0.51, (-0.06, 0.83)</v>
      </c>
      <c r="E29" s="85"/>
    </row>
    <row r="30" spans="1:5" x14ac:dyDescent="0.25">
      <c r="A30" s="120" t="s">
        <v>355</v>
      </c>
      <c r="C30" s="32" t="str">
        <f>'Calc-S'!AF30</f>
        <v>0.07, (-0.55, 0.64)</v>
      </c>
      <c r="E30" s="85"/>
    </row>
    <row r="31" spans="1:5" x14ac:dyDescent="0.25">
      <c r="A31" s="120" t="s">
        <v>356</v>
      </c>
      <c r="C31" s="32" t="str">
        <f>'Calc-S'!AF31</f>
        <v>0.73, (0.52, 0.86)</v>
      </c>
      <c r="E31" s="85"/>
    </row>
    <row r="32" spans="1:5" x14ac:dyDescent="0.25">
      <c r="A32" s="120" t="s">
        <v>357</v>
      </c>
      <c r="C32" s="32" t="str">
        <f>'Calc-S'!AF32</f>
        <v>0.66, (0.37, 0.83)</v>
      </c>
      <c r="E32" s="85"/>
    </row>
    <row r="33" spans="1:5" x14ac:dyDescent="0.25">
      <c r="A33" s="120" t="s">
        <v>358</v>
      </c>
      <c r="C33" s="32" t="str">
        <f>'Calc-S'!AF33</f>
        <v>-0.75, (-0.98, 0.27)</v>
      </c>
      <c r="E33" s="85"/>
    </row>
    <row r="34" spans="1:5" x14ac:dyDescent="0.25">
      <c r="A34" s="120" t="s">
        <v>359</v>
      </c>
      <c r="C34" s="32" t="str">
        <f>'Calc-S'!AF34</f>
        <v>-0.1, (-0.86, 0.79)</v>
      </c>
      <c r="E34" s="85"/>
    </row>
    <row r="35" spans="1:5" x14ac:dyDescent="0.25">
      <c r="A35" s="120" t="s">
        <v>360</v>
      </c>
      <c r="C35" s="32" t="str">
        <f>'Calc-S'!AF35</f>
        <v>-0.36, (-0.97, 0.86)</v>
      </c>
      <c r="E35" s="85"/>
    </row>
    <row r="36" spans="1:5" x14ac:dyDescent="0.25">
      <c r="A36" s="120" t="s">
        <v>361</v>
      </c>
      <c r="C36" s="32" t="str">
        <f>'Calc-S'!AF36</f>
        <v>0.12, (-0.57, 0.71)</v>
      </c>
      <c r="E36" s="85"/>
    </row>
    <row r="37" spans="1:5" x14ac:dyDescent="0.25">
      <c r="A37" s="120" t="s">
        <v>362</v>
      </c>
      <c r="C37" s="32" t="str">
        <f>'Calc-S'!AF37</f>
        <v>0.07, (-0.43, 0.54)</v>
      </c>
      <c r="E37" s="85"/>
    </row>
    <row r="38" spans="1:5" x14ac:dyDescent="0.25">
      <c r="A38" s="120" t="s">
        <v>363</v>
      </c>
      <c r="C38" s="32" t="str">
        <f>'Calc-S'!AF38</f>
        <v>-0.16, (-0.51, 0.23)</v>
      </c>
      <c r="E38" s="85"/>
    </row>
    <row r="39" spans="1:5" x14ac:dyDescent="0.25">
      <c r="A39" s="121"/>
      <c r="E39" s="85"/>
    </row>
    <row r="40" spans="1:5" x14ac:dyDescent="0.25">
      <c r="A40" s="120" t="s">
        <v>323</v>
      </c>
      <c r="C40" s="32" t="str">
        <f>'Calc-S'!AF40</f>
        <v>0.4, (0.16, 0.59)</v>
      </c>
      <c r="E40"/>
    </row>
    <row r="41" spans="1:5" x14ac:dyDescent="0.25">
      <c r="A41" s="120"/>
    </row>
    <row r="42" spans="1:5" x14ac:dyDescent="0.25">
      <c r="A42" s="120" t="s">
        <v>322</v>
      </c>
      <c r="C42" s="32" t="str">
        <f>'Calc-S'!AF42</f>
        <v>0.34, (0, 0.6)</v>
      </c>
      <c r="E42"/>
    </row>
    <row r="43" spans="1:5" x14ac:dyDescent="0.25">
      <c r="A43" s="121"/>
      <c r="E43" s="85"/>
    </row>
    <row r="44" spans="1:5" x14ac:dyDescent="0.25">
      <c r="A44" s="121" t="s">
        <v>185</v>
      </c>
      <c r="C44" s="32" t="str">
        <f>'Calc-S'!AF44</f>
        <v>0.37, (0.18, 0.54)</v>
      </c>
      <c r="E44"/>
    </row>
    <row r="45" spans="1:5" x14ac:dyDescent="0.25">
      <c r="A45" s="121"/>
    </row>
    <row r="46" spans="1:5" x14ac:dyDescent="0.25">
      <c r="A46" s="119" t="s">
        <v>78</v>
      </c>
    </row>
    <row r="47" spans="1:5" x14ac:dyDescent="0.25">
      <c r="A47" s="120" t="s">
        <v>364</v>
      </c>
      <c r="C47" s="32" t="str">
        <f>'Calc-S'!AF47</f>
        <v>0.26, (-0.68, 0.88)</v>
      </c>
      <c r="E47" s="85"/>
    </row>
    <row r="48" spans="1:5" x14ac:dyDescent="0.25">
      <c r="A48" s="120" t="s">
        <v>365</v>
      </c>
      <c r="C48" s="32" t="str">
        <f>'Calc-S'!AF48</f>
        <v>0.44, (-0.18, 0.81)</v>
      </c>
      <c r="E48" s="85"/>
    </row>
    <row r="49" spans="1:5" x14ac:dyDescent="0.25">
      <c r="A49" s="120" t="s">
        <v>366</v>
      </c>
      <c r="C49" s="32" t="str">
        <f>'Calc-S'!AF49</f>
        <v>-0.96, (-1, 0.23)</v>
      </c>
      <c r="E49" s="85"/>
    </row>
    <row r="50" spans="1:5" x14ac:dyDescent="0.25">
      <c r="A50" s="120" t="s">
        <v>367</v>
      </c>
      <c r="C50" s="32" t="str">
        <f>'Calc-S'!AF50</f>
        <v>0.28, (-0.78, 0.92)</v>
      </c>
      <c r="E50" s="85"/>
    </row>
    <row r="51" spans="1:5" x14ac:dyDescent="0.25">
      <c r="A51" s="120" t="s">
        <v>368</v>
      </c>
      <c r="C51" s="32" t="str">
        <f>'Calc-S'!AF51</f>
        <v>0.21, (-0.05, 0.44)</v>
      </c>
      <c r="E51" s="85"/>
    </row>
    <row r="52" spans="1:5" x14ac:dyDescent="0.25">
      <c r="A52" s="120" t="s">
        <v>369</v>
      </c>
      <c r="C52" s="32" t="str">
        <f>'Calc-S'!AF52</f>
        <v>0.38, (0.13, 0.58)</v>
      </c>
      <c r="E52" s="85"/>
    </row>
    <row r="53" spans="1:5" x14ac:dyDescent="0.25">
      <c r="A53" s="120" t="s">
        <v>370</v>
      </c>
      <c r="C53" s="32" t="str">
        <f>'Calc-S'!AF53</f>
        <v>0.46, (-0.34, 0.87)</v>
      </c>
      <c r="E53" s="85"/>
    </row>
    <row r="54" spans="1:5" x14ac:dyDescent="0.25">
      <c r="A54" s="120" t="s">
        <v>371</v>
      </c>
      <c r="C54" s="32" t="str">
        <f>'Calc-S'!AF54</f>
        <v>0.16, (-0.68, 0.82)</v>
      </c>
      <c r="E54" s="85"/>
    </row>
    <row r="55" spans="1:5" x14ac:dyDescent="0.25">
      <c r="A55" s="120" t="s">
        <v>372</v>
      </c>
      <c r="C55" s="32" t="str">
        <f>'Calc-S'!AF55</f>
        <v>0.63, (0.34, 0.81)</v>
      </c>
      <c r="E55" s="85"/>
    </row>
    <row r="56" spans="1:5" x14ac:dyDescent="0.25">
      <c r="A56" s="120" t="s">
        <v>373</v>
      </c>
      <c r="C56" s="32" t="str">
        <f>'Calc-S'!AF56</f>
        <v>-0.3, (-0.67, 0.19)</v>
      </c>
      <c r="E56" s="85"/>
    </row>
    <row r="57" spans="1:5" x14ac:dyDescent="0.25">
      <c r="A57" s="120" t="s">
        <v>374</v>
      </c>
      <c r="C57" s="32" t="str">
        <f>'Calc-S'!AF57</f>
        <v>-0.43, (-0.99, 0.92)</v>
      </c>
      <c r="E57" s="85"/>
    </row>
    <row r="58" spans="1:5" x14ac:dyDescent="0.25">
      <c r="A58" s="120" t="s">
        <v>375</v>
      </c>
      <c r="C58" s="32" t="str">
        <f>'Calc-S'!AF58</f>
        <v>0.68, (-0.41, 0.97)</v>
      </c>
      <c r="E58" s="85"/>
    </row>
    <row r="59" spans="1:5" x14ac:dyDescent="0.25">
      <c r="A59" s="120" t="s">
        <v>376</v>
      </c>
      <c r="C59" s="32" t="str">
        <f>'Calc-S'!AF59</f>
        <v>0.26, (-0.95, 0.98)</v>
      </c>
      <c r="E59" s="85"/>
    </row>
    <row r="60" spans="1:5" x14ac:dyDescent="0.25">
      <c r="A60" s="120" t="s">
        <v>377</v>
      </c>
      <c r="C60" s="32" t="str">
        <f>'Calc-S'!AF60</f>
        <v>0.01, (-0.82, 0.83)</v>
      </c>
      <c r="E60" s="85"/>
    </row>
    <row r="61" spans="1:5" x14ac:dyDescent="0.25">
      <c r="A61" s="120" t="s">
        <v>378</v>
      </c>
      <c r="C61" s="32" t="str">
        <f>'Calc-S'!AF61</f>
        <v>0.09, (-1, 1)</v>
      </c>
      <c r="E61" s="85"/>
    </row>
    <row r="62" spans="1:5" x14ac:dyDescent="0.25">
      <c r="A62" s="120" t="s">
        <v>379</v>
      </c>
      <c r="C62" s="32" t="str">
        <f>'Calc-S'!AF62</f>
        <v>-0.2, (-0.87, 0.73)</v>
      </c>
      <c r="E62" s="85"/>
    </row>
    <row r="63" spans="1:5" x14ac:dyDescent="0.25">
      <c r="A63" s="120" t="s">
        <v>380</v>
      </c>
      <c r="C63" s="32" t="str">
        <f>'Calc-S'!AF63</f>
        <v>0.1, (-0.45, 0.6)</v>
      </c>
      <c r="E63" s="85"/>
    </row>
    <row r="64" spans="1:5" x14ac:dyDescent="0.25">
      <c r="A64" s="120" t="s">
        <v>381</v>
      </c>
      <c r="C64" s="32" t="str">
        <f>'Calc-S'!AF64</f>
        <v>0.51, (-0.71, 0.96)</v>
      </c>
      <c r="E64" s="85"/>
    </row>
    <row r="65" spans="1:5" x14ac:dyDescent="0.25">
      <c r="A65" s="120" t="s">
        <v>382</v>
      </c>
      <c r="C65" s="32" t="str">
        <f>'Calc-S'!AF65</f>
        <v>-0.5, (-0.97, 0.73)</v>
      </c>
      <c r="E65" s="85"/>
    </row>
    <row r="66" spans="1:5" x14ac:dyDescent="0.25">
      <c r="A66" s="120" t="s">
        <v>383</v>
      </c>
      <c r="C66" s="32" t="str">
        <f>'Calc-S'!AF66</f>
        <v>0.06, (-0.81, 0.85)</v>
      </c>
      <c r="E66" s="85"/>
    </row>
    <row r="67" spans="1:5" x14ac:dyDescent="0.25">
      <c r="A67" s="120" t="s">
        <v>384</v>
      </c>
      <c r="C67" s="32" t="str">
        <f>'Calc-S'!AF67</f>
        <v>0.2, (-0.77, 0.89)</v>
      </c>
      <c r="E67" s="85"/>
    </row>
    <row r="68" spans="1:5" x14ac:dyDescent="0.25">
      <c r="A68" s="120" t="s">
        <v>385</v>
      </c>
      <c r="C68" s="32" t="str">
        <f>'Calc-S'!AF68</f>
        <v>0.34, (-0.13, 0.69)</v>
      </c>
      <c r="E68" s="85"/>
    </row>
    <row r="69" spans="1:5" x14ac:dyDescent="0.25">
      <c r="A69" s="121"/>
      <c r="E69" s="85"/>
    </row>
    <row r="70" spans="1:5" x14ac:dyDescent="0.25">
      <c r="A70" s="120" t="s">
        <v>323</v>
      </c>
      <c r="C70" s="32" t="str">
        <f>'Calc-S'!AF70</f>
        <v>0.35, (0.05, 0.59)</v>
      </c>
      <c r="E70"/>
    </row>
    <row r="71" spans="1:5" x14ac:dyDescent="0.25">
      <c r="A71" s="120"/>
    </row>
    <row r="72" spans="1:5" x14ac:dyDescent="0.25">
      <c r="A72" s="120" t="s">
        <v>322</v>
      </c>
      <c r="C72" s="32" t="str">
        <f>'Calc-S'!AF72</f>
        <v>0.35, (0.05, 0.59)</v>
      </c>
      <c r="E72"/>
    </row>
    <row r="73" spans="1:5" x14ac:dyDescent="0.25">
      <c r="A73" s="121"/>
      <c r="E73" s="85"/>
    </row>
    <row r="74" spans="1:5" x14ac:dyDescent="0.25">
      <c r="A74" s="121" t="s">
        <v>185</v>
      </c>
      <c r="C74" s="32" t="str">
        <f>'Calc-S'!AF74</f>
        <v>0.35, (0.14, 0.52)</v>
      </c>
      <c r="E74"/>
    </row>
    <row r="75" spans="1:5" x14ac:dyDescent="0.25">
      <c r="A75" s="121"/>
    </row>
    <row r="76" spans="1:5" x14ac:dyDescent="0.25">
      <c r="A76" s="119" t="s">
        <v>110</v>
      </c>
    </row>
    <row r="77" spans="1:5" x14ac:dyDescent="0.25">
      <c r="A77" s="120" t="s">
        <v>386</v>
      </c>
      <c r="C77" s="32" t="str">
        <f>'Calc-S'!AF77</f>
        <v>0.58, (-0.74, 0.98)</v>
      </c>
      <c r="E77" s="85"/>
    </row>
    <row r="78" spans="1:5" x14ac:dyDescent="0.25">
      <c r="A78" s="120" t="s">
        <v>387</v>
      </c>
      <c r="C78" s="32" t="str">
        <f>'Calc-S'!AF78</f>
        <v>0.31, (-0.39, 0.78)</v>
      </c>
      <c r="E78" s="85"/>
    </row>
    <row r="79" spans="1:5" x14ac:dyDescent="0.25">
      <c r="A79" s="120" t="s">
        <v>388</v>
      </c>
      <c r="C79" s="32" t="str">
        <f>'Calc-S'!AF79</f>
        <v>0.54, (0.19, 0.77)</v>
      </c>
      <c r="E79" s="85"/>
    </row>
    <row r="80" spans="1:5" x14ac:dyDescent="0.25">
      <c r="A80" s="120" t="s">
        <v>389</v>
      </c>
      <c r="C80" s="32" t="str">
        <f>'Calc-S'!AF80</f>
        <v>-0.14, (-0.77, 0.63)</v>
      </c>
      <c r="E80" s="85"/>
    </row>
    <row r="81" spans="1:5" x14ac:dyDescent="0.25">
      <c r="A81" s="120" t="s">
        <v>390</v>
      </c>
      <c r="C81" s="32" t="str">
        <f>'Calc-S'!AF81</f>
        <v>0.75, (0.47, 0.89)</v>
      </c>
      <c r="E81" s="85"/>
    </row>
    <row r="82" spans="1:5" x14ac:dyDescent="0.25">
      <c r="A82" s="120" t="s">
        <v>391</v>
      </c>
      <c r="C82" s="32" t="str">
        <f>'Calc-S'!AF82</f>
        <v>0.02, (-0.54, 0.57)</v>
      </c>
      <c r="E82" s="85"/>
    </row>
    <row r="83" spans="1:5" x14ac:dyDescent="0.25">
      <c r="A83" s="120" t="s">
        <v>392</v>
      </c>
      <c r="C83" s="32" t="str">
        <f>'Calc-S'!AF83</f>
        <v>0.79, (0.6, 0.89)</v>
      </c>
      <c r="E83" s="85"/>
    </row>
    <row r="84" spans="1:5" x14ac:dyDescent="0.25">
      <c r="A84" s="120" t="s">
        <v>393</v>
      </c>
      <c r="C84" s="32" t="str">
        <f>'Calc-S'!AF84</f>
        <v>0.18, (-0.59, 0.78)</v>
      </c>
      <c r="E84" s="85"/>
    </row>
    <row r="85" spans="1:5" x14ac:dyDescent="0.25">
      <c r="A85" s="120" t="s">
        <v>394</v>
      </c>
      <c r="C85" s="32" t="str">
        <f>'Calc-S'!AF85</f>
        <v>0.14, (-0.27, 0.5)</v>
      </c>
      <c r="E85" s="85"/>
    </row>
    <row r="86" spans="1:5" x14ac:dyDescent="0.25">
      <c r="A86" s="120" t="s">
        <v>395</v>
      </c>
      <c r="C86" s="32" t="str">
        <f>'Calc-S'!AF86</f>
        <v>0.19, (-0.28, 0.58)</v>
      </c>
      <c r="E86" s="85"/>
    </row>
    <row r="87" spans="1:5" x14ac:dyDescent="0.25">
      <c r="A87" s="120" t="s">
        <v>396</v>
      </c>
      <c r="C87" s="32" t="str">
        <f>'Calc-S'!AF87</f>
        <v>0.52, (-0.34, 0.91)</v>
      </c>
      <c r="E87" s="85"/>
    </row>
    <row r="88" spans="1:5" x14ac:dyDescent="0.25">
      <c r="A88" s="120" t="s">
        <v>397</v>
      </c>
      <c r="C88" s="32" t="str">
        <f>'Calc-S'!AF88</f>
        <v>-0.25, (-0.67, 0.3)</v>
      </c>
      <c r="E88" s="85"/>
    </row>
    <row r="89" spans="1:5" x14ac:dyDescent="0.25">
      <c r="A89" s="120" t="s">
        <v>398</v>
      </c>
      <c r="C89" s="32" t="str">
        <f>'Calc-S'!AF89</f>
        <v>0.39, (-0.81, 0.96)</v>
      </c>
      <c r="E89" s="85"/>
    </row>
    <row r="90" spans="1:5" x14ac:dyDescent="0.25">
      <c r="A90" s="120" t="s">
        <v>399</v>
      </c>
      <c r="C90" s="32" t="str">
        <f>'Calc-S'!AF90</f>
        <v>-0.32, (-0.97, 0.89)</v>
      </c>
      <c r="E90" s="85"/>
    </row>
    <row r="91" spans="1:5" x14ac:dyDescent="0.25">
      <c r="A91" s="120" t="s">
        <v>400</v>
      </c>
      <c r="C91" s="32" t="str">
        <f>'Calc-S'!AF91</f>
        <v>0.43, (-0.75, 0.95)</v>
      </c>
      <c r="E91" s="85"/>
    </row>
    <row r="92" spans="1:5" x14ac:dyDescent="0.25">
      <c r="A92" s="120" t="s">
        <v>401</v>
      </c>
      <c r="C92" s="32" t="str">
        <f>'Calc-S'!AF92</f>
        <v>0.64, (-0.82, 0.99)</v>
      </c>
      <c r="E92" s="85"/>
    </row>
    <row r="93" spans="1:5" x14ac:dyDescent="0.25">
      <c r="A93" s="120" t="s">
        <v>402</v>
      </c>
      <c r="C93" s="32" t="str">
        <f>'Calc-S'!AF93</f>
        <v>0.14, (-0.54, 0.71)</v>
      </c>
      <c r="E93" s="85"/>
    </row>
    <row r="94" spans="1:5" x14ac:dyDescent="0.25">
      <c r="A94" s="120" t="s">
        <v>403</v>
      </c>
      <c r="C94" s="32" t="str">
        <f>'Calc-S'!AF94</f>
        <v>0.03, (-1, 1)</v>
      </c>
      <c r="E94" s="85"/>
    </row>
    <row r="95" spans="1:5" x14ac:dyDescent="0.25">
      <c r="A95" s="121"/>
      <c r="E95" s="85"/>
    </row>
    <row r="96" spans="1:5" x14ac:dyDescent="0.25">
      <c r="A96" s="120" t="s">
        <v>323</v>
      </c>
      <c r="C96" s="32" t="str">
        <f>'Calc-S'!AF96</f>
        <v>0.55, (0.37, 0.69)</v>
      </c>
      <c r="E96"/>
    </row>
    <row r="97" spans="1:5" x14ac:dyDescent="0.25">
      <c r="A97" s="120"/>
    </row>
    <row r="98" spans="1:5" x14ac:dyDescent="0.25">
      <c r="A98" s="120" t="s">
        <v>322</v>
      </c>
      <c r="C98" s="32" t="str">
        <f>'Calc-S'!AF98</f>
        <v>0.18, (-0.45, 0.69)</v>
      </c>
      <c r="E98"/>
    </row>
    <row r="99" spans="1:5" x14ac:dyDescent="0.25">
      <c r="A99" s="121"/>
      <c r="E99" s="85"/>
    </row>
    <row r="100" spans="1:5" x14ac:dyDescent="0.25">
      <c r="A100" s="121" t="s">
        <v>185</v>
      </c>
      <c r="C100" s="32" t="str">
        <f>'Calc-S'!AF100</f>
        <v>0.46, (0.27, 0.61)</v>
      </c>
      <c r="E100"/>
    </row>
    <row r="101" spans="1:5" x14ac:dyDescent="0.25">
      <c r="A101" s="121"/>
    </row>
    <row r="102" spans="1:5" x14ac:dyDescent="0.25">
      <c r="A102" s="119" t="s">
        <v>326</v>
      </c>
    </row>
    <row r="103" spans="1:5" x14ac:dyDescent="0.25">
      <c r="A103" s="120" t="s">
        <v>404</v>
      </c>
      <c r="C103" s="32" t="str">
        <f>'Calc-S'!AF103</f>
        <v>0.16, (-0.99, 0.99)</v>
      </c>
      <c r="E103" s="85"/>
    </row>
    <row r="104" spans="1:5" x14ac:dyDescent="0.25">
      <c r="A104" s="120" t="s">
        <v>405</v>
      </c>
      <c r="C104" s="32" t="str">
        <f>'Calc-S'!AF104</f>
        <v>0.16, (-0.89, 0.94)</v>
      </c>
      <c r="E104" s="85"/>
    </row>
    <row r="105" spans="1:5" x14ac:dyDescent="0.25">
      <c r="A105" s="120" t="s">
        <v>406</v>
      </c>
      <c r="C105" s="32" t="str">
        <f>'Calc-S'!AF105</f>
        <v>0.3, (-0.25, 0.7)</v>
      </c>
      <c r="E105" s="85"/>
    </row>
    <row r="106" spans="1:5" x14ac:dyDescent="0.25">
      <c r="A106" s="120" t="s">
        <v>407</v>
      </c>
      <c r="C106" s="32" t="str">
        <f>'Calc-S'!AF106</f>
        <v>0.53, (-0.77, 0.98)</v>
      </c>
      <c r="E106" s="85"/>
    </row>
    <row r="107" spans="1:5" x14ac:dyDescent="0.25">
      <c r="A107" s="120" t="s">
        <v>408</v>
      </c>
      <c r="C107" s="32" t="str">
        <f>'Calc-S'!AF107</f>
        <v>-0.42, (-1, 1)</v>
      </c>
      <c r="E107" s="85"/>
    </row>
    <row r="108" spans="1:5" x14ac:dyDescent="0.25">
      <c r="A108" s="120" t="s">
        <v>409</v>
      </c>
      <c r="C108" s="32" t="str">
        <f>'Calc-S'!AF108</f>
        <v>0.1, (-0.57, 0.69)</v>
      </c>
      <c r="E108" s="85"/>
    </row>
    <row r="109" spans="1:5" x14ac:dyDescent="0.25">
      <c r="A109" s="120" t="s">
        <v>410</v>
      </c>
      <c r="C109" s="32" t="str">
        <f>'Calc-S'!AF109</f>
        <v>-0.58, (-0.98, 0.74)</v>
      </c>
      <c r="E109" s="85"/>
    </row>
    <row r="110" spans="1:5" x14ac:dyDescent="0.25">
      <c r="A110" s="120" t="s">
        <v>411</v>
      </c>
      <c r="C110" s="32" t="str">
        <f>'Calc-S'!AF110</f>
        <v>-0.7, (-0.95, 0.1)</v>
      </c>
      <c r="E110" s="85"/>
    </row>
    <row r="111" spans="1:5" x14ac:dyDescent="0.25">
      <c r="A111" s="120" t="s">
        <v>412</v>
      </c>
      <c r="C111" s="32" t="str">
        <f>'Calc-S'!AF111</f>
        <v>-0.07, (-0.68, 0.6)</v>
      </c>
      <c r="E111" s="85"/>
    </row>
    <row r="112" spans="1:5" x14ac:dyDescent="0.25">
      <c r="A112" s="120" t="s">
        <v>413</v>
      </c>
      <c r="C112" s="32" t="str">
        <f>'Calc-S'!AF112</f>
        <v>0.2, (-0.37, 0.66)</v>
      </c>
      <c r="E112" s="85"/>
    </row>
    <row r="113" spans="1:5" x14ac:dyDescent="0.25">
      <c r="A113" s="120" t="s">
        <v>414</v>
      </c>
      <c r="C113" s="32" t="str">
        <f>'Calc-S'!AF113</f>
        <v>0.1, (-0.69, 0.78)</v>
      </c>
      <c r="E113" s="85"/>
    </row>
    <row r="114" spans="1:5" x14ac:dyDescent="0.25">
      <c r="A114" s="120" t="s">
        <v>415</v>
      </c>
      <c r="C114" s="32" t="str">
        <f>'Calc-S'!AF114</f>
        <v>0.27, (-0.35, 0.73)</v>
      </c>
      <c r="E114" s="85"/>
    </row>
    <row r="115" spans="1:5" x14ac:dyDescent="0.25">
      <c r="A115" s="120" t="s">
        <v>416</v>
      </c>
      <c r="C115" s="32" t="str">
        <f>'Calc-S'!AF115</f>
        <v>0.16, (-0.99, 0.99)</v>
      </c>
      <c r="E115" s="85"/>
    </row>
    <row r="116" spans="1:5" x14ac:dyDescent="0.25">
      <c r="A116" s="120" t="s">
        <v>417</v>
      </c>
      <c r="C116" s="32" t="str">
        <f>'Calc-S'!AF116</f>
        <v>-0.04, (-0.71, 0.67)</v>
      </c>
      <c r="E116" s="85"/>
    </row>
    <row r="117" spans="1:5" x14ac:dyDescent="0.25">
      <c r="A117" s="120" t="s">
        <v>418</v>
      </c>
      <c r="C117" s="32" t="str">
        <f>'Calc-S'!AF117</f>
        <v>0.17, (-0.67, 0.82)</v>
      </c>
      <c r="E117" s="85"/>
    </row>
    <row r="118" spans="1:5" x14ac:dyDescent="0.25">
      <c r="A118" s="120" t="s">
        <v>419</v>
      </c>
      <c r="C118" s="32" t="str">
        <f>'Calc-S'!AF118</f>
        <v>-0.35, (-0.85, 0.49)</v>
      </c>
      <c r="E118" s="85"/>
    </row>
    <row r="119" spans="1:5" x14ac:dyDescent="0.25">
      <c r="A119" s="120" t="s">
        <v>420</v>
      </c>
      <c r="C119" s="32" t="str">
        <f>'Calc-S'!AF119</f>
        <v>-0.01, (-0.82, 0.82)</v>
      </c>
      <c r="E119" s="85"/>
    </row>
    <row r="120" spans="1:5" x14ac:dyDescent="0.25">
      <c r="A120" s="120" t="s">
        <v>421</v>
      </c>
      <c r="C120" s="32" t="str">
        <f>'Calc-S'!AF120</f>
        <v>0.32, (-0.74, 0.92)</v>
      </c>
      <c r="E120" s="85"/>
    </row>
    <row r="121" spans="1:5" x14ac:dyDescent="0.25">
      <c r="A121" s="120" t="s">
        <v>422</v>
      </c>
      <c r="C121" s="32" t="str">
        <f>'Calc-S'!AF121</f>
        <v>-0.03, (-0.35, 0.29)</v>
      </c>
      <c r="E121" s="85"/>
    </row>
    <row r="122" spans="1:5" x14ac:dyDescent="0.25">
      <c r="A122" s="120" t="s">
        <v>423</v>
      </c>
      <c r="C122" s="32" t="str">
        <f>'Calc-S'!AF122</f>
        <v>-0.04, (-0.85, 0.83)</v>
      </c>
      <c r="E122" s="85"/>
    </row>
    <row r="123" spans="1:5" x14ac:dyDescent="0.25">
      <c r="A123" s="120" t="s">
        <v>424</v>
      </c>
      <c r="C123" s="32" t="str">
        <f>'Calc-S'!AF123</f>
        <v>0.17, (-0.2, 0.5)</v>
      </c>
      <c r="E123" s="85"/>
    </row>
    <row r="124" spans="1:5" x14ac:dyDescent="0.25">
      <c r="A124" s="120" t="s">
        <v>425</v>
      </c>
      <c r="C124" s="32" t="str">
        <f>'Calc-S'!AF124</f>
        <v>-0.03, (-0.55, 0.51)</v>
      </c>
      <c r="E124" s="85"/>
    </row>
    <row r="125" spans="1:5" x14ac:dyDescent="0.25">
      <c r="A125" s="120" t="s">
        <v>426</v>
      </c>
      <c r="C125" s="32" t="str">
        <f>'Calc-S'!AF125</f>
        <v>0.31, (0, 0.57)</v>
      </c>
      <c r="E125" s="85"/>
    </row>
    <row r="126" spans="1:5" x14ac:dyDescent="0.25">
      <c r="A126" s="120" t="s">
        <v>427</v>
      </c>
      <c r="C126" s="32" t="str">
        <f>'Calc-S'!AF126</f>
        <v>0.1, (-0.61, 0.72)</v>
      </c>
      <c r="E126" s="85"/>
    </row>
    <row r="127" spans="1:5" x14ac:dyDescent="0.25">
      <c r="A127" s="120" t="s">
        <v>428</v>
      </c>
      <c r="C127" s="32" t="str">
        <f>'Calc-S'!AF127</f>
        <v>0.33, (-0.16, 0.69)</v>
      </c>
      <c r="E127" s="85"/>
    </row>
    <row r="128" spans="1:5" x14ac:dyDescent="0.25">
      <c r="A128" s="121"/>
      <c r="E128" s="85"/>
    </row>
    <row r="129" spans="1:5" x14ac:dyDescent="0.25">
      <c r="A129" s="120" t="s">
        <v>323</v>
      </c>
      <c r="C129" s="32" t="str">
        <f>'Calc-S'!AF129</f>
        <v>0.1, (-0.51, 0.64)</v>
      </c>
      <c r="E129"/>
    </row>
    <row r="130" spans="1:5" x14ac:dyDescent="0.25">
      <c r="A130" s="120"/>
    </row>
    <row r="131" spans="1:5" x14ac:dyDescent="0.25">
      <c r="A131" s="120" t="s">
        <v>322</v>
      </c>
      <c r="C131" s="32" t="str">
        <f>'Calc-S'!AF131</f>
        <v>0.22, (-0.21, 0.58)</v>
      </c>
      <c r="E131"/>
    </row>
    <row r="132" spans="1:5" x14ac:dyDescent="0.25">
      <c r="A132" s="121"/>
      <c r="E132" s="85"/>
    </row>
    <row r="133" spans="1:5" x14ac:dyDescent="0.25">
      <c r="A133" s="121" t="s">
        <v>185</v>
      </c>
      <c r="C133" s="32" t="str">
        <f>'Calc-S'!AF133</f>
        <v>0.2, (-0.1, 0.46)</v>
      </c>
      <c r="E133"/>
    </row>
    <row r="134" spans="1:5" x14ac:dyDescent="0.25">
      <c r="A134" s="121"/>
    </row>
    <row r="135" spans="1:5" x14ac:dyDescent="0.25">
      <c r="A135" s="119" t="s">
        <v>304</v>
      </c>
    </row>
    <row r="136" spans="1:5" x14ac:dyDescent="0.25">
      <c r="A136" s="120" t="s">
        <v>429</v>
      </c>
      <c r="C136" s="32" t="str">
        <f>'Calc-S'!AF136</f>
        <v>0.3, (-0.55, 0.85)</v>
      </c>
      <c r="E136" s="85"/>
    </row>
    <row r="137" spans="1:5" x14ac:dyDescent="0.25">
      <c r="A137" s="120" t="s">
        <v>430</v>
      </c>
      <c r="C137" s="32" t="str">
        <f>'Calc-S'!AF137</f>
        <v>0.12, (-0.96, 0.98)</v>
      </c>
      <c r="E137" s="85"/>
    </row>
    <row r="138" spans="1:5" x14ac:dyDescent="0.25">
      <c r="A138" s="120" t="s">
        <v>431</v>
      </c>
      <c r="C138" s="32" t="str">
        <f>'Calc-S'!AF138</f>
        <v>0.38, (-0.44, 0.85)</v>
      </c>
      <c r="E138" s="85"/>
    </row>
    <row r="139" spans="1:5" x14ac:dyDescent="0.25">
      <c r="A139" s="120" t="s">
        <v>432</v>
      </c>
      <c r="C139" s="32" t="str">
        <f>'Calc-S'!AF139</f>
        <v>0.64, (-0.44, 0.96)</v>
      </c>
      <c r="E139" s="85"/>
    </row>
    <row r="140" spans="1:5" x14ac:dyDescent="0.25">
      <c r="A140" s="120" t="s">
        <v>433</v>
      </c>
      <c r="C140" s="32" t="str">
        <f>'Calc-S'!AF140</f>
        <v>0.7, (-0.42, 0.97)</v>
      </c>
      <c r="E140" s="85"/>
    </row>
    <row r="141" spans="1:5" x14ac:dyDescent="0.25">
      <c r="A141" s="120" t="s">
        <v>434</v>
      </c>
      <c r="C141" s="32" t="str">
        <f>'Calc-S'!AF141</f>
        <v>0.69, (-0.34, 0.97)</v>
      </c>
      <c r="E141" s="85"/>
    </row>
    <row r="142" spans="1:5" x14ac:dyDescent="0.25">
      <c r="A142" s="120" t="s">
        <v>435</v>
      </c>
      <c r="C142" s="32" t="str">
        <f>'Calc-S'!AF142</f>
        <v>0.37, (-0.68, 0.92)</v>
      </c>
      <c r="E142" s="85"/>
    </row>
    <row r="143" spans="1:5" x14ac:dyDescent="0.25">
      <c r="A143" s="120" t="s">
        <v>436</v>
      </c>
      <c r="C143" s="32" t="str">
        <f>'Calc-S'!AF143</f>
        <v>0.44, (-0.59, 0.93)</v>
      </c>
      <c r="E143" s="85"/>
    </row>
    <row r="144" spans="1:5" x14ac:dyDescent="0.25">
      <c r="A144" s="120" t="s">
        <v>437</v>
      </c>
      <c r="C144" s="32" t="str">
        <f>'Calc-S'!AF144</f>
        <v>0.11, (-0.64, 0.75)</v>
      </c>
      <c r="E144" s="85"/>
    </row>
    <row r="145" spans="1:5" x14ac:dyDescent="0.25">
      <c r="A145" s="120" t="s">
        <v>438</v>
      </c>
      <c r="C145" s="32" t="str">
        <f>'Calc-S'!AF145</f>
        <v>0.1, (-0.77, 0.84)</v>
      </c>
      <c r="E145" s="85"/>
    </row>
    <row r="146" spans="1:5" x14ac:dyDescent="0.25">
      <c r="A146" s="120" t="s">
        <v>439</v>
      </c>
      <c r="C146" s="32" t="str">
        <f>'Calc-S'!AF146</f>
        <v>0.43, (0.1, 0.67)</v>
      </c>
      <c r="E146" s="85"/>
    </row>
    <row r="147" spans="1:5" x14ac:dyDescent="0.25">
      <c r="A147" s="120" t="s">
        <v>440</v>
      </c>
      <c r="C147" s="32" t="str">
        <f>'Calc-S'!AF147</f>
        <v>0.18, (-0.36, 0.63)</v>
      </c>
      <c r="E147" s="85"/>
    </row>
    <row r="148" spans="1:5" x14ac:dyDescent="0.25">
      <c r="A148" s="120" t="s">
        <v>441</v>
      </c>
      <c r="C148" s="32" t="str">
        <f>'Calc-S'!AF148</f>
        <v>0.28, (-0.73, 0.9)</v>
      </c>
      <c r="E148" s="85"/>
    </row>
    <row r="149" spans="1:5" x14ac:dyDescent="0.25">
      <c r="A149" s="120" t="s">
        <v>442</v>
      </c>
      <c r="C149" s="32" t="str">
        <f>'Calc-S'!AF149</f>
        <v>0.52, (-0.12, 0.85)</v>
      </c>
      <c r="E149" s="85"/>
    </row>
    <row r="150" spans="1:5" x14ac:dyDescent="0.25">
      <c r="A150" s="120" t="s">
        <v>443</v>
      </c>
      <c r="C150" s="32" t="str">
        <f>'Calc-S'!AF150</f>
        <v>-0.26, (-0.87, 0.66)</v>
      </c>
      <c r="E150" s="85"/>
    </row>
    <row r="151" spans="1:5" x14ac:dyDescent="0.25">
      <c r="A151" s="120" t="s">
        <v>444</v>
      </c>
      <c r="C151" s="32" t="str">
        <f>'Calc-S'!AF151</f>
        <v>-0.06, (-0.66, 0.58)</v>
      </c>
      <c r="E151" s="85"/>
    </row>
    <row r="152" spans="1:5" x14ac:dyDescent="0.25">
      <c r="A152" s="120" t="s">
        <v>445</v>
      </c>
      <c r="C152" s="32" t="str">
        <f>'Calc-S'!AF152</f>
        <v>-0.22, (-0.76, 0.5)</v>
      </c>
      <c r="E152" s="85"/>
    </row>
    <row r="153" spans="1:5" x14ac:dyDescent="0.25">
      <c r="A153" s="120" t="s">
        <v>446</v>
      </c>
      <c r="C153" s="32" t="str">
        <f>'Calc-S'!AF153</f>
        <v>-0.43, (-0.99, 0.94)</v>
      </c>
      <c r="E153" s="85"/>
    </row>
    <row r="154" spans="1:5" x14ac:dyDescent="0.25">
      <c r="A154" s="120" t="s">
        <v>447</v>
      </c>
      <c r="C154" s="32" t="str">
        <f>'Calc-S'!AF154</f>
        <v>-0.11, (-0.43, 0.24)</v>
      </c>
      <c r="E154" s="85"/>
    </row>
    <row r="155" spans="1:5" x14ac:dyDescent="0.25">
      <c r="A155" s="120" t="s">
        <v>448</v>
      </c>
      <c r="C155" s="32" t="str">
        <f>'Calc-S'!AF155</f>
        <v>-0.16, (-0.77, 0.6)</v>
      </c>
      <c r="E155" s="85"/>
    </row>
    <row r="156" spans="1:5" x14ac:dyDescent="0.25">
      <c r="A156" s="120" t="s">
        <v>449</v>
      </c>
      <c r="C156" s="32" t="str">
        <f>'Calc-S'!AF156</f>
        <v>0.64, (-1, 1)</v>
      </c>
      <c r="E156" s="85"/>
    </row>
    <row r="157" spans="1:5" x14ac:dyDescent="0.25">
      <c r="A157" s="120" t="s">
        <v>450</v>
      </c>
      <c r="C157" s="32" t="str">
        <f>'Calc-S'!AF157</f>
        <v>-0.02, (-0.74, 0.72)</v>
      </c>
      <c r="E157" s="85"/>
    </row>
    <row r="158" spans="1:5" x14ac:dyDescent="0.25">
      <c r="A158" s="120" t="s">
        <v>451</v>
      </c>
      <c r="C158" s="32" t="str">
        <f>'Calc-S'!AF158</f>
        <v>0.8, (-0.96, 1)</v>
      </c>
      <c r="E158" s="85"/>
    </row>
    <row r="159" spans="1:5" x14ac:dyDescent="0.25">
      <c r="A159" s="120" t="s">
        <v>452</v>
      </c>
      <c r="C159" s="32" t="str">
        <f>'Calc-S'!AF159</f>
        <v>0.11, (-0.79, 0.86)</v>
      </c>
      <c r="E159" s="85"/>
    </row>
    <row r="160" spans="1:5" x14ac:dyDescent="0.25">
      <c r="A160" s="120" t="s">
        <v>453</v>
      </c>
      <c r="C160" s="32" t="str">
        <f>'Calc-S'!AF160</f>
        <v>0.05, (-0.67, 0.72)</v>
      </c>
      <c r="E160" s="85"/>
    </row>
    <row r="161" spans="1:5" x14ac:dyDescent="0.25">
      <c r="A161" s="120" t="s">
        <v>454</v>
      </c>
      <c r="C161" s="32" t="str">
        <f>'Calc-S'!AF161</f>
        <v>-0.6, (-0.99, 0.8)</v>
      </c>
      <c r="E161" s="85"/>
    </row>
    <row r="162" spans="1:5" x14ac:dyDescent="0.25">
      <c r="A162" s="120" t="s">
        <v>455</v>
      </c>
      <c r="C162" s="32" t="str">
        <f>'Calc-S'!AF162</f>
        <v>0.12, (-0.96, 0.98)</v>
      </c>
      <c r="E162" s="85"/>
    </row>
    <row r="163" spans="1:5" x14ac:dyDescent="0.25">
      <c r="A163" s="120" t="s">
        <v>456</v>
      </c>
      <c r="C163" s="32" t="str">
        <f>'Calc-S'!AF163</f>
        <v>-0.11, (-0.78, 0.67)</v>
      </c>
      <c r="E163" s="85"/>
    </row>
    <row r="164" spans="1:5" x14ac:dyDescent="0.25">
      <c r="A164" s="120" t="s">
        <v>457</v>
      </c>
      <c r="C164" s="32" t="str">
        <f>'Calc-S'!AF164</f>
        <v>0.69, (-0.93, 1)</v>
      </c>
      <c r="E164" s="85"/>
    </row>
    <row r="165" spans="1:5" x14ac:dyDescent="0.25">
      <c r="A165" s="120" t="s">
        <v>458</v>
      </c>
      <c r="C165" s="32" t="str">
        <f>'Calc-S'!AF165</f>
        <v>-0.58, (-0.99, 0.84)</v>
      </c>
      <c r="E165" s="85"/>
    </row>
    <row r="166" spans="1:5" x14ac:dyDescent="0.25">
      <c r="A166" s="120" t="s">
        <v>459</v>
      </c>
      <c r="C166" s="32" t="str">
        <f>'Calc-S'!AF166</f>
        <v>0.54, (-0.91, 0.99)</v>
      </c>
      <c r="E166" s="85"/>
    </row>
    <row r="167" spans="1:5" x14ac:dyDescent="0.25">
      <c r="A167" s="120" t="s">
        <v>460</v>
      </c>
      <c r="C167" s="32" t="str">
        <f>'Calc-S'!AF167</f>
        <v>-0.55, (-0.92, 0.32)</v>
      </c>
      <c r="E167" s="85"/>
    </row>
    <row r="168" spans="1:5" x14ac:dyDescent="0.25">
      <c r="A168" s="120" t="s">
        <v>461</v>
      </c>
      <c r="C168" s="32" t="str">
        <f>'Calc-S'!AF168</f>
        <v>-0.58, (-0.93, 0.29)</v>
      </c>
      <c r="E168" s="85"/>
    </row>
    <row r="169" spans="1:5" x14ac:dyDescent="0.25">
      <c r="A169" s="120" t="s">
        <v>462</v>
      </c>
      <c r="C169" s="32" t="str">
        <f>'Calc-S'!AF169</f>
        <v>0.08, (-0.97, 0.98)</v>
      </c>
      <c r="E169" s="85"/>
    </row>
    <row r="170" spans="1:5" x14ac:dyDescent="0.25">
      <c r="A170" s="120" t="s">
        <v>463</v>
      </c>
      <c r="C170" s="32" t="str">
        <f>'Calc-S'!AF170</f>
        <v>-0.03, (-0.26, 0.2)</v>
      </c>
      <c r="E170" s="85"/>
    </row>
    <row r="171" spans="1:5" x14ac:dyDescent="0.25">
      <c r="A171" s="120" t="s">
        <v>464</v>
      </c>
      <c r="C171" s="32" t="str">
        <f>'Calc-S'!AF171</f>
        <v>0.15, (-0.2, 0.47)</v>
      </c>
      <c r="E171" s="85"/>
    </row>
    <row r="172" spans="1:5" x14ac:dyDescent="0.25">
      <c r="A172" s="120" t="s">
        <v>465</v>
      </c>
      <c r="C172" s="32" t="str">
        <f>'Calc-S'!AF172</f>
        <v>0.05, (-0.6, 0.66)</v>
      </c>
      <c r="E172" s="85"/>
    </row>
    <row r="173" spans="1:5" x14ac:dyDescent="0.25">
      <c r="A173" s="120" t="s">
        <v>466</v>
      </c>
      <c r="C173" s="32" t="str">
        <f>'Calc-S'!AF173</f>
        <v>0.25, (-0.22, 0.63)</v>
      </c>
      <c r="E173" s="85"/>
    </row>
    <row r="174" spans="1:5" x14ac:dyDescent="0.25">
      <c r="A174" s="121"/>
      <c r="E174" s="85"/>
    </row>
    <row r="175" spans="1:5" x14ac:dyDescent="0.25">
      <c r="A175" s="120" t="s">
        <v>323</v>
      </c>
      <c r="C175" s="32" t="str">
        <f>'Calc-S'!AF175</f>
        <v>0.2, (-0.12, 0.48)</v>
      </c>
      <c r="E175"/>
    </row>
    <row r="176" spans="1:5" x14ac:dyDescent="0.25">
      <c r="A176" s="120"/>
    </row>
    <row r="177" spans="1:5" x14ac:dyDescent="0.25">
      <c r="A177" s="120" t="s">
        <v>322</v>
      </c>
      <c r="C177" s="32" t="str">
        <f>'Calc-S'!AF177</f>
        <v>0.24, (-0.14, 0.55)</v>
      </c>
      <c r="E177"/>
    </row>
    <row r="178" spans="1:5" x14ac:dyDescent="0.25">
      <c r="A178" s="121"/>
      <c r="E178" s="85"/>
    </row>
    <row r="179" spans="1:5" x14ac:dyDescent="0.25">
      <c r="A179" s="121" t="s">
        <v>185</v>
      </c>
      <c r="C179" s="32" t="str">
        <f>'Calc-S'!AF179</f>
        <v>0.21, (-0.03, 0.43)</v>
      </c>
      <c r="E179"/>
    </row>
    <row r="180" spans="1:5" x14ac:dyDescent="0.25">
      <c r="A180" s="121"/>
      <c r="E180"/>
    </row>
    <row r="181" spans="1:5" x14ac:dyDescent="0.25">
      <c r="A181" s="119" t="s">
        <v>327</v>
      </c>
      <c r="C181" s="32" t="str">
        <f>'Calc-S'!AF181</f>
        <v>0.32, (0.2, 0.43)</v>
      </c>
      <c r="E181"/>
    </row>
    <row r="182" spans="1:5" x14ac:dyDescent="0.25">
      <c r="A182" s="119"/>
    </row>
    <row r="183" spans="1:5" x14ac:dyDescent="0.25">
      <c r="A183" s="119" t="s">
        <v>328</v>
      </c>
      <c r="C183" s="32" t="str">
        <f>'Calc-S'!AF183</f>
        <v>0.27, (0.12, 0.42)</v>
      </c>
      <c r="E183"/>
    </row>
    <row r="184" spans="1:5" x14ac:dyDescent="0.25">
      <c r="A184" s="119"/>
      <c r="E184" s="85"/>
    </row>
    <row r="185" spans="1:5" x14ac:dyDescent="0.25">
      <c r="A185" s="119" t="s">
        <v>467</v>
      </c>
      <c r="C185" s="32" t="str">
        <f>'Calc-S'!AF185</f>
        <v>0.3, (0.21, 0.39)</v>
      </c>
      <c r="E185"/>
    </row>
  </sheetData>
  <phoneticPr fontId="17" type="noConversion"/>
  <pageMargins left="0.75" right="0.75" top="1" bottom="1" header="0.5" footer="0.5"/>
  <pageSetup scale="80" orientation="portrait" horizontalDpi="4294967292" verticalDpi="4294967292"/>
  <rowBreaks count="1" manualBreakCount="1">
    <brk id="53" max="16383" man="1"/>
  </rowBreaks>
  <colBreaks count="1" manualBreakCount="1">
    <brk id="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workbookViewId="0">
      <selection activeCell="AF138" sqref="AF1:AF1048576"/>
    </sheetView>
  </sheetViews>
  <sheetFormatPr defaultColWidth="10.875" defaultRowHeight="15.75" x14ac:dyDescent="0.25"/>
  <cols>
    <col min="1" max="1" width="8.625" style="2" customWidth="1"/>
    <col min="2" max="2" width="6.375" style="2" bestFit="1" customWidth="1"/>
    <col min="3" max="3" width="9.125" style="2" bestFit="1" customWidth="1"/>
    <col min="4" max="4" width="11.875" style="2" customWidth="1"/>
    <col min="5" max="5" width="6.375" style="2" bestFit="1" customWidth="1"/>
    <col min="6" max="6" width="5.125" style="2" customWidth="1"/>
    <col min="7" max="7" width="6.5" style="2" customWidth="1"/>
    <col min="8" max="8" width="6.125" style="117" customWidth="1"/>
    <col min="9" max="9" width="10.5" style="2" customWidth="1"/>
    <col min="10" max="10" width="6.625" style="2" customWidth="1"/>
    <col min="11" max="11" width="6.375" style="2" customWidth="1"/>
    <col min="12" max="12" width="8.875" style="2" customWidth="1"/>
    <col min="13" max="13" width="6.5" style="2" customWidth="1"/>
    <col min="14" max="14" width="6.125" style="2" customWidth="1"/>
    <col min="15" max="15" width="10.5" style="2" customWidth="1"/>
    <col min="16" max="16" width="10.875" style="2"/>
    <col min="17" max="17" width="31.5" style="2" bestFit="1" customWidth="1"/>
    <col min="18" max="18" width="15.375" style="2" customWidth="1"/>
    <col min="19" max="19" width="10.875" style="75"/>
    <col min="20" max="28" width="10.875" style="2"/>
    <col min="29" max="29" width="11.125" style="2" bestFit="1" customWidth="1"/>
    <col min="30" max="30" width="11.125" style="2" customWidth="1"/>
    <col min="31" max="31" width="11.125" style="2" bestFit="1" customWidth="1"/>
    <col min="32" max="32" width="17.125" style="2" bestFit="1" customWidth="1"/>
    <col min="33" max="33" width="11.125" style="2" bestFit="1" customWidth="1"/>
    <col min="34" max="16384" width="10.875" style="2"/>
  </cols>
  <sheetData>
    <row r="1" spans="1:73" ht="12.95" customHeight="1" x14ac:dyDescent="0.25">
      <c r="A1" s="1"/>
      <c r="G1" s="123" t="s">
        <v>0</v>
      </c>
      <c r="H1" s="123"/>
      <c r="I1" s="123"/>
      <c r="J1" s="123"/>
      <c r="K1" s="123"/>
      <c r="L1" s="123"/>
      <c r="M1" s="123"/>
      <c r="N1" s="123"/>
      <c r="O1" s="123"/>
    </row>
    <row r="2" spans="1:73" ht="12.9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24" t="s">
        <v>9</v>
      </c>
      <c r="H2" s="124"/>
      <c r="I2" s="124"/>
      <c r="J2" s="124"/>
      <c r="K2" s="124"/>
      <c r="L2" s="124"/>
      <c r="M2" s="124"/>
      <c r="N2" s="124"/>
      <c r="O2" s="124"/>
      <c r="AF2" s="100" t="s">
        <v>330</v>
      </c>
      <c r="AK2" s="2" t="s">
        <v>333</v>
      </c>
      <c r="AL2" s="2" t="s">
        <v>248</v>
      </c>
      <c r="AM2" s="2" t="s">
        <v>332</v>
      </c>
    </row>
    <row r="3" spans="1:73" ht="12.95" customHeight="1" x14ac:dyDescent="0.25">
      <c r="A3" s="6" t="s">
        <v>10</v>
      </c>
      <c r="B3" s="7"/>
      <c r="C3" s="7"/>
      <c r="D3" s="7"/>
      <c r="E3" s="7"/>
      <c r="F3" s="8"/>
      <c r="G3" s="9"/>
      <c r="H3" s="110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J3" s="2">
        <f>MODE(AJ6:AJ16,AJ27:AJ38,AJ57:AJ68,AJ77:AJ94,AJ122:AJ127,AJ156:AJ173)</f>
        <v>4</v>
      </c>
    </row>
    <row r="4" spans="1:73" ht="12.95" customHeight="1" x14ac:dyDescent="0.25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0.04</v>
      </c>
      <c r="H4" s="15">
        <v>0.11</v>
      </c>
      <c r="I4" s="14" t="s">
        <v>17</v>
      </c>
      <c r="J4" s="12"/>
      <c r="K4" s="15"/>
      <c r="L4" s="14"/>
      <c r="M4" s="12"/>
      <c r="N4" s="16"/>
      <c r="O4" s="14"/>
      <c r="Q4" s="2" t="str">
        <f>CONCATENATE(B8,"_",E8,"_",D8,"_",C8)</f>
        <v>EAS_Men_MMSE_PEF</v>
      </c>
      <c r="S4" s="75">
        <f>G8</f>
        <v>-0.05</v>
      </c>
      <c r="T4" s="2">
        <v>182</v>
      </c>
      <c r="U4" s="102">
        <f>W4*H8/G8</f>
        <v>6.0050075134189584E-2</v>
      </c>
      <c r="V4" s="76"/>
      <c r="W4" s="74">
        <f>0.5*LN((1+S4)/(1-S4))</f>
        <v>-5.0041729278491327E-2</v>
      </c>
      <c r="X4" s="74">
        <f>S4-(EXP(2*Z4)-1)/(EXP(2*Z4)+1)</f>
        <v>0.11618416952488268</v>
      </c>
      <c r="Y4" s="74">
        <f>(EXP(2*AA4)-1)/(EXP(2*AA4)+1)-S4</f>
        <v>0.11755337668731482</v>
      </c>
      <c r="Z4" s="74">
        <f>W4-AB4</f>
        <v>-0.16773987654150291</v>
      </c>
      <c r="AA4" s="74">
        <f>W4+AB4</f>
        <v>6.7656417984520267E-2</v>
      </c>
      <c r="AB4" s="74">
        <f>1.96*U4</f>
        <v>0.11769814726301159</v>
      </c>
      <c r="AC4" s="78">
        <f>IF(W4&lt;&gt;"",ABS(W4/U4^2),"")</f>
        <v>13.877307088644658</v>
      </c>
      <c r="AD4" s="78"/>
      <c r="AE4" s="78">
        <f>U4^-2</f>
        <v>277.314698926868</v>
      </c>
      <c r="AF4" s="79" t="str">
        <f>CONCATENATE(ROUND(S4,2),", (",ROUND(-(X4-S4),2),", ",ROUND(Y4+S4,2),")")</f>
        <v>-0.05, (-0.17, 0.07)</v>
      </c>
      <c r="AG4" s="78">
        <f>1.96/AB4</f>
        <v>16.652768506373587</v>
      </c>
      <c r="AH4" s="78">
        <f>AG4*Z4</f>
        <v>-2.793333333333333</v>
      </c>
      <c r="AI4" s="78">
        <f>Z4^2*AG4</f>
        <v>0.46855338847259809</v>
      </c>
      <c r="AJ4" s="85">
        <f t="shared" ref="AJ4:AJ16" si="0">ROUND(AG4/AG$22*100,0)</f>
        <v>6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ht="12.95" customHeight="1" x14ac:dyDescent="0.25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9">
        <v>0.09</v>
      </c>
      <c r="H5" s="111">
        <v>0.09</v>
      </c>
      <c r="I5" s="14" t="s">
        <v>20</v>
      </c>
      <c r="J5" s="19"/>
      <c r="K5" s="18"/>
      <c r="L5" s="20"/>
      <c r="M5" s="19"/>
      <c r="N5" s="18"/>
      <c r="O5" s="14"/>
      <c r="Q5" s="2" t="str">
        <f>CONCATENATE(B9,"_",E9,"_",D9,"_",C9)</f>
        <v>EAS_Women_MMSE_PEF</v>
      </c>
      <c r="S5" s="75">
        <f>G9</f>
        <v>-0.01</v>
      </c>
      <c r="T5" s="74">
        <v>181</v>
      </c>
      <c r="U5" s="102">
        <f>W5*H9/G9</f>
        <v>5.0001666766673857E-2</v>
      </c>
      <c r="V5" s="76"/>
      <c r="W5" s="74">
        <f>0.5*LN((1+S5)/(1-S5))</f>
        <v>-1.0000333353334771E-2</v>
      </c>
      <c r="X5" s="74">
        <f>S5-(EXP(2*Z5)-1)/(EXP(2*Z5)+1)</f>
        <v>9.7585604444512863E-2</v>
      </c>
      <c r="Y5" s="74">
        <f>(EXP(2*AA5)-1)/(EXP(2*AA5)+1)-S5</f>
        <v>9.7776455018839387E-2</v>
      </c>
      <c r="Z5" s="74">
        <f>W5-AB5</f>
        <v>-0.10800360021601552</v>
      </c>
      <c r="AA5" s="74">
        <f>W5+AB5</f>
        <v>8.8002933509345987E-2</v>
      </c>
      <c r="AB5" s="74">
        <f>1.96*U5</f>
        <v>9.8003266862680752E-2</v>
      </c>
      <c r="AC5" s="78">
        <f>IF(W5&lt;&gt;"",ABS(W5/U5^2),"")</f>
        <v>3.9998666631109212</v>
      </c>
      <c r="AD5" s="78"/>
      <c r="AE5" s="78">
        <f>U5^-2</f>
        <v>399.9733330666524</v>
      </c>
      <c r="AF5" s="79" t="str">
        <f>CONCATENATE(ROUND(S5,2),", (",ROUND(-(X5-S5),2),", ",ROUND(Y5+S5,2),")")</f>
        <v>-0.01, (-0.11, 0.09)</v>
      </c>
      <c r="AG5" s="78">
        <f t="shared" ref="AG5:AG16" si="1">1.96/AB5</f>
        <v>19.999333315554608</v>
      </c>
      <c r="AH5" s="78">
        <f>AG5*Z5</f>
        <v>-2.16</v>
      </c>
      <c r="AI5" s="78">
        <f>Z5^2*AG5</f>
        <v>0.23328777646659354</v>
      </c>
      <c r="AJ5" s="85">
        <f t="shared" si="0"/>
        <v>8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ht="12.95" customHeight="1" x14ac:dyDescent="0.25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0.04</v>
      </c>
      <c r="H6" s="15">
        <v>0.05</v>
      </c>
      <c r="I6" s="14" t="s">
        <v>26</v>
      </c>
      <c r="J6" s="12"/>
      <c r="K6" s="15"/>
      <c r="L6" s="14"/>
      <c r="M6" s="12"/>
      <c r="N6" s="16"/>
      <c r="O6" s="14"/>
      <c r="Q6" s="2" t="str">
        <f>CONCATENATE(B4,"_",E4,"_",D4,"_",C4)</f>
        <v>OCTO_Men_Clock_PEF</v>
      </c>
      <c r="S6" s="75">
        <f>G4</f>
        <v>0.04</v>
      </c>
      <c r="T6" s="2">
        <v>180</v>
      </c>
      <c r="U6" s="102">
        <f>W6*H4/G4</f>
        <v>0.11005872305111278</v>
      </c>
      <c r="V6" s="76"/>
      <c r="W6" s="74">
        <f t="shared" ref="W6:W16" si="2">0.5*LN((1+S6)/(1-S6))</f>
        <v>4.0021353836768282E-2</v>
      </c>
      <c r="X6" s="74">
        <f>S6-(EXP(2*Z6)-1)/(EXP(2*Z6)+1)</f>
        <v>0.21390800067833615</v>
      </c>
      <c r="Y6" s="74">
        <f t="shared" ref="Y6:Y16" si="3">(EXP(2*AA6)-1)/(EXP(2*AA6)+1)-S6</f>
        <v>0.21030338713050231</v>
      </c>
      <c r="Z6" s="74">
        <f>W6-AB6</f>
        <v>-0.17569374334341276</v>
      </c>
      <c r="AA6" s="74">
        <f>W6+AB6</f>
        <v>0.25573645101694931</v>
      </c>
      <c r="AB6" s="74">
        <f t="shared" ref="AB6:AB16" si="4">1.96*U6</f>
        <v>0.21571509718018103</v>
      </c>
      <c r="AC6" s="78">
        <f t="shared" ref="AC6:AC16" si="5">IF(W6&lt;&gt;"",ABS(W6/U6^2),"")</f>
        <v>3.3040212856866051</v>
      </c>
      <c r="AD6" s="78"/>
      <c r="AE6" s="78">
        <f t="shared" ref="AE6:AE16" si="6">U6^-2</f>
        <v>82.556459713043139</v>
      </c>
      <c r="AF6" s="79" t="str">
        <f t="shared" ref="AF6:AF16" si="7">CONCATENATE(ROUND(S6,2),", (",ROUND(-(X6-S6),2),", ",ROUND(Y6+S6,2),")")</f>
        <v>0.04, (-0.17, 0.25)</v>
      </c>
      <c r="AG6" s="78">
        <f t="shared" si="1"/>
        <v>9.0860585356381645</v>
      </c>
      <c r="AH6" s="78">
        <f t="shared" ref="AH6:AH16" si="8">AG6*Z6</f>
        <v>-1.5963636363636364</v>
      </c>
      <c r="AI6" s="78">
        <f t="shared" ref="AI6:AI16" si="9">Z6^2*AG6</f>
        <v>0.28047110301002981</v>
      </c>
      <c r="AJ6" s="85">
        <f t="shared" si="0"/>
        <v>4</v>
      </c>
    </row>
    <row r="7" spans="1:73" ht="12.95" customHeight="1" x14ac:dyDescent="0.25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9">
        <v>0.02</v>
      </c>
      <c r="H7" s="111">
        <v>0.03</v>
      </c>
      <c r="I7" s="14" t="s">
        <v>29</v>
      </c>
      <c r="J7" s="19"/>
      <c r="K7" s="18"/>
      <c r="L7" s="20"/>
      <c r="M7" s="19"/>
      <c r="N7" s="18"/>
      <c r="O7" s="14"/>
      <c r="Q7" s="2" t="str">
        <f>CONCATENATE(B5,"_",E5,"_",D5,"_",C5)</f>
        <v>OCTO_Women_Clock_PEF</v>
      </c>
      <c r="S7" s="75">
        <f>G5</f>
        <v>0.09</v>
      </c>
      <c r="T7" s="74">
        <v>179</v>
      </c>
      <c r="U7" s="102">
        <f>W7*H5/G5</f>
        <v>9.0244187856146824E-2</v>
      </c>
      <c r="V7" s="76"/>
      <c r="W7" s="74">
        <f t="shared" si="2"/>
        <v>9.024418785614681E-2</v>
      </c>
      <c r="X7" s="74">
        <f t="shared" ref="X7:X16" si="10">S7-(EXP(2*Z7)-1)/(EXP(2*Z7)+1)</f>
        <v>0.17641832354778664</v>
      </c>
      <c r="Y7" s="74">
        <f t="shared" si="3"/>
        <v>0.1709455667627108</v>
      </c>
      <c r="Z7" s="74">
        <f t="shared" ref="Z7:Z16" si="11">W7-AB7</f>
        <v>-8.6634420341900956E-2</v>
      </c>
      <c r="AA7" s="74">
        <f t="shared" ref="AA7:AA16" si="12">W7+AB7</f>
        <v>0.26712279605419459</v>
      </c>
      <c r="AB7" s="74">
        <f t="shared" si="4"/>
        <v>0.17687860819804777</v>
      </c>
      <c r="AC7" s="78">
        <f t="shared" si="5"/>
        <v>11.081046034721298</v>
      </c>
      <c r="AD7" s="78"/>
      <c r="AE7" s="78">
        <f t="shared" si="6"/>
        <v>122.78958122361267</v>
      </c>
      <c r="AF7" s="79" t="str">
        <f t="shared" si="7"/>
        <v>0.09, (-0.09, 0.26)</v>
      </c>
      <c r="AG7" s="78">
        <f t="shared" si="1"/>
        <v>11.081046034721302</v>
      </c>
      <c r="AH7" s="78">
        <f t="shared" si="8"/>
        <v>-0.96000000000000008</v>
      </c>
      <c r="AI7" s="78">
        <f t="shared" si="9"/>
        <v>8.3169043528224934E-2</v>
      </c>
      <c r="AJ7" s="85">
        <f t="shared" si="0"/>
        <v>4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ht="12.95" customHeight="1" x14ac:dyDescent="0.25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-0.05</v>
      </c>
      <c r="H8" s="15">
        <v>0.06</v>
      </c>
      <c r="I8" s="14" t="s">
        <v>26</v>
      </c>
      <c r="J8" s="12"/>
      <c r="K8" s="15"/>
      <c r="L8" s="14"/>
      <c r="M8" s="12"/>
      <c r="N8" s="16"/>
      <c r="O8" s="14"/>
      <c r="Q8" s="2" t="str">
        <f>CONCATENATE(B13,"_",E13,"_",D13,"_",C13)</f>
        <v>OCTO_Men_MMSE_PEF</v>
      </c>
      <c r="S8" s="75">
        <f>G13</f>
        <v>0.14000000000000001</v>
      </c>
      <c r="T8" s="2">
        <v>178</v>
      </c>
      <c r="U8" s="102">
        <f>W8*H13/G13</f>
        <v>0.16105780122342161</v>
      </c>
      <c r="V8" s="76"/>
      <c r="W8" s="74">
        <f>0.5*LN((1+S8)/(1-S8))</f>
        <v>0.14092557607049391</v>
      </c>
      <c r="X8" s="74">
        <f>S8-(EXP(2*Z8)-1)/(EXP(2*Z8)+1)</f>
        <v>0.31299043267058463</v>
      </c>
      <c r="Y8" s="74">
        <f>(EXP(2*AA8)-1)/(EXP(2*AA8)+1)-S8</f>
        <v>0.28730814374583785</v>
      </c>
      <c r="Z8" s="74">
        <f>W8-AB8</f>
        <v>-0.17474771432741246</v>
      </c>
      <c r="AA8" s="74">
        <f>W8+AB8</f>
        <v>0.45659886646840031</v>
      </c>
      <c r="AB8" s="74">
        <f>1.96*U8</f>
        <v>0.31567329039790637</v>
      </c>
      <c r="AC8" s="78">
        <f>IF(W8&lt;&gt;"",ABS(W8/U8^2),"")</f>
        <v>5.432832146927101</v>
      </c>
      <c r="AD8" s="78"/>
      <c r="AE8" s="78">
        <f>U8^-2</f>
        <v>38.551072831587966</v>
      </c>
      <c r="AF8" s="79" t="str">
        <f>CONCATENATE(ROUND(S8,2),", (",ROUND(-(X8-S8),2),", ",ROUND(Y8+S8,2),")")</f>
        <v>0.14, (-0.17, 0.43)</v>
      </c>
      <c r="AG8" s="78">
        <f t="shared" si="1"/>
        <v>6.2089510250595445</v>
      </c>
      <c r="AH8" s="78">
        <f>AG8*Z8</f>
        <v>-1.085</v>
      </c>
      <c r="AI8" s="78">
        <f>Z8^2*AG8</f>
        <v>0.18960127004524252</v>
      </c>
      <c r="AJ8" s="85">
        <f t="shared" si="0"/>
        <v>2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ht="12.95" customHeight="1" x14ac:dyDescent="0.25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9">
        <v>-0.01</v>
      </c>
      <c r="H9" s="111">
        <v>0.05</v>
      </c>
      <c r="I9" s="14" t="s">
        <v>24</v>
      </c>
      <c r="J9" s="19"/>
      <c r="K9" s="18"/>
      <c r="L9" s="20"/>
      <c r="M9" s="19"/>
      <c r="N9" s="18"/>
      <c r="O9" s="14"/>
      <c r="Q9" s="2" t="str">
        <f>CONCATENATE(B14,"_",E14,"_",D14,"_",C14)</f>
        <v>OCTO_Women_MMSE_PEF</v>
      </c>
      <c r="S9" s="75">
        <f>G14</f>
        <v>0.2</v>
      </c>
      <c r="T9" s="74">
        <v>177</v>
      </c>
      <c r="U9" s="102">
        <f>W9*H14/G14</f>
        <v>7.0956393918928745E-2</v>
      </c>
      <c r="V9" s="76"/>
      <c r="W9" s="74">
        <f>0.5*LN((1+S9)/(1-S9))</f>
        <v>0.20273255405408211</v>
      </c>
      <c r="X9" s="74">
        <f>S9-(EXP(2*Z9)-1)/(EXP(2*Z9)+1)</f>
        <v>0.13642782693672306</v>
      </c>
      <c r="Y9" s="74">
        <f>(EXP(2*AA9)-1)/(EXP(2*AA9)+1)-S9</f>
        <v>0.12908973051426126</v>
      </c>
      <c r="Z9" s="74">
        <f>W9-AB9</f>
        <v>6.365802197298176E-2</v>
      </c>
      <c r="AA9" s="74">
        <f>W9+AB9</f>
        <v>0.34180708613518246</v>
      </c>
      <c r="AB9" s="74">
        <f>1.96*U9</f>
        <v>0.13907453208110035</v>
      </c>
      <c r="AC9" s="78">
        <f>IF(W9&lt;&gt;"",ABS(W9/U9^2),"")</f>
        <v>40.266178977574405</v>
      </c>
      <c r="AD9" s="78"/>
      <c r="AE9" s="78">
        <f>U9^-2</f>
        <v>198.61723325812176</v>
      </c>
      <c r="AF9" s="79" t="str">
        <f>CONCATENATE(ROUND(S9,2),", (",ROUND(-(X9-S9),2),", ",ROUND(Y9+S9,2),")")</f>
        <v>0.2, (0.06, 0.33)</v>
      </c>
      <c r="AG9" s="78">
        <f t="shared" si="1"/>
        <v>14.093162642151041</v>
      </c>
      <c r="AH9" s="78">
        <f>AG9*Z9</f>
        <v>0.89714285714285669</v>
      </c>
      <c r="AI9" s="78">
        <f>Z9^2*AG9</f>
        <v>5.7110339712903607E-2</v>
      </c>
      <c r="AJ9" s="85">
        <f t="shared" si="0"/>
        <v>5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ht="12.95" customHeight="1" x14ac:dyDescent="0.25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0.02</v>
      </c>
      <c r="H10" s="15">
        <v>0.05</v>
      </c>
      <c r="I10" s="14" t="s">
        <v>17</v>
      </c>
      <c r="J10" s="12"/>
      <c r="K10" s="15"/>
      <c r="L10" s="14"/>
      <c r="M10" s="12"/>
      <c r="N10" s="16"/>
      <c r="O10" s="14"/>
      <c r="Q10" s="2" t="str">
        <f>CONCATENATE(B6,"_",E6,"_",D6,"_",C6)</f>
        <v>MAP_Men_Ideas_FEV1</v>
      </c>
      <c r="S10" s="75">
        <f>G6</f>
        <v>0.04</v>
      </c>
      <c r="T10" s="2">
        <v>176</v>
      </c>
      <c r="U10" s="102">
        <f>W10*H6/G6</f>
        <v>5.0026692295960358E-2</v>
      </c>
      <c r="V10" s="76"/>
      <c r="W10" s="74">
        <f t="shared" si="2"/>
        <v>4.0021353836768282E-2</v>
      </c>
      <c r="X10" s="74">
        <f t="shared" si="10"/>
        <v>9.7965909143257326E-2</v>
      </c>
      <c r="Y10" s="74">
        <f t="shared" si="3"/>
        <v>9.7202882798330864E-2</v>
      </c>
      <c r="Z10" s="74">
        <f t="shared" si="11"/>
        <v>-5.8030963063314019E-2</v>
      </c>
      <c r="AA10" s="74">
        <f t="shared" si="12"/>
        <v>0.13807367073685059</v>
      </c>
      <c r="AB10" s="74">
        <f t="shared" si="4"/>
        <v>9.8052316900082301E-2</v>
      </c>
      <c r="AC10" s="78">
        <f t="shared" si="5"/>
        <v>15.991463022723165</v>
      </c>
      <c r="AD10" s="78"/>
      <c r="AE10" s="78">
        <f t="shared" si="6"/>
        <v>399.57326501112868</v>
      </c>
      <c r="AF10" s="79" t="str">
        <f t="shared" si="7"/>
        <v>0.04, (-0.06, 0.14)</v>
      </c>
      <c r="AG10" s="78">
        <f t="shared" si="1"/>
        <v>19.989328778403959</v>
      </c>
      <c r="AH10" s="78">
        <f t="shared" si="8"/>
        <v>-1.1600000000000001</v>
      </c>
      <c r="AI10" s="78">
        <f t="shared" si="9"/>
        <v>6.731591715344426E-2</v>
      </c>
      <c r="AJ10" s="85">
        <f t="shared" si="0"/>
        <v>8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ht="12.95" customHeight="1" x14ac:dyDescent="0.25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9">
        <v>0.05</v>
      </c>
      <c r="H11" s="111">
        <v>0.03</v>
      </c>
      <c r="I11" s="14" t="s">
        <v>37</v>
      </c>
      <c r="J11" s="19"/>
      <c r="K11" s="18"/>
      <c r="L11" s="20"/>
      <c r="M11" s="19"/>
      <c r="N11" s="18"/>
      <c r="O11" s="14"/>
      <c r="Q11" s="2" t="str">
        <f>CONCATENATE(B7,"_",E7,"_",D7,"_",C7)</f>
        <v>MAP_Women_Ideas_FEV1</v>
      </c>
      <c r="S11" s="75">
        <f>G7</f>
        <v>0.02</v>
      </c>
      <c r="T11" s="74">
        <v>175</v>
      </c>
      <c r="U11" s="102">
        <f>W11*H7/G7</f>
        <v>3.0004000960274401E-2</v>
      </c>
      <c r="V11" s="76"/>
      <c r="W11" s="74">
        <f t="shared" si="2"/>
        <v>2.0002667306849603E-2</v>
      </c>
      <c r="X11" s="74">
        <f t="shared" si="10"/>
        <v>5.8785708152158944E-2</v>
      </c>
      <c r="Y11" s="74">
        <f t="shared" si="3"/>
        <v>5.8647746994152566E-2</v>
      </c>
      <c r="Z11" s="74">
        <f t="shared" si="11"/>
        <v>-3.8805174575288225E-2</v>
      </c>
      <c r="AA11" s="74">
        <f t="shared" si="12"/>
        <v>7.8810509188987438E-2</v>
      </c>
      <c r="AB11" s="74">
        <f t="shared" si="4"/>
        <v>5.8807841882137828E-2</v>
      </c>
      <c r="AC11" s="78">
        <f t="shared" si="5"/>
        <v>22.219258943143618</v>
      </c>
      <c r="AD11" s="78"/>
      <c r="AE11" s="78">
        <f t="shared" si="6"/>
        <v>1110.814802960552</v>
      </c>
      <c r="AF11" s="79" t="str">
        <f t="shared" si="7"/>
        <v>0.02, (-0.04, 0.08)</v>
      </c>
      <c r="AG11" s="78">
        <f t="shared" si="1"/>
        <v>33.328888414715422</v>
      </c>
      <c r="AH11" s="78">
        <f t="shared" si="8"/>
        <v>-1.2933333333333332</v>
      </c>
      <c r="AI11" s="78">
        <f t="shared" si="9"/>
        <v>5.0188025784039435E-2</v>
      </c>
      <c r="AJ11" s="85">
        <f t="shared" si="0"/>
        <v>13</v>
      </c>
    </row>
    <row r="12" spans="1:73" ht="12.95" customHeight="1" x14ac:dyDescent="0.25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-0.02</v>
      </c>
      <c r="H12" s="15">
        <v>0.03</v>
      </c>
      <c r="I12" s="14" t="s">
        <v>41</v>
      </c>
      <c r="J12" s="12"/>
      <c r="K12" s="15"/>
      <c r="L12" s="14"/>
      <c r="M12" s="12"/>
      <c r="N12" s="16"/>
      <c r="O12" s="14"/>
      <c r="Q12" s="2" t="str">
        <f>CONCATENATE(B10,"_",E10,"_",D10,"_",C10)</f>
        <v>MAP_Men_MMSE_FEV1</v>
      </c>
      <c r="S12" s="75">
        <f>G10</f>
        <v>0.02</v>
      </c>
      <c r="T12" s="2">
        <v>174</v>
      </c>
      <c r="U12" s="102">
        <f>W12*H10/G10</f>
        <v>5.0006668267124015E-2</v>
      </c>
      <c r="V12" s="76"/>
      <c r="W12" s="74">
        <f t="shared" si="2"/>
        <v>2.0002667306849603E-2</v>
      </c>
      <c r="X12" s="74">
        <f t="shared" si="10"/>
        <v>9.7852539466298544E-2</v>
      </c>
      <c r="Y12" s="74">
        <f t="shared" si="3"/>
        <v>9.7470875891668571E-2</v>
      </c>
      <c r="Z12" s="74">
        <f t="shared" si="11"/>
        <v>-7.8010402496713468E-2</v>
      </c>
      <c r="AA12" s="74">
        <f t="shared" si="12"/>
        <v>0.11801573711041267</v>
      </c>
      <c r="AB12" s="74">
        <f t="shared" si="4"/>
        <v>9.8013069803563072E-2</v>
      </c>
      <c r="AC12" s="78">
        <f t="shared" si="5"/>
        <v>7.9989332195316987</v>
      </c>
      <c r="AD12" s="78"/>
      <c r="AE12" s="78">
        <f t="shared" si="6"/>
        <v>399.89332906579853</v>
      </c>
      <c r="AF12" s="79" t="str">
        <f t="shared" si="7"/>
        <v>0.02, (-0.08, 0.12)</v>
      </c>
      <c r="AG12" s="78">
        <f t="shared" si="1"/>
        <v>19.997333048829251</v>
      </c>
      <c r="AH12" s="78">
        <f t="shared" si="8"/>
        <v>-1.5600000000000003</v>
      </c>
      <c r="AI12" s="78">
        <f>Z12^2*AG12</f>
        <v>0.12169622789487303</v>
      </c>
      <c r="AJ12" s="85">
        <f t="shared" si="0"/>
        <v>8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ht="12.95" customHeight="1" x14ac:dyDescent="0.25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0.14000000000000001</v>
      </c>
      <c r="H13" s="15">
        <v>0.16</v>
      </c>
      <c r="I13" s="14" t="s">
        <v>43</v>
      </c>
      <c r="J13" s="12"/>
      <c r="K13" s="15"/>
      <c r="L13" s="14"/>
      <c r="M13" s="12"/>
      <c r="N13" s="16"/>
      <c r="O13" s="14"/>
      <c r="Q13" s="2" t="str">
        <f>CONCATENATE(B11,"_",E11,"_",D11,"_",C11)</f>
        <v>MAP_Women_MMSE_FEV1</v>
      </c>
      <c r="S13" s="75">
        <f>G11</f>
        <v>0.05</v>
      </c>
      <c r="T13" s="74">
        <v>173</v>
      </c>
      <c r="U13" s="102">
        <f>W13*H11/G11</f>
        <v>3.0025037567094785E-2</v>
      </c>
      <c r="V13" s="76"/>
      <c r="W13" s="74">
        <f t="shared" si="2"/>
        <v>5.0041729278491313E-2</v>
      </c>
      <c r="X13" s="74">
        <f t="shared" si="10"/>
        <v>5.8807116633525267E-2</v>
      </c>
      <c r="Y13" s="74">
        <f t="shared" si="3"/>
        <v>5.8462454141357589E-2</v>
      </c>
      <c r="Z13" s="74">
        <f t="shared" si="11"/>
        <v>-8.8073443530144666E-3</v>
      </c>
      <c r="AA13" s="74">
        <f t="shared" si="12"/>
        <v>0.10889080290999709</v>
      </c>
      <c r="AB13" s="74">
        <f t="shared" si="4"/>
        <v>5.884907363150578E-2</v>
      </c>
      <c r="AC13" s="78">
        <f t="shared" si="5"/>
        <v>55.509228354578639</v>
      </c>
      <c r="AD13" s="78"/>
      <c r="AE13" s="78">
        <f t="shared" si="6"/>
        <v>1109.2587957074725</v>
      </c>
      <c r="AF13" s="79" t="str">
        <f t="shared" si="7"/>
        <v>0.05, (-0.01, 0.11)</v>
      </c>
      <c r="AG13" s="78">
        <f t="shared" si="1"/>
        <v>33.30553701274718</v>
      </c>
      <c r="AH13" s="78">
        <f t="shared" si="8"/>
        <v>-0.29333333333333317</v>
      </c>
      <c r="AI13" s="78">
        <f t="shared" si="9"/>
        <v>2.5834876768842424E-3</v>
      </c>
      <c r="AJ13" s="85">
        <f t="shared" si="0"/>
        <v>13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ht="12.95" customHeight="1" x14ac:dyDescent="0.25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9">
        <v>0.2</v>
      </c>
      <c r="H14" s="111">
        <v>7.0000000000000007E-2</v>
      </c>
      <c r="I14" s="14" t="s">
        <v>45</v>
      </c>
      <c r="J14" s="19"/>
      <c r="K14" s="18"/>
      <c r="L14" s="20"/>
      <c r="M14" s="19"/>
      <c r="N14" s="18"/>
      <c r="O14" s="14"/>
      <c r="Q14" s="2" t="str">
        <f>CONCATENATE(B12,"_",E12,"_",D12,"_",C12)</f>
        <v>NAS_Men_MMSE_FEV1</v>
      </c>
      <c r="S14" s="75">
        <f>G12</f>
        <v>-0.02</v>
      </c>
      <c r="T14" s="2">
        <v>172</v>
      </c>
      <c r="U14" s="102">
        <f>W14*H12/G12</f>
        <v>3.0004000960274432E-2</v>
      </c>
      <c r="V14" s="76"/>
      <c r="W14" s="74">
        <f t="shared" si="2"/>
        <v>-2.0002667306849624E-2</v>
      </c>
      <c r="X14" s="74">
        <f t="shared" si="10"/>
        <v>5.8647746994152636E-2</v>
      </c>
      <c r="Y14" s="74">
        <f t="shared" si="3"/>
        <v>5.8785708152158958E-2</v>
      </c>
      <c r="Z14" s="74">
        <f t="shared" si="11"/>
        <v>-7.8810509188987507E-2</v>
      </c>
      <c r="AA14" s="74">
        <f t="shared" si="12"/>
        <v>3.8805174575288259E-2</v>
      </c>
      <c r="AB14" s="74">
        <f t="shared" si="4"/>
        <v>5.8807841882137883E-2</v>
      </c>
      <c r="AC14" s="78">
        <f t="shared" si="5"/>
        <v>22.219258943143597</v>
      </c>
      <c r="AD14" s="78"/>
      <c r="AE14" s="78">
        <f t="shared" si="6"/>
        <v>1110.8148029605497</v>
      </c>
      <c r="AF14" s="79" t="str">
        <f t="shared" si="7"/>
        <v>-0.02, (-0.08, 0.04)</v>
      </c>
      <c r="AG14" s="78">
        <f t="shared" si="1"/>
        <v>33.328888414715394</v>
      </c>
      <c r="AH14" s="78">
        <f t="shared" si="8"/>
        <v>-2.6266666666666669</v>
      </c>
      <c r="AI14" s="78">
        <f t="shared" si="9"/>
        <v>0.20700893746974053</v>
      </c>
      <c r="AJ14" s="85">
        <f t="shared" si="0"/>
        <v>13</v>
      </c>
    </row>
    <row r="15" spans="1:73" ht="12.95" customHeight="1" x14ac:dyDescent="0.25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0.05</v>
      </c>
      <c r="H15" s="15">
        <v>0.05</v>
      </c>
      <c r="I15" s="14" t="s">
        <v>49</v>
      </c>
      <c r="J15" s="12"/>
      <c r="K15" s="15"/>
      <c r="L15" s="14"/>
      <c r="M15" s="12"/>
      <c r="N15" s="16"/>
      <c r="O15" s="14"/>
      <c r="Q15" s="2" t="str">
        <f>CONCATENATE(B15,"_",E15,"_",D15,"_",C15)</f>
        <v>SATSA_Men_MMSE_FEV1</v>
      </c>
      <c r="S15" s="75">
        <f>G15</f>
        <v>0.05</v>
      </c>
      <c r="T15" s="74">
        <v>171</v>
      </c>
      <c r="U15" s="102">
        <f>W15*H15/G15</f>
        <v>5.004172927849132E-2</v>
      </c>
      <c r="V15" s="76"/>
      <c r="W15" s="74">
        <f t="shared" si="2"/>
        <v>5.0041729278491313E-2</v>
      </c>
      <c r="X15" s="74">
        <f t="shared" si="10"/>
        <v>9.8003137815842828E-2</v>
      </c>
      <c r="Y15" s="74">
        <f t="shared" si="3"/>
        <v>9.7049637167590921E-2</v>
      </c>
      <c r="Z15" s="74">
        <f t="shared" si="11"/>
        <v>-4.8040060107351672E-2</v>
      </c>
      <c r="AA15" s="74">
        <f t="shared" si="12"/>
        <v>0.14812351866433429</v>
      </c>
      <c r="AB15" s="74">
        <f t="shared" si="4"/>
        <v>9.8081789385842985E-2</v>
      </c>
      <c r="AC15" s="78">
        <f t="shared" si="5"/>
        <v>19.983322207648303</v>
      </c>
      <c r="AD15" s="78"/>
      <c r="AE15" s="78">
        <f t="shared" si="6"/>
        <v>399.33316645468994</v>
      </c>
      <c r="AF15" s="79" t="str">
        <f t="shared" si="7"/>
        <v>0.05, (-0.05, 0.15)</v>
      </c>
      <c r="AG15" s="78">
        <f t="shared" si="1"/>
        <v>19.983322207648307</v>
      </c>
      <c r="AH15" s="78">
        <f t="shared" si="8"/>
        <v>-0.96000000000000019</v>
      </c>
      <c r="AI15" s="78">
        <f t="shared" si="9"/>
        <v>4.6118457703057614E-2</v>
      </c>
      <c r="AJ15" s="85">
        <f t="shared" si="0"/>
        <v>8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ht="12.95" customHeight="1" x14ac:dyDescent="0.25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9">
        <v>0.14000000000000001</v>
      </c>
      <c r="H16" s="111">
        <v>0.05</v>
      </c>
      <c r="I16" s="14" t="s">
        <v>45</v>
      </c>
      <c r="J16" s="19"/>
      <c r="K16" s="18"/>
      <c r="L16" s="20"/>
      <c r="M16" s="19"/>
      <c r="N16" s="18"/>
      <c r="O16" s="14"/>
      <c r="Q16" s="2" t="str">
        <f>CONCATENATE(B16,"_",E16,"_",D16,"_",C16)</f>
        <v>SATSA_Women_MMSE_FEV1</v>
      </c>
      <c r="S16" s="75">
        <f>G16</f>
        <v>0.14000000000000001</v>
      </c>
      <c r="T16" s="2">
        <v>170</v>
      </c>
      <c r="U16" s="102">
        <f>W16*H16/G16</f>
        <v>5.0330562882319255E-2</v>
      </c>
      <c r="V16" s="76"/>
      <c r="W16" s="74">
        <f t="shared" si="2"/>
        <v>0.14092557607049391</v>
      </c>
      <c r="X16" s="74">
        <f t="shared" si="10"/>
        <v>9.7747498242969799E-2</v>
      </c>
      <c r="Y16" s="74">
        <f t="shared" si="3"/>
        <v>9.509284250293229E-2</v>
      </c>
      <c r="Z16" s="74">
        <f t="shared" si="11"/>
        <v>4.2277672821148179E-2</v>
      </c>
      <c r="AA16" s="74">
        <f t="shared" si="12"/>
        <v>0.23957347931983963</v>
      </c>
      <c r="AB16" s="74">
        <f t="shared" si="4"/>
        <v>9.8647903249345734E-2</v>
      </c>
      <c r="AC16" s="78">
        <f t="shared" si="5"/>
        <v>55.632201184533521</v>
      </c>
      <c r="AD16" s="78"/>
      <c r="AE16" s="78">
        <f t="shared" si="6"/>
        <v>394.76298579546079</v>
      </c>
      <c r="AF16" s="79" t="str">
        <f t="shared" si="7"/>
        <v>0.14, (0.04, 0.24)</v>
      </c>
      <c r="AG16" s="78">
        <f t="shared" si="1"/>
        <v>19.868643280190543</v>
      </c>
      <c r="AH16" s="78">
        <f t="shared" si="8"/>
        <v>0.84000000000000019</v>
      </c>
      <c r="AI16" s="78">
        <f t="shared" si="9"/>
        <v>3.5513245169764472E-2</v>
      </c>
      <c r="AJ16" s="85">
        <f t="shared" si="0"/>
        <v>8</v>
      </c>
      <c r="AQ16" s="2" t="s">
        <v>217</v>
      </c>
      <c r="BB16" s="2" t="s">
        <v>217</v>
      </c>
      <c r="BM16" s="2" t="s">
        <v>217</v>
      </c>
    </row>
    <row r="17" spans="1:75" x14ac:dyDescent="0.25">
      <c r="A17" s="10"/>
      <c r="B17" s="11"/>
      <c r="C17" s="11"/>
      <c r="D17" s="11"/>
      <c r="E17" s="11"/>
      <c r="F17" s="11"/>
      <c r="G17" s="19"/>
      <c r="H17" s="111"/>
      <c r="I17" s="14"/>
      <c r="J17" s="19"/>
      <c r="K17" s="18"/>
      <c r="L17" s="20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78"/>
      <c r="AI17" s="78"/>
      <c r="AJ17" s="85"/>
    </row>
    <row r="18" spans="1:75" x14ac:dyDescent="0.25">
      <c r="A18" s="10"/>
      <c r="B18" s="11"/>
      <c r="C18" s="11"/>
      <c r="D18" s="11"/>
      <c r="E18" s="11"/>
      <c r="F18" s="11"/>
      <c r="G18" s="19"/>
      <c r="H18" s="111"/>
      <c r="I18" s="14"/>
      <c r="J18" s="19"/>
      <c r="K18" s="18"/>
      <c r="L18" s="20"/>
      <c r="M18" s="19"/>
      <c r="N18" s="18"/>
      <c r="O18" s="14"/>
      <c r="Q18" s="2" t="s">
        <v>323</v>
      </c>
      <c r="S18" s="84">
        <f>(EXP(2*AD18)-1)/(EXP(2*AD18)+1)</f>
        <v>3.278216756630533E-2</v>
      </c>
      <c r="T18" s="2">
        <v>168</v>
      </c>
      <c r="U18" s="103">
        <f>1/SQRT(AD18*AE18)</f>
        <v>0.10611482522362119</v>
      </c>
      <c r="V18" s="80">
        <f>1/SQRT(AE18)</f>
        <v>1.9216430499372467E-2</v>
      </c>
      <c r="W18" s="74">
        <f>0.5*LN((1+S18)/(1-S18))</f>
        <v>3.2793918487173564E-2</v>
      </c>
      <c r="X18" s="74">
        <f>S18-(EXP(2*Z18)-1)/(EXP(2*Z18)+1)</f>
        <v>0.2062027220507959</v>
      </c>
      <c r="Y18" s="74">
        <f>(EXP(2*AA18)-1)/(EXP(2*AA18)+1)-S18</f>
        <v>0.20344922215887087</v>
      </c>
      <c r="Z18" s="74">
        <f>W18-AB18</f>
        <v>-0.17519113895112395</v>
      </c>
      <c r="AA18" s="74">
        <f>W18+AB18</f>
        <v>0.24077897592547107</v>
      </c>
      <c r="AB18" s="74">
        <f>1.96*U18</f>
        <v>0.20798505743829751</v>
      </c>
      <c r="AC18" s="78">
        <f>SUM(AC10,AC4,AC12,AC14,AC15,AC8,AC6)</f>
        <v>88.807137914305116</v>
      </c>
      <c r="AD18" s="78">
        <f>AC18/AE18</f>
        <v>3.2793918487173522E-2</v>
      </c>
      <c r="AE18" s="78">
        <f>SUM(AE10,AE4,AE12,AE14,AE15,AE8,AE6)</f>
        <v>2708.0367949636666</v>
      </c>
      <c r="AF18" s="79" t="str">
        <f>CONCATENATE(ROUND(S18,2),", (",ROUND(-(X18-S18),2),", ",ROUND(Y18+S18,2),")")</f>
        <v>0.03, (-0.17, 0.24)</v>
      </c>
      <c r="AG18" s="78">
        <f>SUM(AG10,AG4,AG12,AG14,AG15,AG8,AG6)</f>
        <v>125.24665051666821</v>
      </c>
      <c r="AH18" s="78">
        <f>SUM(AH10,AH4,AH12,AH14,AH15,AH8,AH6)</f>
        <v>-11.781363636363638</v>
      </c>
      <c r="AI18" s="78">
        <f>SUM(AI10,AI4,AI12,AI14,AI15,AI8,AI6)</f>
        <v>1.3807653017489858</v>
      </c>
      <c r="AJ18"/>
      <c r="AK18" s="81">
        <f>AK22-AK20</f>
        <v>7</v>
      </c>
      <c r="AL18">
        <f>CHIDIST(AI18,AK18-1)</f>
        <v>0.96701803478297266</v>
      </c>
      <c r="AM18" s="82">
        <f>IF((AI18-AK18+1)/AI18&lt;0,0,(AI18-AK18+1)/AI18)</f>
        <v>0</v>
      </c>
      <c r="AN18" s="74" t="str">
        <f>CONCATENATE(ROUND(S18,2)," (",ROUND(AO18,2),", ",ROUND(AP18,2),")")</f>
        <v>0.03 (-0.17, -0.14)</v>
      </c>
      <c r="AO18" s="77">
        <f>S18-Y18</f>
        <v>-0.17066705459256554</v>
      </c>
      <c r="AP18">
        <f>S18+Z18</f>
        <v>-0.14240897138481862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5">
      <c r="A19" s="10"/>
      <c r="B19" s="11"/>
      <c r="C19" s="11"/>
      <c r="D19" s="11"/>
      <c r="E19" s="11"/>
      <c r="F19" s="11"/>
      <c r="G19" s="19"/>
      <c r="H19" s="111"/>
      <c r="I19" s="14"/>
      <c r="J19" s="19"/>
      <c r="K19" s="18"/>
      <c r="L19" s="20"/>
      <c r="M19" s="19"/>
      <c r="N19" s="18"/>
      <c r="O19" s="14"/>
      <c r="T19" s="74">
        <v>167</v>
      </c>
      <c r="U19" s="75"/>
    </row>
    <row r="20" spans="1:75" x14ac:dyDescent="0.25">
      <c r="A20" s="10"/>
      <c r="B20" s="11"/>
      <c r="C20" s="11"/>
      <c r="D20" s="11"/>
      <c r="E20" s="11"/>
      <c r="F20" s="11"/>
      <c r="G20" s="19"/>
      <c r="H20" s="111"/>
      <c r="I20" s="14"/>
      <c r="J20" s="19"/>
      <c r="K20" s="18"/>
      <c r="L20" s="20"/>
      <c r="M20" s="19"/>
      <c r="N20" s="18"/>
      <c r="O20" s="14"/>
      <c r="Q20" s="2" t="s">
        <v>322</v>
      </c>
      <c r="S20" s="84">
        <f>(EXP(2*AD20)-1)/(EXP(2*AD20)+1)</f>
        <v>5.6503159350560918E-2</v>
      </c>
      <c r="T20" s="2">
        <v>166</v>
      </c>
      <c r="U20" s="103">
        <f>1/SQRT(AD20*AE20)</f>
        <v>7.279559448602918E-2</v>
      </c>
      <c r="V20" s="80">
        <f>1/SQRT(AE20)</f>
        <v>1.7313021642757689E-2</v>
      </c>
      <c r="W20" s="74">
        <f>0.5*LN((1+S20)/(1-S20))</f>
        <v>5.6563405592616911E-2</v>
      </c>
      <c r="X20" s="74">
        <f>S20-(EXP(2*Z20)-1)/(EXP(2*Z20)+1)</f>
        <v>0.14240687107610767</v>
      </c>
      <c r="Y20" s="74">
        <f>(EXP(2*AA20)-1)/(EXP(2*AA20)+1)-S20</f>
        <v>0.14014432240856611</v>
      </c>
      <c r="Z20" s="74">
        <f>W20-AB20</f>
        <v>-8.6115959600000291E-2</v>
      </c>
      <c r="AA20" s="74">
        <f>W20+AB20</f>
        <v>0.19924277078523411</v>
      </c>
      <c r="AB20" s="74">
        <f>1.96*U20</f>
        <v>0.1426793651926172</v>
      </c>
      <c r="AC20" s="78">
        <f>SUM(AC7,AC11,AC5,AC13,AC9,AC16)</f>
        <v>188.70778015766243</v>
      </c>
      <c r="AD20" s="78">
        <f>AC20/AE20</f>
        <v>5.6563405592616904E-2</v>
      </c>
      <c r="AE20" s="78">
        <f>SUM(AE7,AE11,AE5,AE13,AE9,AE16)</f>
        <v>3336.2167320118724</v>
      </c>
      <c r="AF20" s="79" t="str">
        <f>CONCATENATE(ROUND(S20,2),", (",ROUND(-(X20-S20),2),", ",ROUND(Y20+S20,2),")")</f>
        <v>0.06, (-0.09, 0.2)</v>
      </c>
      <c r="AG20" s="78">
        <f>SUM(AG7,AG11,AG5,AG13,AG9,AG16)</f>
        <v>131.67661070008012</v>
      </c>
      <c r="AH20" s="78">
        <f>SUM(AH7,AH11,AH5,AH13,AH9,AH16)</f>
        <v>-2.9695238095238099</v>
      </c>
      <c r="AI20" s="78">
        <f>SUM(AI7,AI11,AI5,AI13,AI9,AI16)</f>
        <v>0.46185191833841027</v>
      </c>
      <c r="AJ20"/>
      <c r="AK20" s="81">
        <f>COUNT(AI7,AI11,AI5,AI13,AI9,AI16)</f>
        <v>6</v>
      </c>
      <c r="AL20">
        <f>CHIDIST(AI20,AK20-1)</f>
        <v>0.9934536157748175</v>
      </c>
      <c r="AM20" s="82">
        <f>IF((AI20-AK20+1)/AI20&lt;0,0,(AI20-AK20+1)/AI20)</f>
        <v>0</v>
      </c>
      <c r="AN20" s="74" t="str">
        <f>CONCATENATE(ROUND(S20,2)," (",ROUND(AO20,2),", ",ROUND(AP20,2),")")</f>
        <v>0.06 (-0.08, -0.03)</v>
      </c>
      <c r="AO20" s="77">
        <f>S20-Y20</f>
        <v>-8.3641163058005202E-2</v>
      </c>
      <c r="AP20">
        <f>S20+Z20</f>
        <v>-2.9612800249439374E-2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5">
      <c r="A21" s="10"/>
      <c r="B21" s="11"/>
      <c r="C21" s="11"/>
      <c r="D21" s="11"/>
      <c r="E21" s="11"/>
      <c r="F21" s="11"/>
      <c r="G21" s="19"/>
      <c r="H21" s="111"/>
      <c r="I21" s="14"/>
      <c r="J21" s="19"/>
      <c r="K21" s="18"/>
      <c r="L21" s="20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7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5">
      <c r="A22" s="10"/>
      <c r="B22" s="11"/>
      <c r="C22" s="11"/>
      <c r="D22" s="11"/>
      <c r="E22" s="11"/>
      <c r="F22" s="11"/>
      <c r="G22" s="19"/>
      <c r="H22" s="111"/>
      <c r="I22" s="14"/>
      <c r="J22" s="19"/>
      <c r="K22" s="18"/>
      <c r="L22" s="20"/>
      <c r="M22" s="19"/>
      <c r="N22" s="18"/>
      <c r="O22" s="14"/>
      <c r="Q22" s="2" t="s">
        <v>324</v>
      </c>
      <c r="S22" s="84">
        <f>(EXP(2*AD22)-1)/(EXP(2*AD22)+1)</f>
        <v>4.5881608563058236E-2</v>
      </c>
      <c r="T22" s="2">
        <v>164</v>
      </c>
      <c r="U22" s="103">
        <f>1/SQRT(AD22*AE22)</f>
        <v>6.0028409012296689E-2</v>
      </c>
      <c r="V22" s="80">
        <f>1/SQRT(AE22)</f>
        <v>1.2862597023783099E-2</v>
      </c>
      <c r="W22" s="74">
        <f>0.5*LN((1+S22)/(1-S22))</f>
        <v>4.5913844750789613E-2</v>
      </c>
      <c r="X22" s="74">
        <f>S22-(EXP(2*Z22)-1)/(EXP(2*Z22)+1)</f>
        <v>0.11750061587092603</v>
      </c>
      <c r="Y22" s="74">
        <f>(EXP(2*AA22)-1)/(EXP(2*AA22)+1)-S22</f>
        <v>0.11624459530536155</v>
      </c>
      <c r="Z22" s="74">
        <f>W22-AB22</f>
        <v>-7.1741836913311902E-2</v>
      </c>
      <c r="AA22" s="74">
        <f>W22+AB22</f>
        <v>0.16356952641489111</v>
      </c>
      <c r="AB22" s="74">
        <f>1.96*U22</f>
        <v>0.11765568166410151</v>
      </c>
      <c r="AC22" s="78">
        <f>SUM(AC4:AC16)</f>
        <v>277.51491807196754</v>
      </c>
      <c r="AD22" s="78">
        <f>AC22/AE22</f>
        <v>4.591384475078962E-2</v>
      </c>
      <c r="AE22" s="78">
        <f>SUM(AE4:AE16)</f>
        <v>6044.2535269755399</v>
      </c>
      <c r="AF22" s="79" t="str">
        <f>CONCATENATE(ROUND(S22,2),", (",ROUND(-(X22-S22),2),", ",ROUND(Y22+S22,2),")")</f>
        <v>0.05, (-0.07, 0.16)</v>
      </c>
      <c r="AG22" s="78">
        <f>SUM(AG4:AG16)</f>
        <v>256.92326121674836</v>
      </c>
      <c r="AH22" s="78">
        <f>SUM(AH4:AH16)</f>
        <v>-14.750887445887447</v>
      </c>
      <c r="AI22" s="78">
        <f>SUM(AI4:AI16)</f>
        <v>1.8426172200873958</v>
      </c>
      <c r="AJ22"/>
      <c r="AK22" s="81">
        <f>COUNT(AI4:AI16)</f>
        <v>13</v>
      </c>
      <c r="AL22">
        <f>CHIDIST(AI22,AK22-1)</f>
        <v>0.99961175791512269</v>
      </c>
      <c r="AM22" s="82">
        <f>IF((AI22-AK22+1)/AI22&lt;0,0,(AI22-AK22+1)/AI22)</f>
        <v>0</v>
      </c>
      <c r="AN22" s="74" t="str">
        <f>CONCATENATE(ROUND(S22,2)," (",ROUND(AO22,2),", ",ROUND(AP22,2),")")</f>
        <v>0.05 (-0.07, -0.03)</v>
      </c>
      <c r="AO22" s="77">
        <f>S22-Y22</f>
        <v>-7.0362986742303318E-2</v>
      </c>
      <c r="AP22">
        <f>S22+Z22</f>
        <v>-2.5860228350253665E-2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5">
      <c r="A23" s="10" t="s">
        <v>50</v>
      </c>
      <c r="B23" s="11"/>
      <c r="C23" s="11"/>
      <c r="D23" s="11"/>
      <c r="E23" s="11"/>
      <c r="F23" s="11"/>
      <c r="G23" s="19"/>
      <c r="H23" s="111"/>
      <c r="I23" s="14"/>
      <c r="J23" s="19"/>
      <c r="K23" s="18"/>
      <c r="L23" s="20"/>
      <c r="M23" s="19"/>
      <c r="N23" s="18"/>
      <c r="O23" s="14"/>
      <c r="T23" s="74">
        <v>163</v>
      </c>
      <c r="U23" s="75"/>
      <c r="AQ23" s="2" t="s">
        <v>227</v>
      </c>
      <c r="BB23" s="2" t="s">
        <v>227</v>
      </c>
      <c r="BM23" s="2" t="s">
        <v>227</v>
      </c>
    </row>
    <row r="24" spans="1:75" x14ac:dyDescent="0.25">
      <c r="A24" s="10"/>
      <c r="B24" s="11"/>
      <c r="C24" s="11"/>
      <c r="D24" s="11"/>
      <c r="E24" s="11"/>
      <c r="F24" s="11"/>
      <c r="G24" s="19"/>
      <c r="H24" s="111"/>
      <c r="I24" s="14"/>
      <c r="J24" s="19"/>
      <c r="K24" s="18"/>
      <c r="L24" s="20"/>
      <c r="M24" s="19"/>
      <c r="N24" s="18"/>
      <c r="O24" s="14"/>
      <c r="Q24" s="1" t="s">
        <v>50</v>
      </c>
      <c r="T24" s="2">
        <v>162</v>
      </c>
      <c r="U24" s="75"/>
    </row>
    <row r="25" spans="1:75" x14ac:dyDescent="0.25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0.12</v>
      </c>
      <c r="H25" s="15">
        <v>0.03</v>
      </c>
      <c r="I25" s="14" t="s">
        <v>27</v>
      </c>
      <c r="J25" s="12"/>
      <c r="K25" s="15"/>
      <c r="L25" s="14"/>
      <c r="M25" s="12"/>
      <c r="N25" s="16"/>
      <c r="O25" s="14"/>
      <c r="Q25" s="2" t="str">
        <f>CONCATENATE(B31,"_",E31,"_",D31,"_",C31)</f>
        <v>EAS_Men_Symbol_PEF</v>
      </c>
      <c r="S25" s="75">
        <f>G31</f>
        <v>-0.13</v>
      </c>
      <c r="T25" s="74">
        <v>161</v>
      </c>
      <c r="U25" s="102">
        <f>W25*H31/G31</f>
        <v>7.0398380784780654E-2</v>
      </c>
      <c r="W25" s="74">
        <f>0.5*LN((1+S25)/(1-S25))</f>
        <v>-0.13073985002887836</v>
      </c>
      <c r="X25" s="74">
        <f>S25-(EXP(2*Z25)-1)/(EXP(2*Z25)+1)</f>
        <v>0.13243402137595056</v>
      </c>
      <c r="Y25" s="74">
        <f>(EXP(2*AA25)-1)/(EXP(2*AA25)+1)-S25</f>
        <v>0.13724084975962181</v>
      </c>
      <c r="Z25" s="74">
        <f>W25-AB25</f>
        <v>-0.26872067636704844</v>
      </c>
      <c r="AA25" s="74">
        <f>W25+AB25</f>
        <v>7.2409763092917134E-3</v>
      </c>
      <c r="AB25" s="74">
        <f>1.96*U25</f>
        <v>0.13798082633817008</v>
      </c>
      <c r="AC25" s="78">
        <f>IF(W25&lt;&gt;"",ABS(W25/U25^2),"")</f>
        <v>26.380476886541555</v>
      </c>
      <c r="AD25" s="78"/>
      <c r="AE25" s="78">
        <f>U25^-2</f>
        <v>201.77839335684203</v>
      </c>
      <c r="AF25" s="79" t="str">
        <f>CONCATENATE(ROUND(S25,2),", (",ROUND(-(X25-S25),2),", ",ROUND(Y25+S25,2),")")</f>
        <v>-0.13, (-0.26, 0.01)</v>
      </c>
      <c r="AG25" s="78">
        <f>1/AB25</f>
        <v>7.2473837600388888</v>
      </c>
      <c r="AH25" s="78">
        <f>AG25*Z25</f>
        <v>-1.9475218658892128</v>
      </c>
      <c r="AI25" s="78">
        <f>Z25^2*AG25</f>
        <v>0.52333939304136545</v>
      </c>
      <c r="AJ25" s="85">
        <f t="shared" ref="AJ25:AJ38" si="13">ROUND(AG25/AG$44*100,0)</f>
        <v>5</v>
      </c>
      <c r="AR25" s="2" t="s">
        <v>228</v>
      </c>
      <c r="BC25" s="2" t="s">
        <v>228</v>
      </c>
      <c r="BN25" s="2" t="s">
        <v>228</v>
      </c>
    </row>
    <row r="26" spans="1:75" x14ac:dyDescent="0.25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9">
        <v>0.11</v>
      </c>
      <c r="H26" s="111">
        <v>0.03</v>
      </c>
      <c r="I26" s="14" t="s">
        <v>27</v>
      </c>
      <c r="J26" s="19"/>
      <c r="K26" s="18"/>
      <c r="L26" s="20"/>
      <c r="M26" s="19"/>
      <c r="N26" s="18"/>
      <c r="O26" s="14"/>
      <c r="Q26" s="2" t="str">
        <f>CONCATENATE(B32,"_",E32,"_",D32,"_",C32)</f>
        <v>EAS_Women_Symbol_PEF</v>
      </c>
      <c r="S26" s="75">
        <f>G32</f>
        <v>0.02</v>
      </c>
      <c r="T26" s="2">
        <v>160</v>
      </c>
      <c r="U26" s="102">
        <f>W26*H32/G32</f>
        <v>5.0006668267124015E-2</v>
      </c>
      <c r="W26" s="74">
        <f>0.5*LN((1+S26)/(1-S26))</f>
        <v>2.0002667306849603E-2</v>
      </c>
      <c r="X26" s="74">
        <f>S26-(EXP(2*Z26)-1)/(EXP(2*Z26)+1)</f>
        <v>9.7852539466298544E-2</v>
      </c>
      <c r="Y26" s="74">
        <f>(EXP(2*AA26)-1)/(EXP(2*AA26)+1)-S26</f>
        <v>9.7470875891668571E-2</v>
      </c>
      <c r="Z26" s="74">
        <f>W26-AB26</f>
        <v>-7.8010402496713468E-2</v>
      </c>
      <c r="AA26" s="74">
        <f>W26+AB26</f>
        <v>0.11801573711041267</v>
      </c>
      <c r="AB26" s="74">
        <f>1.96*U26</f>
        <v>9.8013069803563072E-2</v>
      </c>
      <c r="AC26" s="78">
        <f>IF(W26&lt;&gt;"",ABS(W26/U26^2),"")</f>
        <v>7.9989332195316987</v>
      </c>
      <c r="AD26" s="78"/>
      <c r="AE26" s="78">
        <f>U26^-2</f>
        <v>399.89332906579853</v>
      </c>
      <c r="AF26" s="79" t="str">
        <f>CONCATENATE(ROUND(S26,2),", (",ROUND(-(X26-S26),2),", ",ROUND(Y26+S26,2),")")</f>
        <v>0.02, (-0.08, 0.12)</v>
      </c>
      <c r="AG26" s="78">
        <f>1/AB26</f>
        <v>10.20272094328023</v>
      </c>
      <c r="AH26" s="78">
        <f>AG26*Z26</f>
        <v>-0.79591836734693888</v>
      </c>
      <c r="AI26" s="78">
        <f>Z26^2*AG26</f>
        <v>6.2089912191261754E-2</v>
      </c>
      <c r="AJ26" s="85">
        <f t="shared" si="13"/>
        <v>7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x14ac:dyDescent="0.25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0.02</v>
      </c>
      <c r="H27" s="15">
        <v>0.04</v>
      </c>
      <c r="I27" s="14" t="s">
        <v>56</v>
      </c>
      <c r="J27" s="12"/>
      <c r="K27" s="15"/>
      <c r="L27" s="14"/>
      <c r="M27" s="12"/>
      <c r="N27" s="16"/>
      <c r="O27" s="14"/>
      <c r="Q27" s="2" t="str">
        <f>CONCATENATE(B25,"_",E25,"_",D25,"_",C25)</f>
        <v>LASA_Men_Coding_PEF</v>
      </c>
      <c r="S27" s="75">
        <f>G25</f>
        <v>0.12</v>
      </c>
      <c r="T27" s="74">
        <v>159</v>
      </c>
      <c r="U27" s="102">
        <f>W27/G25*H25</f>
        <v>3.014525710211103E-2</v>
      </c>
      <c r="W27" s="74">
        <f t="shared" ref="W27:W38" si="14">0.5*LN((1+S27)/(1-S27))</f>
        <v>0.12058102840844412</v>
      </c>
      <c r="X27" s="74">
        <f t="shared" ref="X27:X38" si="15">S27-(EXP(2*Z27)-1)/(EXP(2*Z27)+1)</f>
        <v>5.8581080645698391E-2</v>
      </c>
      <c r="Y27" s="74">
        <f t="shared" ref="Y27:Y38" si="16">(EXP(2*AA27)-1)/(EXP(2*AA27)+1)-S27</f>
        <v>5.7757181752329745E-2</v>
      </c>
      <c r="Z27" s="74">
        <f t="shared" ref="Z27:Z38" si="17">W27-AB27</f>
        <v>6.1496324488306504E-2</v>
      </c>
      <c r="AA27" s="74">
        <f t="shared" ref="AA27:AA38" si="18">W27+AB27</f>
        <v>0.17966573232858174</v>
      </c>
      <c r="AB27" s="74">
        <f t="shared" ref="AB27:AB38" si="19">1.96*U27</f>
        <v>5.9084703920137614E-2</v>
      </c>
      <c r="AC27" s="78">
        <f t="shared" ref="AC27:AC38" si="20">IF(W27&lt;&gt;"",ABS(W27/U27^2),"")</f>
        <v>132.69085702108293</v>
      </c>
      <c r="AD27" s="78"/>
      <c r="AE27" s="78">
        <f t="shared" ref="AE27:AE38" si="21">U27^-2</f>
        <v>1100.4289710618423</v>
      </c>
      <c r="AF27" s="79" t="str">
        <f t="shared" ref="AF27:AF38" si="22">CONCATENATE(ROUND(S27,2),", (",ROUND(-(X27-S27),2),", ",ROUND(Y27+S27,2),")")</f>
        <v>0.12, (0.06, 0.18)</v>
      </c>
      <c r="AG27" s="78">
        <f t="shared" ref="AG27:AG38" si="23">1/AB27</f>
        <v>16.924854211872827</v>
      </c>
      <c r="AH27" s="78">
        <f t="shared" ref="AH27:AH38" si="24">AG27*Z27</f>
        <v>1.0408163265306123</v>
      </c>
      <c r="AI27" s="78">
        <f t="shared" ref="AI27:AI38" si="25">Z27^2*AG27</f>
        <v>6.4006378549053722E-2</v>
      </c>
      <c r="AJ27" s="85">
        <f t="shared" si="13"/>
        <v>11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x14ac:dyDescent="0.25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9">
        <v>-0.01</v>
      </c>
      <c r="H28" s="111">
        <v>0.03</v>
      </c>
      <c r="I28" s="14" t="s">
        <v>58</v>
      </c>
      <c r="J28" s="19"/>
      <c r="K28" s="18"/>
      <c r="L28" s="20"/>
      <c r="M28" s="19"/>
      <c r="N28" s="18"/>
      <c r="O28" s="14"/>
      <c r="Q28" s="2" t="str">
        <f>CONCATENATE(B26,"_",E26,"_",D26,"_",C26)</f>
        <v>LASA_Women_Coding_PEF</v>
      </c>
      <c r="S28" s="75">
        <f>G26</f>
        <v>0.11</v>
      </c>
      <c r="T28" s="2">
        <v>158</v>
      </c>
      <c r="U28" s="102">
        <f>W28/G26*H26</f>
        <v>3.0121886124571964E-2</v>
      </c>
      <c r="W28" s="74">
        <f t="shared" si="14"/>
        <v>0.11044691579009722</v>
      </c>
      <c r="X28" s="74">
        <f t="shared" si="15"/>
        <v>5.8637219962429356E-2</v>
      </c>
      <c r="Y28" s="74">
        <f t="shared" si="16"/>
        <v>5.7881393581642668E-2</v>
      </c>
      <c r="Z28" s="74">
        <f t="shared" si="17"/>
        <v>5.1408018985936166E-2</v>
      </c>
      <c r="AA28" s="74">
        <f t="shared" si="18"/>
        <v>0.16948581259425827</v>
      </c>
      <c r="AB28" s="74">
        <f t="shared" si="19"/>
        <v>5.9038896804161051E-2</v>
      </c>
      <c r="AC28" s="78">
        <f t="shared" si="20"/>
        <v>121.72765847074827</v>
      </c>
      <c r="AD28" s="78"/>
      <c r="AE28" s="78">
        <f t="shared" si="21"/>
        <v>1102.1372357928938</v>
      </c>
      <c r="AF28" s="79" t="str">
        <f t="shared" si="22"/>
        <v>0.11, (0.05, 0.17)</v>
      </c>
      <c r="AG28" s="78">
        <f t="shared" si="23"/>
        <v>16.937985872553096</v>
      </c>
      <c r="AH28" s="78">
        <f t="shared" si="24"/>
        <v>0.87074829931972808</v>
      </c>
      <c r="AI28" s="78">
        <f t="shared" si="25"/>
        <v>4.4763445103400204E-2</v>
      </c>
      <c r="AJ28" s="85">
        <f t="shared" si="13"/>
        <v>11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5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-0.09</v>
      </c>
      <c r="H29" s="15">
        <v>0.1</v>
      </c>
      <c r="I29" s="14" t="s">
        <v>61</v>
      </c>
      <c r="J29" s="12"/>
      <c r="K29" s="15"/>
      <c r="L29" s="14"/>
      <c r="M29" s="12"/>
      <c r="N29" s="16"/>
      <c r="O29" s="14"/>
      <c r="Q29" s="2" t="str">
        <f>CONCATENATE(B29,"_",E29,"_",D29,"_",C29)</f>
        <v>OCTO_Men_Percp_Speed_PEF</v>
      </c>
      <c r="S29" s="75">
        <f>G29</f>
        <v>-0.09</v>
      </c>
      <c r="T29" s="74">
        <v>157</v>
      </c>
      <c r="U29" s="102">
        <f>W29/G29*H29</f>
        <v>0.10027131984016316</v>
      </c>
      <c r="W29" s="74">
        <f t="shared" si="14"/>
        <v>-9.0244187856146837E-2</v>
      </c>
      <c r="X29" s="74">
        <f t="shared" si="15"/>
        <v>0.18916472866557024</v>
      </c>
      <c r="Y29" s="74">
        <f t="shared" si="16"/>
        <v>0.19588915386476802</v>
      </c>
      <c r="Z29" s="74">
        <f t="shared" si="17"/>
        <v>-0.28677597474286665</v>
      </c>
      <c r="AA29" s="74">
        <f t="shared" si="18"/>
        <v>0.10628759903057296</v>
      </c>
      <c r="AB29" s="74">
        <f t="shared" si="19"/>
        <v>0.19653178688671979</v>
      </c>
      <c r="AC29" s="78">
        <f t="shared" si="20"/>
        <v>8.9756472881242519</v>
      </c>
      <c r="AD29" s="78"/>
      <c r="AE29" s="78">
        <f t="shared" si="21"/>
        <v>99.459560791126236</v>
      </c>
      <c r="AF29" s="79" t="str">
        <f t="shared" si="22"/>
        <v>-0.09, (-0.28, 0.11)</v>
      </c>
      <c r="AG29" s="78">
        <f t="shared" si="23"/>
        <v>5.0882354241067187</v>
      </c>
      <c r="AH29" s="78">
        <f t="shared" si="24"/>
        <v>-1.4591836734693877</v>
      </c>
      <c r="AI29" s="78">
        <f t="shared" si="25"/>
        <v>0.41845882028806047</v>
      </c>
      <c r="AJ29" s="85">
        <f t="shared" si="13"/>
        <v>3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5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9">
        <v>0.03</v>
      </c>
      <c r="H30" s="111">
        <v>0.08</v>
      </c>
      <c r="I30" s="14" t="s">
        <v>17</v>
      </c>
      <c r="J30" s="19"/>
      <c r="K30" s="18"/>
      <c r="L30" s="20"/>
      <c r="M30" s="19"/>
      <c r="N30" s="18"/>
      <c r="O30" s="14"/>
      <c r="Q30" s="2" t="str">
        <f>CONCATENATE(B30,"_",E30,"_",D30,"_",C30)</f>
        <v>OCTO_Women_Percp_Speed_PEF</v>
      </c>
      <c r="S30" s="75">
        <f>G30</f>
        <v>0.03</v>
      </c>
      <c r="T30" s="2">
        <v>156</v>
      </c>
      <c r="U30" s="102">
        <f>W30/G30*H30</f>
        <v>8.0024012968337263E-2</v>
      </c>
      <c r="W30" s="74">
        <f t="shared" si="14"/>
        <v>3.0009004863126475E-2</v>
      </c>
      <c r="X30" s="74">
        <f t="shared" si="15"/>
        <v>0.15616222359799026</v>
      </c>
      <c r="Y30" s="74">
        <f t="shared" si="16"/>
        <v>0.15471131401066135</v>
      </c>
      <c r="Z30" s="74">
        <f t="shared" si="17"/>
        <v>-0.12683806055481456</v>
      </c>
      <c r="AA30" s="74">
        <f t="shared" si="18"/>
        <v>0.18685607028106749</v>
      </c>
      <c r="AB30" s="74">
        <f t="shared" si="19"/>
        <v>0.15684706541794102</v>
      </c>
      <c r="AC30" s="78">
        <f t="shared" si="20"/>
        <v>4.6860934123408002</v>
      </c>
      <c r="AD30" s="78"/>
      <c r="AE30" s="78">
        <f t="shared" si="21"/>
        <v>156.15624155864066</v>
      </c>
      <c r="AF30" s="79" t="str">
        <f t="shared" si="22"/>
        <v>0.03, (-0.13, 0.18)</v>
      </c>
      <c r="AG30" s="78">
        <f t="shared" si="23"/>
        <v>6.3756372957017691</v>
      </c>
      <c r="AH30" s="78">
        <f t="shared" si="24"/>
        <v>-0.80867346938775508</v>
      </c>
      <c r="AI30" s="78">
        <f t="shared" si="25"/>
        <v>0.10257057447927605</v>
      </c>
      <c r="AJ30" s="85">
        <f t="shared" si="13"/>
        <v>4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5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-0.13</v>
      </c>
      <c r="H31" s="15">
        <v>7.0000000000000007E-2</v>
      </c>
      <c r="I31" s="14" t="s">
        <v>65</v>
      </c>
      <c r="J31" s="12"/>
      <c r="K31" s="15"/>
      <c r="L31" s="14"/>
      <c r="M31" s="12"/>
      <c r="N31" s="16"/>
      <c r="O31" s="14"/>
      <c r="Q31" s="2" t="str">
        <f>CONCATENATE(B35,"_",E35,"_",D35,"_",C35)</f>
        <v>OCTO_Men_Symbol_PEF</v>
      </c>
      <c r="S31" s="75">
        <f>G35</f>
        <v>-0.04</v>
      </c>
      <c r="T31" s="74">
        <v>155</v>
      </c>
      <c r="U31" s="102">
        <f>W31/G35*H35</f>
        <v>7.0037369214344433E-2</v>
      </c>
      <c r="W31" s="74">
        <f>0.5*LN((1+S31)/(1-S31))</f>
        <v>-4.0021353836768248E-2</v>
      </c>
      <c r="X31" s="74">
        <f>S31-(EXP(2*Z31)-1)/(EXP(2*Z31)+1)</f>
        <v>0.1354600052045363</v>
      </c>
      <c r="Y31" s="74">
        <f>(EXP(2*AA31)-1)/(EXP(2*AA31)+1)-S31</f>
        <v>0.13694644479789078</v>
      </c>
      <c r="Z31" s="74">
        <f>W31-AB31</f>
        <v>-0.17729459749688334</v>
      </c>
      <c r="AA31" s="74">
        <f>W31+AB31</f>
        <v>9.7251889823346843E-2</v>
      </c>
      <c r="AB31" s="74">
        <f>1.96*U31</f>
        <v>0.13727324366011509</v>
      </c>
      <c r="AC31" s="78">
        <f>IF(W31&lt;&gt;"",ABS(W31/U31^2),"")</f>
        <v>8.1589097054710127</v>
      </c>
      <c r="AD31" s="78"/>
      <c r="AE31" s="78">
        <f>U31^-2</f>
        <v>203.86391071996403</v>
      </c>
      <c r="AF31" s="79" t="str">
        <f>CONCATENATE(ROUND(S31,2),", (",ROUND(-(X31-S31),2),", ",ROUND(Y31+S31,2),")")</f>
        <v>-0.04, (-0.18, 0.1)</v>
      </c>
      <c r="AG31" s="78">
        <f>1/AB31</f>
        <v>7.2847408084562604</v>
      </c>
      <c r="AH31" s="78">
        <f>AG31*Z31</f>
        <v>-1.2915451895043732</v>
      </c>
      <c r="AI31" s="78">
        <f>Z31^2*AG31</f>
        <v>0.22898398452221375</v>
      </c>
      <c r="AJ31" s="85">
        <f t="shared" si="13"/>
        <v>5</v>
      </c>
    </row>
    <row r="32" spans="1:75" x14ac:dyDescent="0.25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9">
        <v>0.02</v>
      </c>
      <c r="H32" s="111">
        <v>0.05</v>
      </c>
      <c r="I32" s="14" t="s">
        <v>28</v>
      </c>
      <c r="J32" s="19"/>
      <c r="K32" s="18"/>
      <c r="L32" s="20"/>
      <c r="M32" s="19"/>
      <c r="N32" s="18"/>
      <c r="O32" s="14"/>
      <c r="Q32" s="2" t="str">
        <f>CONCATENATE(B36,"_",E36,"_",D36,"_",C36)</f>
        <v>OCTO_Women_Symbol_PEF</v>
      </c>
      <c r="S32" s="75">
        <f>G36</f>
        <v>0.03</v>
      </c>
      <c r="T32" s="2">
        <v>154</v>
      </c>
      <c r="U32" s="102">
        <f>W32/G36*H36</f>
        <v>6.0018009726252944E-2</v>
      </c>
      <c r="W32" s="74">
        <f>0.5*LN((1+S32)/(1-S32))</f>
        <v>3.0009004863126475E-2</v>
      </c>
      <c r="X32" s="74">
        <f>S32-(EXP(2*Z32)-1)/(EXP(2*Z32)+1)</f>
        <v>0.11740270526647024</v>
      </c>
      <c r="Y32" s="74">
        <f>(EXP(2*AA32)-1)/(EXP(2*AA32)+1)-S32</f>
        <v>0.11658075176993601</v>
      </c>
      <c r="Z32" s="74">
        <f>W32-AB32</f>
        <v>-8.7626294200329288E-2</v>
      </c>
      <c r="AA32" s="74">
        <f>W32+AB32</f>
        <v>0.14764430392658223</v>
      </c>
      <c r="AB32" s="74">
        <f>1.96*U32</f>
        <v>0.11763529906345577</v>
      </c>
      <c r="AC32" s="78">
        <f>IF(W32&lt;&gt;"",ABS(W32/U32^2),"")</f>
        <v>8.3308327330503129</v>
      </c>
      <c r="AD32" s="78"/>
      <c r="AE32" s="78">
        <f>U32^-2</f>
        <v>277.61109610425012</v>
      </c>
      <c r="AF32" s="79" t="str">
        <f>CONCATENATE(ROUND(S32,2),", (",ROUND(-(X32-S32),2),", ",ROUND(Y32+S32,2),")")</f>
        <v>0.03, (-0.09, 0.15)</v>
      </c>
      <c r="AG32" s="78">
        <f>1/AB32</f>
        <v>8.5008497276023594</v>
      </c>
      <c r="AH32" s="78">
        <f>AG32*Z32</f>
        <v>-0.74489795918367341</v>
      </c>
      <c r="AI32" s="78">
        <f>Z32^2*AG32</f>
        <v>6.5272647720653443E-2</v>
      </c>
      <c r="AJ32" s="85">
        <f t="shared" si="13"/>
        <v>6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ht="12.95" customHeight="1" x14ac:dyDescent="0.25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0.06</v>
      </c>
      <c r="H33" s="15">
        <v>0.05</v>
      </c>
      <c r="I33" s="14" t="s">
        <v>68</v>
      </c>
      <c r="J33" s="12"/>
      <c r="K33" s="15"/>
      <c r="L33" s="14"/>
      <c r="M33" s="12"/>
      <c r="N33" s="16"/>
      <c r="O33" s="14"/>
      <c r="Q33" s="2" t="str">
        <f>CONCATENATE(B27,"_",E27,"_",D27,"_",C27)</f>
        <v>MAP_Men_Num_Comp_FEV1</v>
      </c>
      <c r="S33" s="75">
        <f>G27</f>
        <v>0.02</v>
      </c>
      <c r="T33" s="74">
        <v>153</v>
      </c>
      <c r="U33" s="102">
        <f>W33/G27*H27</f>
        <v>4.0005334613699206E-2</v>
      </c>
      <c r="W33" s="74">
        <f>0.5*LN((1+S33)/(1-S33))</f>
        <v>2.0002667306849603E-2</v>
      </c>
      <c r="X33" s="74">
        <f>S33-(EXP(2*Z33)-1)/(EXP(2*Z33)+1)</f>
        <v>7.8341460243837174E-2</v>
      </c>
      <c r="Y33" s="74">
        <f>(EXP(2*AA33)-1)/(EXP(2*AA33)+1)-S33</f>
        <v>7.8096634139051976E-2</v>
      </c>
      <c r="Z33" s="74">
        <f>W33-AB33</f>
        <v>-5.8407788536000843E-2</v>
      </c>
      <c r="AA33" s="74">
        <f>W33+AB33</f>
        <v>9.8413123149700049E-2</v>
      </c>
      <c r="AB33" s="74">
        <f>1.96*U33</f>
        <v>7.8410455842850446E-2</v>
      </c>
      <c r="AC33" s="78">
        <f>IF(W33&lt;&gt;"",ABS(W33/U33^2),"")</f>
        <v>12.498333155518283</v>
      </c>
      <c r="AD33" s="78"/>
      <c r="AE33" s="78">
        <f>U33^-2</f>
        <v>624.83332666531044</v>
      </c>
      <c r="AF33" s="79" t="str">
        <f>CONCATENATE(ROUND(S33,2),", (",ROUND(-(X33-S33),2),", ",ROUND(Y33+S33,2),")")</f>
        <v>0.02, (-0.06, 0.1)</v>
      </c>
      <c r="AG33" s="78">
        <f>1/AB33</f>
        <v>12.753401179100289</v>
      </c>
      <c r="AH33" s="78">
        <f>AG33*Z33</f>
        <v>-0.74489795918367352</v>
      </c>
      <c r="AI33" s="78">
        <f>Z33^2*AG33</f>
        <v>4.3507842480898583E-2</v>
      </c>
      <c r="AJ33" s="85">
        <f t="shared" si="13"/>
        <v>8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ht="12.95" customHeight="1" x14ac:dyDescent="0.25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9">
        <v>0.05</v>
      </c>
      <c r="H34" s="111">
        <v>0.03</v>
      </c>
      <c r="I34" s="14" t="s">
        <v>70</v>
      </c>
      <c r="J34" s="19"/>
      <c r="K34" s="18"/>
      <c r="L34" s="20"/>
      <c r="M34" s="19"/>
      <c r="N34" s="18"/>
      <c r="O34" s="14"/>
      <c r="Q34" s="2" t="str">
        <f>CONCATENATE(B28,"_",E28,"_",D28,"_",C28)</f>
        <v>MAP_Women_Num_Comp_FEV1</v>
      </c>
      <c r="S34" s="75">
        <f>G28</f>
        <v>-0.01</v>
      </c>
      <c r="T34" s="2">
        <v>152</v>
      </c>
      <c r="U34" s="102">
        <f>W34/G28*H28</f>
        <v>3.0001000060004314E-2</v>
      </c>
      <c r="W34" s="74">
        <f>0.5*LN((1+S34)/(1-S34))</f>
        <v>-1.0000333353334771E-2</v>
      </c>
      <c r="X34" s="74">
        <f>S34-(EXP(2*Z34)-1)/(EXP(2*Z34)+1)</f>
        <v>5.8693934231079638E-2</v>
      </c>
      <c r="Y34" s="74">
        <f>(EXP(2*AA34)-1)/(EXP(2*AA34)+1)-S34</f>
        <v>5.8762921671019333E-2</v>
      </c>
      <c r="Z34" s="74">
        <f>W34-AB34</f>
        <v>-6.8802293470943215E-2</v>
      </c>
      <c r="AA34" s="74">
        <f>W34+AB34</f>
        <v>4.880162676427368E-2</v>
      </c>
      <c r="AB34" s="74">
        <f>1.96*U34</f>
        <v>5.8801960117608451E-2</v>
      </c>
      <c r="AC34" s="78">
        <f>IF(W34&lt;&gt;"",ABS(W34/U34^2),"")</f>
        <v>11.11074073086367</v>
      </c>
      <c r="AD34" s="78"/>
      <c r="AE34" s="78">
        <f>U34^-2</f>
        <v>1111.0370362962567</v>
      </c>
      <c r="AF34" s="79" t="str">
        <f>CONCATENATE(ROUND(S34,2),", (",ROUND(-(X34-S34),2),", ",ROUND(Y34+S34,2),")")</f>
        <v>-0.01, (-0.07, 0.05)</v>
      </c>
      <c r="AG34" s="78">
        <f>1/AB34</f>
        <v>17.006235812546436</v>
      </c>
      <c r="AH34" s="78">
        <f>AG34*Z34</f>
        <v>-1.1700680272108843</v>
      </c>
      <c r="AI34" s="78">
        <f>Z34^2*AG34</f>
        <v>8.0503363789130838E-2</v>
      </c>
      <c r="AJ34" s="85">
        <f t="shared" si="13"/>
        <v>11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ht="12.95" customHeight="1" x14ac:dyDescent="0.25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-0.04</v>
      </c>
      <c r="H35" s="15">
        <v>7.0000000000000007E-2</v>
      </c>
      <c r="I35" s="14" t="s">
        <v>71</v>
      </c>
      <c r="J35" s="12"/>
      <c r="K35" s="15"/>
      <c r="L35" s="14"/>
      <c r="M35" s="12"/>
      <c r="N35" s="16"/>
      <c r="O35" s="14"/>
      <c r="Q35" s="2" t="str">
        <f>CONCATENATE(B33,"_",E33,"_",D33,"_",C33)</f>
        <v>MAP_Men_Symbol_FEV1</v>
      </c>
      <c r="S35" s="75">
        <f>G33</f>
        <v>0.06</v>
      </c>
      <c r="T35" s="74">
        <v>151</v>
      </c>
      <c r="U35" s="102">
        <f>W35/G33*H33</f>
        <v>5.0060129934193093E-2</v>
      </c>
      <c r="W35" s="74">
        <f t="shared" si="14"/>
        <v>6.0072155921031704E-2</v>
      </c>
      <c r="X35" s="74">
        <f t="shared" si="15"/>
        <v>9.8027352637079124E-2</v>
      </c>
      <c r="Y35" s="74">
        <f t="shared" si="16"/>
        <v>9.6883566264345522E-2</v>
      </c>
      <c r="Z35" s="74">
        <f t="shared" si="17"/>
        <v>-3.8045698749986749E-2</v>
      </c>
      <c r="AA35" s="74">
        <f t="shared" si="18"/>
        <v>0.15819001059205015</v>
      </c>
      <c r="AB35" s="74">
        <f t="shared" si="19"/>
        <v>9.8117854671018453E-2</v>
      </c>
      <c r="AC35" s="78">
        <f t="shared" si="20"/>
        <v>23.971172299741699</v>
      </c>
      <c r="AD35" s="78"/>
      <c r="AE35" s="78">
        <f t="shared" si="21"/>
        <v>399.0396537666</v>
      </c>
      <c r="AF35" s="79" t="str">
        <f t="shared" si="22"/>
        <v>0.06, (-0.04, 0.16)</v>
      </c>
      <c r="AG35" s="78">
        <f t="shared" si="23"/>
        <v>10.191824957373175</v>
      </c>
      <c r="AH35" s="78">
        <f t="shared" si="24"/>
        <v>-0.38775510204081637</v>
      </c>
      <c r="AI35" s="78">
        <f t="shared" si="25"/>
        <v>1.475241380101527E-2</v>
      </c>
      <c r="AJ35" s="85">
        <f t="shared" si="13"/>
        <v>7</v>
      </c>
      <c r="AQ35" s="2" t="s">
        <v>217</v>
      </c>
      <c r="BB35" s="2" t="s">
        <v>217</v>
      </c>
      <c r="BM35" s="2" t="s">
        <v>217</v>
      </c>
    </row>
    <row r="36" spans="1:73" ht="12.95" customHeight="1" x14ac:dyDescent="0.25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9">
        <v>0.03</v>
      </c>
      <c r="H36" s="111">
        <v>0.06</v>
      </c>
      <c r="I36" s="14" t="s">
        <v>74</v>
      </c>
      <c r="J36" s="19"/>
      <c r="K36" s="18"/>
      <c r="L36" s="20"/>
      <c r="M36" s="19"/>
      <c r="N36" s="18"/>
      <c r="O36" s="14"/>
      <c r="Q36" s="2" t="str">
        <f>CONCATENATE(B34,"_",E34,"_",D34,"_",C34)</f>
        <v>MAP_Women_Symbol_FEV1</v>
      </c>
      <c r="S36" s="75">
        <f>G34</f>
        <v>0.05</v>
      </c>
      <c r="T36" s="2">
        <v>150</v>
      </c>
      <c r="U36" s="102">
        <f>W36/G34*H34</f>
        <v>3.0025037567094785E-2</v>
      </c>
      <c r="W36" s="74">
        <f t="shared" si="14"/>
        <v>5.0041729278491313E-2</v>
      </c>
      <c r="X36" s="74">
        <f t="shared" si="15"/>
        <v>5.8807116633525267E-2</v>
      </c>
      <c r="Y36" s="74">
        <f t="shared" si="16"/>
        <v>5.8462454141357589E-2</v>
      </c>
      <c r="Z36" s="74">
        <f t="shared" si="17"/>
        <v>-8.8073443530144666E-3</v>
      </c>
      <c r="AA36" s="74">
        <f t="shared" si="18"/>
        <v>0.10889080290999709</v>
      </c>
      <c r="AB36" s="74">
        <f t="shared" si="19"/>
        <v>5.884907363150578E-2</v>
      </c>
      <c r="AC36" s="78">
        <f t="shared" si="20"/>
        <v>55.509228354578639</v>
      </c>
      <c r="AD36" s="78"/>
      <c r="AE36" s="78">
        <f t="shared" si="21"/>
        <v>1109.2587957074725</v>
      </c>
      <c r="AF36" s="79" t="str">
        <f t="shared" si="22"/>
        <v>0.05, (-0.01, 0.11)</v>
      </c>
      <c r="AG36" s="78">
        <f t="shared" si="23"/>
        <v>16.992620924871012</v>
      </c>
      <c r="AH36" s="78">
        <f t="shared" si="24"/>
        <v>-0.14965986394557818</v>
      </c>
      <c r="AI36" s="78">
        <f t="shared" si="25"/>
        <v>1.3181059575940012E-3</v>
      </c>
      <c r="AJ36" s="85">
        <f t="shared" si="13"/>
        <v>11</v>
      </c>
      <c r="AR36" s="2" t="s">
        <v>218</v>
      </c>
    </row>
    <row r="37" spans="1:73" ht="12.95" customHeight="1" x14ac:dyDescent="0.25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0.01</v>
      </c>
      <c r="H37" s="15">
        <v>0.06</v>
      </c>
      <c r="I37" s="14" t="s">
        <v>24</v>
      </c>
      <c r="J37" s="12"/>
      <c r="K37" s="15"/>
      <c r="L37" s="14"/>
      <c r="M37" s="12"/>
      <c r="N37" s="16"/>
      <c r="O37" s="14"/>
      <c r="Q37" s="2" t="str">
        <f>CONCATENATE(B37,"_",E37,"_",D37,"_",C37)</f>
        <v>SATSA_Men_Symbol_FEV1</v>
      </c>
      <c r="S37" s="75">
        <f>G37</f>
        <v>0.01</v>
      </c>
      <c r="T37" s="74">
        <v>149</v>
      </c>
      <c r="U37" s="102">
        <f>W37/G37*H37</f>
        <v>6.0002000120008309E-2</v>
      </c>
      <c r="W37" s="74">
        <f t="shared" si="14"/>
        <v>1.0000333353334718E-2</v>
      </c>
      <c r="X37" s="74">
        <f t="shared" si="15"/>
        <v>0.11719020413440014</v>
      </c>
      <c r="Y37" s="74">
        <f t="shared" si="16"/>
        <v>0.11691614818336067</v>
      </c>
      <c r="Z37" s="74">
        <f t="shared" si="17"/>
        <v>-0.10760358688188155</v>
      </c>
      <c r="AA37" s="74">
        <f t="shared" si="18"/>
        <v>0.12760425358855099</v>
      </c>
      <c r="AB37" s="74">
        <f t="shared" si="19"/>
        <v>0.11760392023521628</v>
      </c>
      <c r="AC37" s="78">
        <f t="shared" si="20"/>
        <v>2.7776851827159321</v>
      </c>
      <c r="AD37" s="78"/>
      <c r="AE37" s="78">
        <f t="shared" si="21"/>
        <v>277.75925907406707</v>
      </c>
      <c r="AF37" s="79" t="str">
        <f t="shared" si="22"/>
        <v>0.01, (-0.11, 0.13)</v>
      </c>
      <c r="AG37" s="78">
        <f t="shared" si="23"/>
        <v>8.5031179062732622</v>
      </c>
      <c r="AH37" s="78">
        <f t="shared" si="24"/>
        <v>-0.91496598639455773</v>
      </c>
      <c r="AI37" s="78">
        <f t="shared" si="25"/>
        <v>9.8453622010973241E-2</v>
      </c>
      <c r="AJ37" s="85">
        <f t="shared" si="13"/>
        <v>6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ht="12.95" customHeight="1" x14ac:dyDescent="0.25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9">
        <v>0.04</v>
      </c>
      <c r="H38" s="111">
        <v>0.05</v>
      </c>
      <c r="I38" s="14" t="s">
        <v>43</v>
      </c>
      <c r="J38" s="19"/>
      <c r="K38" s="18"/>
      <c r="L38" s="20"/>
      <c r="M38" s="19"/>
      <c r="N38" s="18"/>
      <c r="O38" s="14"/>
      <c r="Q38" s="2" t="str">
        <f>CONCATENATE(B38,"_",E38,"_",D38,"_",C38)</f>
        <v>SATSA_Women_Symbol_FEV1</v>
      </c>
      <c r="S38" s="75">
        <f>G38</f>
        <v>0.04</v>
      </c>
      <c r="T38" s="2">
        <v>148</v>
      </c>
      <c r="U38" s="102">
        <f>W38/G38*H38</f>
        <v>5.0026692295960351E-2</v>
      </c>
      <c r="W38" s="74">
        <f t="shared" si="14"/>
        <v>4.0021353836768282E-2</v>
      </c>
      <c r="X38" s="74">
        <f t="shared" si="15"/>
        <v>9.7965909143257326E-2</v>
      </c>
      <c r="Y38" s="74">
        <f t="shared" si="16"/>
        <v>9.7202882798330864E-2</v>
      </c>
      <c r="Z38" s="74">
        <f t="shared" si="17"/>
        <v>-5.8030963063314005E-2</v>
      </c>
      <c r="AA38" s="74">
        <f t="shared" si="18"/>
        <v>0.13807367073685056</v>
      </c>
      <c r="AB38" s="74">
        <f t="shared" si="19"/>
        <v>9.8052316900082287E-2</v>
      </c>
      <c r="AC38" s="78">
        <f t="shared" si="20"/>
        <v>15.99146302272317</v>
      </c>
      <c r="AD38" s="78"/>
      <c r="AE38" s="78">
        <f t="shared" si="21"/>
        <v>399.57326501112885</v>
      </c>
      <c r="AF38" s="79" t="str">
        <f t="shared" si="22"/>
        <v>0.04, (-0.06, 0.14)</v>
      </c>
      <c r="AG38" s="78">
        <f t="shared" si="23"/>
        <v>10.198637131838757</v>
      </c>
      <c r="AH38" s="78">
        <f t="shared" si="24"/>
        <v>-0.59183673469387754</v>
      </c>
      <c r="AI38" s="78">
        <f t="shared" si="25"/>
        <v>3.4344855690532777E-2</v>
      </c>
      <c r="AJ38" s="85">
        <f t="shared" si="13"/>
        <v>7</v>
      </c>
      <c r="AQ38" s="2" t="s">
        <v>233</v>
      </c>
      <c r="BC38" s="2" t="s">
        <v>218</v>
      </c>
      <c r="BN38" s="2" t="s">
        <v>218</v>
      </c>
    </row>
    <row r="39" spans="1:73" ht="12.95" customHeight="1" x14ac:dyDescent="0.25">
      <c r="A39" s="10"/>
      <c r="B39" s="11"/>
      <c r="C39" s="11"/>
      <c r="D39" s="11"/>
      <c r="E39" s="11"/>
      <c r="F39" s="11"/>
      <c r="G39" s="19"/>
      <c r="H39" s="111"/>
      <c r="I39" s="14"/>
      <c r="J39" s="19"/>
      <c r="K39" s="18"/>
      <c r="L39" s="20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78"/>
      <c r="AI39" s="78"/>
      <c r="AJ39" s="85"/>
    </row>
    <row r="40" spans="1:73" ht="12.95" customHeight="1" x14ac:dyDescent="0.25">
      <c r="A40" s="10"/>
      <c r="B40" s="11"/>
      <c r="C40" s="11"/>
      <c r="D40" s="11"/>
      <c r="E40" s="11"/>
      <c r="F40" s="11"/>
      <c r="G40" s="19"/>
      <c r="H40" s="111"/>
      <c r="I40" s="14"/>
      <c r="J40" s="19"/>
      <c r="K40" s="18"/>
      <c r="L40" s="20"/>
      <c r="M40" s="19"/>
      <c r="N40" s="18"/>
      <c r="O40" s="14"/>
      <c r="Q40" s="2" t="s">
        <v>323</v>
      </c>
      <c r="S40" s="84">
        <f>(EXP(2*AD40)-1)/(EXP(2*AD40)+1)</f>
        <v>7.3975723096197724E-2</v>
      </c>
      <c r="T40" s="2">
        <v>146</v>
      </c>
      <c r="U40" s="103">
        <f>1/SQRT(AD40*AE40)</f>
        <v>6.8127687081260282E-2</v>
      </c>
      <c r="V40" s="80">
        <f>1/SQRT(AE40)</f>
        <v>1.8546642599632002E-2</v>
      </c>
      <c r="W40" s="74">
        <f>0.5*LN((1+S40)/(1-S40))</f>
        <v>7.4111109679288134E-2</v>
      </c>
      <c r="X40" s="74">
        <f>S40-(EXP(2*Z40)-1)/(EXP(2*Z40)+1)</f>
        <v>0.13332504957040128</v>
      </c>
      <c r="Y40" s="74">
        <f>(EXP(2*AA40)-1)/(EXP(2*AA40)+1)-S40</f>
        <v>0.1307320865419998</v>
      </c>
      <c r="Z40" s="74">
        <f>W40-AB40</f>
        <v>-5.9419156999982015E-2</v>
      </c>
      <c r="AA40" s="74">
        <f>W40+AB40</f>
        <v>0.20764137635855828</v>
      </c>
      <c r="AB40" s="74">
        <f>1.96*U40</f>
        <v>0.13353026667927015</v>
      </c>
      <c r="AC40" s="78">
        <f>SUM(AC33,AC29,AC25,AC35,AC37,AC31,AC27)</f>
        <v>215.45308153919567</v>
      </c>
      <c r="AD40" s="78">
        <f>AC40/AE40</f>
        <v>7.4111109679288148E-2</v>
      </c>
      <c r="AE40" s="78">
        <f>SUM(AE33,AE29,AE25,AE35,AE37,AE31,AE27)</f>
        <v>2907.163075435752</v>
      </c>
      <c r="AF40" s="79" t="str">
        <f>CONCATENATE(ROUND(S40,2),", (",ROUND(-(X40-S40),2),", ",ROUND(Y40+S40,2),")")</f>
        <v>0.07, (-0.06, 0.2)</v>
      </c>
      <c r="AG40" s="78">
        <f>SUM(AG33,AG29,AG25,AG35,AG37,AG31,AG27)</f>
        <v>67.993558247221415</v>
      </c>
      <c r="AH40" s="78">
        <f>SUM(AH33,AH29,AH25,AH35,AH37,AH31,AH27)</f>
        <v>-5.705053449951409</v>
      </c>
      <c r="AI40" s="78">
        <f>SUM(AI33,AI29,AI25,AI35,AI37,AI31,AI27)</f>
        <v>1.3915024546935804</v>
      </c>
      <c r="AJ40"/>
      <c r="AK40" s="81">
        <f>AK44-AK42</f>
        <v>7</v>
      </c>
      <c r="AL40">
        <f>CHIDIST(AI40,AK40-1)</f>
        <v>0.96637329562326546</v>
      </c>
      <c r="AM40" s="82">
        <f>IF((AI40-AK40+1)/AI40&lt;0,0,(AI40-AK40+1)/AI40)</f>
        <v>0</v>
      </c>
      <c r="AN40" s="74" t="str">
        <f>CONCATENATE(ROUND(S40,2)," (",ROUND(AO40,2),", ",ROUND(AP40,2),")")</f>
        <v>0.07 (-0.06, 0.01)</v>
      </c>
      <c r="AO40" s="77">
        <f>S40-Y40</f>
        <v>-5.675636344580208E-2</v>
      </c>
      <c r="AP40">
        <f>S40+Z40</f>
        <v>1.4556566096215709E-2</v>
      </c>
    </row>
    <row r="41" spans="1:73" ht="12.95" customHeight="1" x14ac:dyDescent="0.25">
      <c r="A41" s="10"/>
      <c r="B41" s="11"/>
      <c r="C41" s="11"/>
      <c r="D41" s="11"/>
      <c r="E41" s="11"/>
      <c r="F41" s="11"/>
      <c r="G41" s="19"/>
      <c r="H41" s="111"/>
      <c r="I41" s="14"/>
      <c r="J41" s="19"/>
      <c r="K41" s="18"/>
      <c r="L41" s="20"/>
      <c r="M41" s="19"/>
      <c r="N41" s="18"/>
      <c r="O41" s="14"/>
      <c r="T41" s="74">
        <v>145</v>
      </c>
      <c r="U41" s="75"/>
    </row>
    <row r="42" spans="1:73" ht="12.95" customHeight="1" x14ac:dyDescent="0.25">
      <c r="A42" s="10"/>
      <c r="B42" s="11"/>
      <c r="C42" s="11"/>
      <c r="D42" s="11"/>
      <c r="E42" s="11"/>
      <c r="F42" s="11"/>
      <c r="G42" s="19"/>
      <c r="H42" s="111"/>
      <c r="I42" s="14"/>
      <c r="J42" s="19"/>
      <c r="K42" s="18"/>
      <c r="L42" s="20"/>
      <c r="M42" s="19"/>
      <c r="N42" s="18"/>
      <c r="O42" s="14"/>
      <c r="Q42" s="2" t="s">
        <v>322</v>
      </c>
      <c r="S42" s="84">
        <f>(EXP(2*AD42)-1)/(EXP(2*AD42)+1)</f>
        <v>4.9426640874345014E-2</v>
      </c>
      <c r="T42" s="2">
        <v>144</v>
      </c>
      <c r="U42" s="103">
        <f>1/SQRT(AD42*AE42)</f>
        <v>6.6614143625140995E-2</v>
      </c>
      <c r="V42" s="80">
        <f>1/SQRT(AE42)</f>
        <v>1.4815762729532564E-2</v>
      </c>
      <c r="W42" s="74">
        <f>0.5*LN((1+S42)/(1-S42))</f>
        <v>4.9466949618303543E-2</v>
      </c>
      <c r="X42" s="74">
        <f>S42-(EXP(2*Z42)-1)/(EXP(2*Z42)+1)</f>
        <v>0.13034609652881515</v>
      </c>
      <c r="Y42" s="74">
        <f>(EXP(2*AA42)-1)/(EXP(2*AA42)+1)-S42</f>
        <v>0.12868392553727287</v>
      </c>
      <c r="Z42" s="74">
        <f>W42-AB42</f>
        <v>-8.1096771886972799E-2</v>
      </c>
      <c r="AA42" s="74">
        <f>W42+AB42</f>
        <v>0.1800306711235799</v>
      </c>
      <c r="AB42" s="74">
        <f>1.96*U42</f>
        <v>0.13056372150527634</v>
      </c>
      <c r="AC42" s="78">
        <f>SUM(AC34,AC30,AC26,AC36,AC32,AC38,AC28)</f>
        <v>225.35494994383657</v>
      </c>
      <c r="AD42" s="78">
        <f>AC42/AE42</f>
        <v>4.9466949618303405E-2</v>
      </c>
      <c r="AE42" s="78">
        <f>SUM(AE34,AE30,AE26,AE36,AE32,AE38,AE28)</f>
        <v>4555.6669995364409</v>
      </c>
      <c r="AF42" s="79" t="str">
        <f>CONCATENATE(ROUND(S42,2),", (",ROUND(-(X42-S42),2),", ",ROUND(Y42+S42,2),")")</f>
        <v>0.05, (-0.08, 0.18)</v>
      </c>
      <c r="AG42" s="78">
        <f>SUM(AG34,AG30,AG26,AG36,AG32,AG38,AG28)</f>
        <v>86.214687708393654</v>
      </c>
      <c r="AH42" s="78">
        <f>SUM(AH34,AH30,AH26,AH36,AH32,AH38,AH28)</f>
        <v>-3.3903061224489797</v>
      </c>
      <c r="AI42" s="78">
        <f>SUM(AI34,AI30,AI26,AI36,AI32,AI38,AI28)</f>
        <v>0.39086290493184911</v>
      </c>
      <c r="AJ42"/>
      <c r="AK42" s="81">
        <f>COUNT(AI28,AI34,AI30,AI26,AI36,AI32,AI38)</f>
        <v>7</v>
      </c>
      <c r="AL42">
        <f>CHIDIST(AI42,AK42-1)</f>
        <v>0.99892479712367721</v>
      </c>
      <c r="AM42" s="82">
        <f>IF((AI42-AK42+1)/AI42&lt;0,0,(AI42-AK42+1)/AI42)</f>
        <v>0</v>
      </c>
      <c r="AN42" s="74" t="str">
        <f>CONCATENATE(ROUND(S42,2)," (",ROUND(AO42,2),", ",ROUND(AP42,2),")")</f>
        <v>0.05 (-0.08, -0.03)</v>
      </c>
      <c r="AO42" s="77">
        <f>S42-Y42</f>
        <v>-7.9257284662927863E-2</v>
      </c>
      <c r="AP42">
        <f>S42+Z42</f>
        <v>-3.1670131012627785E-2</v>
      </c>
    </row>
    <row r="43" spans="1:73" ht="12.95" customHeight="1" x14ac:dyDescent="0.25">
      <c r="A43" s="10"/>
      <c r="B43" s="11"/>
      <c r="C43" s="11"/>
      <c r="D43" s="11"/>
      <c r="E43" s="11"/>
      <c r="F43" s="11"/>
      <c r="G43" s="19"/>
      <c r="H43" s="111"/>
      <c r="I43" s="14"/>
      <c r="J43" s="19"/>
      <c r="K43" s="18"/>
      <c r="L43" s="20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7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ht="12.95" customHeight="1" x14ac:dyDescent="0.25">
      <c r="A44" s="10"/>
      <c r="B44" s="11"/>
      <c r="C44" s="11"/>
      <c r="D44" s="11"/>
      <c r="E44" s="11"/>
      <c r="F44" s="11"/>
      <c r="G44" s="19"/>
      <c r="H44" s="111"/>
      <c r="I44" s="14"/>
      <c r="J44" s="19"/>
      <c r="K44" s="18"/>
      <c r="L44" s="20"/>
      <c r="M44" s="19"/>
      <c r="N44" s="18"/>
      <c r="O44" s="14"/>
      <c r="Q44" s="2" t="s">
        <v>185</v>
      </c>
      <c r="S44" s="84">
        <f>(EXP(2*AD44)-1)/(EXP(2*AD44)+1)</f>
        <v>5.8998542438240376E-2</v>
      </c>
      <c r="T44" s="2">
        <v>142</v>
      </c>
      <c r="U44" s="103">
        <f>1/SQRT(AD44*AE44)</f>
        <v>4.7629415355416815E-2</v>
      </c>
      <c r="V44" s="80">
        <f>1/SQRT(AE44)</f>
        <v>1.1575725602455806E-2</v>
      </c>
      <c r="W44" s="74">
        <f>0.5*LN((1+S44)/(1-S44))</f>
        <v>5.9067140354884119E-2</v>
      </c>
      <c r="X44" s="74">
        <f>S44-(EXP(2*Z44)-1)/(EXP(2*Z44)+1)</f>
        <v>9.3271627152492903E-2</v>
      </c>
      <c r="Y44" s="74">
        <f>(EXP(2*AA44)-1)/(EXP(2*AA44)+1)-S44</f>
        <v>9.2252767007735437E-2</v>
      </c>
      <c r="Z44" s="74">
        <f>W44-AB44</f>
        <v>-3.4286513741732839E-2</v>
      </c>
      <c r="AA44" s="74">
        <f>W44+AB44</f>
        <v>0.15242079445150108</v>
      </c>
      <c r="AB44" s="74">
        <f>1.96*U44</f>
        <v>9.3353654096616959E-2</v>
      </c>
      <c r="AC44" s="78">
        <f>SUM(AC25:AC38)</f>
        <v>440.80803148303221</v>
      </c>
      <c r="AD44" s="78">
        <f>AC44/AE44</f>
        <v>5.9067140354884029E-2</v>
      </c>
      <c r="AE44" s="78">
        <f>SUM(AE25:AE38)</f>
        <v>7462.830074972193</v>
      </c>
      <c r="AF44" s="79" t="str">
        <f>CONCATENATE(ROUND(S44,2),", (",ROUND(-(X44-S44),2),", ",ROUND(Y44+S44,2),")")</f>
        <v>0.06, (-0.03, 0.15)</v>
      </c>
      <c r="AG44" s="78">
        <f>SUM(AG25:AG38)</f>
        <v>154.2082459556151</v>
      </c>
      <c r="AH44" s="78">
        <f>SUM(AH25:AH38)</f>
        <v>-9.0953595724003904</v>
      </c>
      <c r="AI44" s="78">
        <f>SUM(AI25:AI38)</f>
        <v>1.7823653596254292</v>
      </c>
      <c r="AJ44"/>
      <c r="AK44" s="81">
        <f>COUNT(AI25:AI38)</f>
        <v>14</v>
      </c>
      <c r="AL44">
        <f>CHIDIST(AI44,AK44-1)</f>
        <v>0.99988259787439182</v>
      </c>
      <c r="AM44" s="82">
        <f>IF((AI44-AK44+1)/AI44&lt;0,0,(AI44-AK44+1)/AI44)</f>
        <v>0</v>
      </c>
      <c r="AN44" s="74" t="str">
        <f>CONCATENATE(ROUND(S44,2)," (",ROUND(AO44,2),", ",ROUND(AP44,2),")")</f>
        <v>0.06 (0, 0)</v>
      </c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ht="12.95" customHeight="1" x14ac:dyDescent="0.25">
      <c r="A45" s="10" t="s">
        <v>78</v>
      </c>
      <c r="B45" s="11"/>
      <c r="C45" s="11"/>
      <c r="D45" s="11"/>
      <c r="E45" s="11"/>
      <c r="F45" s="11"/>
      <c r="G45" s="19"/>
      <c r="H45" s="111"/>
      <c r="I45" s="14"/>
      <c r="J45" s="19"/>
      <c r="K45" s="18"/>
      <c r="L45" s="20"/>
      <c r="M45" s="19"/>
      <c r="N45" s="18"/>
      <c r="O45" s="14"/>
      <c r="T45" s="74">
        <v>141</v>
      </c>
      <c r="U45" s="75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ht="12.95" customHeight="1" x14ac:dyDescent="0.25">
      <c r="A46" s="10"/>
      <c r="B46" s="11"/>
      <c r="C46" s="11"/>
      <c r="D46" s="11"/>
      <c r="E46" s="11"/>
      <c r="F46" s="11"/>
      <c r="G46" s="19"/>
      <c r="H46" s="111"/>
      <c r="I46" s="14"/>
      <c r="J46" s="19"/>
      <c r="K46" s="18"/>
      <c r="L46" s="20"/>
      <c r="M46" s="19"/>
      <c r="N46" s="18"/>
      <c r="O46" s="14"/>
      <c r="Q46" s="1" t="s">
        <v>78</v>
      </c>
      <c r="T46" s="2">
        <v>140</v>
      </c>
      <c r="U46" s="75"/>
    </row>
    <row r="47" spans="1:73" ht="12.95" customHeight="1" x14ac:dyDescent="0.25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-0.01</v>
      </c>
      <c r="H47" s="15">
        <v>0.04</v>
      </c>
      <c r="I47" s="14" t="s">
        <v>55</v>
      </c>
      <c r="J47" s="12"/>
      <c r="K47" s="15"/>
      <c r="L47" s="14"/>
      <c r="M47" s="12"/>
      <c r="N47" s="16"/>
      <c r="O47" s="14"/>
      <c r="Q47" s="2" t="str">
        <f>CONCATENATE(B63,"_",E63,"_",D63,"_",C63)</f>
        <v>EAS_Men_Digit_Tot_PEF</v>
      </c>
      <c r="S47" s="75">
        <f>G63</f>
        <v>7.0000000000000007E-2</v>
      </c>
      <c r="T47" s="74">
        <v>139</v>
      </c>
      <c r="U47" s="102">
        <f>W47/G63*H63</f>
        <v>6.0098289132278694E-2</v>
      </c>
      <c r="W47" s="74">
        <f t="shared" ref="W47:W56" si="26">0.5*LN((1+S47)/(1-S47))</f>
        <v>7.0114670654325154E-2</v>
      </c>
      <c r="X47" s="74">
        <f t="shared" ref="X47:X56" si="27">S47-(EXP(2*Z47)-1)/(EXP(2*Z47)+1)</f>
        <v>0.11764188184092182</v>
      </c>
      <c r="Y47" s="74">
        <f t="shared" ref="Y47:Y56" si="28">(EXP(2*AA47)-1)/(EXP(2*AA47)+1)-S47</f>
        <v>0.11572649685287231</v>
      </c>
      <c r="Z47" s="74">
        <f t="shared" ref="Z47:Z56" si="29">W47-AB47</f>
        <v>-4.7677976044941089E-2</v>
      </c>
      <c r="AA47" s="74">
        <f t="shared" ref="AA47:AA56" si="30">W47+AB47</f>
        <v>0.1879073173535914</v>
      </c>
      <c r="AB47" s="74">
        <f t="shared" ref="AB47:AB56" si="31">1.96*U47</f>
        <v>0.11779264669926624</v>
      </c>
      <c r="AC47" s="78">
        <f t="shared" ref="AC47:AC56" si="32">IF(W47&lt;&gt;"",ABS(W47/U47^2),"")</f>
        <v>19.412643579566595</v>
      </c>
      <c r="AD47" s="78"/>
      <c r="AE47" s="78">
        <f t="shared" ref="AE47:AE56" si="33">U47^-2</f>
        <v>276.86992463066059</v>
      </c>
      <c r="AF47" s="79" t="str">
        <f t="shared" ref="AF47:AF56" si="34">CONCATENATE(ROUND(S47,2),", (",ROUND(-(X47-S47),2),", ",ROUND(Y47+S47,2),")")</f>
        <v>0.07, (-0.05, 0.19)</v>
      </c>
      <c r="AG47" s="78">
        <f t="shared" ref="AG47:AG56" si="35">1/AB47</f>
        <v>8.4894942767783927</v>
      </c>
      <c r="AH47" s="78">
        <f t="shared" ref="AH47:AH56" si="36">AG47*Z47</f>
        <v>-0.40476190476190471</v>
      </c>
      <c r="AI47" s="78">
        <f t="shared" ref="AI47:AI56" si="37">Z47^2*AG47</f>
        <v>1.9298228399142817E-2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ht="12.95" customHeight="1" x14ac:dyDescent="0.25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9">
        <v>-0.04</v>
      </c>
      <c r="H48" s="111">
        <v>0.03</v>
      </c>
      <c r="I48" s="14" t="s">
        <v>47</v>
      </c>
      <c r="J48" s="19"/>
      <c r="K48" s="18"/>
      <c r="L48" s="20"/>
      <c r="M48" s="19"/>
      <c r="N48" s="18"/>
      <c r="O48" s="14"/>
      <c r="Q48" s="2" t="str">
        <f>CONCATENATE(B64,"_",E64,"_",D64,"_",C64)</f>
        <v>EAS_Women_Digit_Tot_PEF</v>
      </c>
      <c r="S48" s="75">
        <f>G64</f>
        <v>-0.03</v>
      </c>
      <c r="T48" s="2">
        <v>138</v>
      </c>
      <c r="U48" s="102">
        <f>W48/G64*H64</f>
        <v>5.0015008105210867E-2</v>
      </c>
      <c r="W48" s="74">
        <f t="shared" si="26"/>
        <v>-3.000900486312652E-2</v>
      </c>
      <c r="X48" s="74">
        <f t="shared" si="27"/>
        <v>9.7343298341990209E-2</v>
      </c>
      <c r="Y48" s="74">
        <f t="shared" si="28"/>
        <v>9.7915699733534103E-2</v>
      </c>
      <c r="Z48" s="74">
        <f t="shared" si="29"/>
        <v>-0.1280384207493398</v>
      </c>
      <c r="AA48" s="74">
        <f t="shared" si="30"/>
        <v>6.8020411023086771E-2</v>
      </c>
      <c r="AB48" s="74">
        <f t="shared" si="31"/>
        <v>9.8029415886213292E-2</v>
      </c>
      <c r="AC48" s="78">
        <f t="shared" si="32"/>
        <v>11.99639913559243</v>
      </c>
      <c r="AD48" s="78"/>
      <c r="AE48" s="78">
        <f t="shared" si="33"/>
        <v>399.75997839011887</v>
      </c>
      <c r="AF48" s="79" t="str">
        <f t="shared" si="34"/>
        <v>-0.03, (-0.13, 0.07)</v>
      </c>
      <c r="AG48" s="78">
        <f t="shared" si="35"/>
        <v>10.201019673122815</v>
      </c>
      <c r="AH48" s="78">
        <f t="shared" si="36"/>
        <v>-1.3061224489795917</v>
      </c>
      <c r="AI48" s="78">
        <f t="shared" si="37"/>
        <v>0.16723385567260707</v>
      </c>
      <c r="AJ48" s="85">
        <f>ROUND(AG48/AG$74*100,0)+1</f>
        <v>5</v>
      </c>
      <c r="AQ48" s="2" t="s">
        <v>217</v>
      </c>
      <c r="BB48" s="2" t="s">
        <v>233</v>
      </c>
      <c r="BM48" s="2" t="s">
        <v>233</v>
      </c>
    </row>
    <row r="49" spans="1:72" ht="12.95" customHeight="1" x14ac:dyDescent="0.25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0.04</v>
      </c>
      <c r="H49" s="15">
        <v>0.03</v>
      </c>
      <c r="I49" s="14" t="s">
        <v>82</v>
      </c>
      <c r="J49" s="12"/>
      <c r="K49" s="15"/>
      <c r="L49" s="14"/>
      <c r="M49" s="12"/>
      <c r="N49" s="16"/>
      <c r="O49" s="14"/>
      <c r="Q49" s="2" t="str">
        <f>CONCATENATE(B67,"_",E67,"_",D67,"_",C67)</f>
        <v>EAS_Men_TrailsB_PEF</v>
      </c>
      <c r="S49" s="75">
        <f>G67</f>
        <v>9.9999999999999995E-8</v>
      </c>
      <c r="T49" s="74">
        <v>137</v>
      </c>
      <c r="U49" s="102">
        <f>W49/G67*H67</f>
        <v>7.0000000035275289E-2</v>
      </c>
      <c r="W49" s="74">
        <f>0.5*LN((1+S49)/(1-S49))</f>
        <v>1.0000000005039327E-7</v>
      </c>
      <c r="X49" s="74">
        <f t="shared" si="27"/>
        <v>0.13634555796787412</v>
      </c>
      <c r="Y49" s="74">
        <f t="shared" si="28"/>
        <v>0.13634555424985204</v>
      </c>
      <c r="Z49" s="74">
        <f t="shared" si="29"/>
        <v>-0.13719990006913951</v>
      </c>
      <c r="AA49" s="74">
        <f t="shared" si="30"/>
        <v>0.13720010006913963</v>
      </c>
      <c r="AB49" s="74">
        <f t="shared" si="31"/>
        <v>0.13720000006913957</v>
      </c>
      <c r="AC49" s="78">
        <f t="shared" si="32"/>
        <v>2.0408163255021781E-5</v>
      </c>
      <c r="AD49" s="78"/>
      <c r="AE49" s="78">
        <f>U49^-2</f>
        <v>204.0816324473744</v>
      </c>
      <c r="AF49" s="79" t="str">
        <f t="shared" si="34"/>
        <v>0, (-0.14, 0.14)</v>
      </c>
      <c r="AG49" s="78">
        <f t="shared" si="35"/>
        <v>7.2886297339363502</v>
      </c>
      <c r="AH49" s="78">
        <f t="shared" si="36"/>
        <v>-0.99999927113702614</v>
      </c>
      <c r="AI49" s="78">
        <f t="shared" si="37"/>
        <v>0.13719980006921234</v>
      </c>
      <c r="AJ49" s="85">
        <f>ROUND(AG49/AG$74*100,0)</f>
        <v>3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ht="12.95" customHeight="1" x14ac:dyDescent="0.25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-0.1</v>
      </c>
      <c r="H50" s="15">
        <v>0.08</v>
      </c>
      <c r="I50" s="14" t="s">
        <v>83</v>
      </c>
      <c r="J50" s="12"/>
      <c r="K50" s="15"/>
      <c r="L50" s="14"/>
      <c r="M50" s="12"/>
      <c r="N50" s="16"/>
      <c r="O50" s="14"/>
      <c r="Q50" s="2" t="str">
        <f>CONCATENATE(B68,"_",E68,"_",D68,"_",C68)</f>
        <v>EAS_Women_TrailsB_PEF</v>
      </c>
      <c r="S50" s="75">
        <f>G68</f>
        <v>-0.02</v>
      </c>
      <c r="T50" s="2">
        <v>136</v>
      </c>
      <c r="U50" s="102">
        <f>W50/G68*H68</f>
        <v>5.0006668267124056E-2</v>
      </c>
      <c r="W50" s="74">
        <f t="shared" si="26"/>
        <v>-2.0002667306849624E-2</v>
      </c>
      <c r="X50" s="74">
        <f t="shared" si="27"/>
        <v>9.7470875891668696E-2</v>
      </c>
      <c r="Y50" s="74">
        <f t="shared" si="28"/>
        <v>9.7852539466298627E-2</v>
      </c>
      <c r="Z50" s="74">
        <f t="shared" si="29"/>
        <v>-0.11801573711041277</v>
      </c>
      <c r="AA50" s="74">
        <f t="shared" si="30"/>
        <v>7.8010402496713538E-2</v>
      </c>
      <c r="AB50" s="74">
        <f t="shared" si="31"/>
        <v>9.8013069803563155E-2</v>
      </c>
      <c r="AC50" s="78">
        <f t="shared" si="32"/>
        <v>7.9989332195316942</v>
      </c>
      <c r="AD50" s="78"/>
      <c r="AE50" s="78">
        <f t="shared" si="33"/>
        <v>399.8933290657979</v>
      </c>
      <c r="AF50" s="79" t="str">
        <f t="shared" si="34"/>
        <v>-0.02, (-0.12, 0.08)</v>
      </c>
      <c r="AG50" s="78">
        <f t="shared" si="35"/>
        <v>10.202720943280221</v>
      </c>
      <c r="AH50" s="78">
        <f t="shared" si="36"/>
        <v>-1.2040816326530612</v>
      </c>
      <c r="AI50" s="78">
        <f t="shared" si="37"/>
        <v>0.14210058141866028</v>
      </c>
      <c r="AJ50" s="85">
        <f>ROUND(AG50/AG$74*100,0)</f>
        <v>4</v>
      </c>
    </row>
    <row r="51" spans="1:72" ht="12.95" customHeight="1" x14ac:dyDescent="0.25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9">
        <v>0.02</v>
      </c>
      <c r="H51" s="111">
        <v>0.05</v>
      </c>
      <c r="I51" s="14" t="s">
        <v>85</v>
      </c>
      <c r="J51" s="19"/>
      <c r="K51" s="18"/>
      <c r="L51" s="20"/>
      <c r="M51" s="19"/>
      <c r="N51" s="18"/>
      <c r="O51" s="14"/>
      <c r="Q51" s="2" t="str">
        <f>CONCATENATE(B65,"_",E65,"_",D65,"_",C65)</f>
        <v>HRS_Men_Serial7_PEF</v>
      </c>
      <c r="S51" s="75">
        <f>G65</f>
        <v>0.03</v>
      </c>
      <c r="T51" s="74">
        <v>135</v>
      </c>
      <c r="U51" s="102">
        <f>W51/G65*H65</f>
        <v>3.0009004863126472E-2</v>
      </c>
      <c r="W51" s="74">
        <f t="shared" si="26"/>
        <v>3.0009004863126475E-2</v>
      </c>
      <c r="X51" s="74">
        <f t="shared" si="27"/>
        <v>5.8800677517101309E-2</v>
      </c>
      <c r="Y51" s="74">
        <f t="shared" si="28"/>
        <v>5.8593770097622483E-2</v>
      </c>
      <c r="Z51" s="74">
        <f t="shared" si="29"/>
        <v>-2.8808644668601408E-2</v>
      </c>
      <c r="AA51" s="74">
        <f t="shared" si="30"/>
        <v>8.8826654394854362E-2</v>
      </c>
      <c r="AB51" s="74">
        <f t="shared" si="31"/>
        <v>5.8817649531727884E-2</v>
      </c>
      <c r="AC51" s="78">
        <f t="shared" si="32"/>
        <v>33.323330932201252</v>
      </c>
      <c r="AD51" s="78"/>
      <c r="AE51" s="78">
        <f t="shared" si="33"/>
        <v>1110.4443844170005</v>
      </c>
      <c r="AF51" s="79" t="str">
        <f t="shared" si="34"/>
        <v>0.03, (-0.03, 0.09)</v>
      </c>
      <c r="AG51" s="78">
        <f t="shared" si="35"/>
        <v>17.001699455204719</v>
      </c>
      <c r="AH51" s="78">
        <f t="shared" si="36"/>
        <v>-0.48979591836734687</v>
      </c>
      <c r="AI51" s="78">
        <f t="shared" si="37"/>
        <v>1.4110356572376198E-2</v>
      </c>
      <c r="AJ51" s="85">
        <f t="shared" ref="AJ51:AJ68" si="38">ROUND(AG51/AG$74*100,0)+1</f>
        <v>7</v>
      </c>
    </row>
    <row r="52" spans="1:72" ht="12.95" customHeight="1" x14ac:dyDescent="0.25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-0.03</v>
      </c>
      <c r="H52" s="15">
        <v>0.04</v>
      </c>
      <c r="I52" s="14" t="s">
        <v>26</v>
      </c>
      <c r="J52" s="12"/>
      <c r="K52" s="15"/>
      <c r="L52" s="14"/>
      <c r="M52" s="12"/>
      <c r="N52" s="16"/>
      <c r="O52" s="14"/>
      <c r="Q52" s="2" t="str">
        <f>CONCATENATE(B66,"_",E66,"_",D66,"_",C66)</f>
        <v>HRS_Women_Serial7_PEF</v>
      </c>
      <c r="S52" s="75">
        <f>G66</f>
        <v>-0.02</v>
      </c>
      <c r="T52" s="2">
        <v>134</v>
      </c>
      <c r="U52" s="102">
        <f>W52/G66*H66</f>
        <v>2.0002667306849624E-2</v>
      </c>
      <c r="W52" s="74">
        <f t="shared" si="26"/>
        <v>-2.0002667306849624E-2</v>
      </c>
      <c r="X52" s="74">
        <f t="shared" si="27"/>
        <v>3.9138806202402204E-2</v>
      </c>
      <c r="Y52" s="74">
        <f t="shared" si="28"/>
        <v>3.9200200722577246E-2</v>
      </c>
      <c r="Z52" s="74">
        <f t="shared" si="29"/>
        <v>-5.9207895228274889E-2</v>
      </c>
      <c r="AA52" s="74">
        <f t="shared" si="30"/>
        <v>1.9202560614575641E-2</v>
      </c>
      <c r="AB52" s="74">
        <f t="shared" si="31"/>
        <v>3.9205227921425265E-2</v>
      </c>
      <c r="AC52" s="78">
        <f t="shared" si="32"/>
        <v>49.993332622073083</v>
      </c>
      <c r="AD52" s="78"/>
      <c r="AE52" s="78">
        <f t="shared" si="33"/>
        <v>2499.3333066612367</v>
      </c>
      <c r="AF52" s="79" t="str">
        <f t="shared" si="34"/>
        <v>-0.02, (-0.06, 0.02)</v>
      </c>
      <c r="AG52" s="78">
        <f t="shared" si="35"/>
        <v>25.506802358200549</v>
      </c>
      <c r="AH52" s="78">
        <f t="shared" si="36"/>
        <v>-1.510204081632653</v>
      </c>
      <c r="AI52" s="78">
        <f t="shared" si="37"/>
        <v>8.9416005038619212E-2</v>
      </c>
      <c r="AJ52" s="85">
        <f t="shared" si="38"/>
        <v>10</v>
      </c>
      <c r="AQ52" s="2" t="s">
        <v>186</v>
      </c>
      <c r="BB52" s="2" t="s">
        <v>186</v>
      </c>
      <c r="BM52" s="2" t="s">
        <v>186</v>
      </c>
    </row>
    <row r="53" spans="1:72" ht="12.95" customHeight="1" x14ac:dyDescent="0.25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9">
        <v>0.11</v>
      </c>
      <c r="H53" s="111">
        <v>0.04</v>
      </c>
      <c r="I53" s="14" t="s">
        <v>39</v>
      </c>
      <c r="J53" s="19"/>
      <c r="K53" s="18"/>
      <c r="L53" s="20"/>
      <c r="M53" s="19"/>
      <c r="N53" s="18"/>
      <c r="O53" s="14"/>
      <c r="Q53" s="2" t="str">
        <f>CONCATENATE(B50,"_",E50,"_",D50,"_",C50)</f>
        <v>OCTO_Men_Digit_B_PEF</v>
      </c>
      <c r="S53" s="75">
        <f>G50</f>
        <v>-0.1</v>
      </c>
      <c r="T53" s="74">
        <v>133</v>
      </c>
      <c r="U53" s="102">
        <f>W53/G50*H50</f>
        <v>8.02682781848605E-2</v>
      </c>
      <c r="W53" s="74">
        <f t="shared" si="26"/>
        <v>-0.10033534773107562</v>
      </c>
      <c r="X53" s="74">
        <f t="shared" si="27"/>
        <v>0.15210665084451389</v>
      </c>
      <c r="Y53" s="74">
        <f t="shared" si="28"/>
        <v>0.15692885749802502</v>
      </c>
      <c r="Z53" s="74">
        <f t="shared" si="29"/>
        <v>-0.25766117297340219</v>
      </c>
      <c r="AA53" s="74">
        <f t="shared" si="30"/>
        <v>5.6990477511250956E-2</v>
      </c>
      <c r="AB53" s="74">
        <f t="shared" si="31"/>
        <v>0.15732582524232658</v>
      </c>
      <c r="AC53" s="78">
        <f t="shared" si="32"/>
        <v>15.572777045512408</v>
      </c>
      <c r="AD53" s="78"/>
      <c r="AE53" s="78">
        <f t="shared" si="33"/>
        <v>155.20728634191244</v>
      </c>
      <c r="AF53" s="79" t="str">
        <f t="shared" si="34"/>
        <v>-0.1, (-0.25, 0.06)</v>
      </c>
      <c r="AG53" s="78">
        <f t="shared" si="35"/>
        <v>6.3562355287805747</v>
      </c>
      <c r="AH53" s="78">
        <f t="shared" si="36"/>
        <v>-1.6377551020408161</v>
      </c>
      <c r="AI53" s="78">
        <f t="shared" si="37"/>
        <v>0.42198590063501068</v>
      </c>
      <c r="AJ53" s="85">
        <f t="shared" si="38"/>
        <v>3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12.95" customHeight="1" x14ac:dyDescent="0.25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0.03</v>
      </c>
      <c r="H54" s="15">
        <v>0.03</v>
      </c>
      <c r="I54" s="14" t="s">
        <v>90</v>
      </c>
      <c r="J54" s="12"/>
      <c r="K54" s="15"/>
      <c r="L54" s="14"/>
      <c r="M54" s="12"/>
      <c r="N54" s="16"/>
      <c r="O54" s="14"/>
      <c r="Q54" s="2" t="str">
        <f>CONCATENATE(B51,"_",E51,"_",D51,"_",C51)</f>
        <v>OCTO_Women_Digit_B_PEF</v>
      </c>
      <c r="S54" s="75">
        <f>G51</f>
        <v>0.02</v>
      </c>
      <c r="T54" s="2">
        <v>132</v>
      </c>
      <c r="U54" s="102">
        <f>W54/G51*H51</f>
        <v>5.0006668267124015E-2</v>
      </c>
      <c r="W54" s="74">
        <f t="shared" si="26"/>
        <v>2.0002667306849603E-2</v>
      </c>
      <c r="X54" s="74">
        <f t="shared" si="27"/>
        <v>9.7852539466298544E-2</v>
      </c>
      <c r="Y54" s="74">
        <f t="shared" si="28"/>
        <v>9.7470875891668571E-2</v>
      </c>
      <c r="Z54" s="74">
        <f t="shared" si="29"/>
        <v>-7.8010402496713468E-2</v>
      </c>
      <c r="AA54" s="74">
        <f t="shared" si="30"/>
        <v>0.11801573711041267</v>
      </c>
      <c r="AB54" s="74">
        <f t="shared" si="31"/>
        <v>9.8013069803563072E-2</v>
      </c>
      <c r="AC54" s="78">
        <f t="shared" si="32"/>
        <v>7.9989332195316987</v>
      </c>
      <c r="AD54" s="78"/>
      <c r="AE54" s="78">
        <f t="shared" si="33"/>
        <v>399.89332906579853</v>
      </c>
      <c r="AF54" s="79" t="str">
        <f t="shared" si="34"/>
        <v>0.02, (-0.08, 0.12)</v>
      </c>
      <c r="AG54" s="78">
        <f t="shared" si="35"/>
        <v>10.20272094328023</v>
      </c>
      <c r="AH54" s="78">
        <f t="shared" si="36"/>
        <v>-0.79591836734693888</v>
      </c>
      <c r="AI54" s="78">
        <f t="shared" si="37"/>
        <v>6.2089912191261754E-2</v>
      </c>
      <c r="AJ54" s="85">
        <f t="shared" si="38"/>
        <v>5</v>
      </c>
      <c r="AQ54" s="2" t="s">
        <v>294</v>
      </c>
      <c r="BB54" s="2" t="s">
        <v>294</v>
      </c>
      <c r="BM54" s="2" t="s">
        <v>294</v>
      </c>
    </row>
    <row r="55" spans="1:72" ht="12.95" customHeight="1" x14ac:dyDescent="0.25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-0.02</v>
      </c>
      <c r="H55" s="15">
        <v>0.04</v>
      </c>
      <c r="I55" s="14" t="s">
        <v>93</v>
      </c>
      <c r="J55" s="12"/>
      <c r="K55" s="15"/>
      <c r="L55" s="14"/>
      <c r="M55" s="12"/>
      <c r="N55" s="16"/>
      <c r="O55" s="14"/>
      <c r="Q55" s="2" t="str">
        <f>CONCATENATE(B57,"_",E57,"_",D57,"_",C57)</f>
        <v>OCTO_Men_Digit_F_PEF</v>
      </c>
      <c r="S55" s="75">
        <f>G57</f>
        <v>0.01</v>
      </c>
      <c r="T55" s="74">
        <v>131</v>
      </c>
      <c r="U55" s="102">
        <f>W55/G57*H57</f>
        <v>6.0002000120008309E-2</v>
      </c>
      <c r="W55" s="74">
        <f t="shared" si="26"/>
        <v>1.0000333353334718E-2</v>
      </c>
      <c r="X55" s="74">
        <f t="shared" si="27"/>
        <v>0.11719020413440014</v>
      </c>
      <c r="Y55" s="74">
        <f t="shared" si="28"/>
        <v>0.11691614818336067</v>
      </c>
      <c r="Z55" s="74">
        <f t="shared" si="29"/>
        <v>-0.10760358688188155</v>
      </c>
      <c r="AA55" s="74">
        <f t="shared" si="30"/>
        <v>0.12760425358855099</v>
      </c>
      <c r="AB55" s="74">
        <f t="shared" si="31"/>
        <v>0.11760392023521628</v>
      </c>
      <c r="AC55" s="78">
        <f t="shared" si="32"/>
        <v>2.7776851827159321</v>
      </c>
      <c r="AD55" s="78"/>
      <c r="AE55" s="78">
        <f t="shared" si="33"/>
        <v>277.75925907406707</v>
      </c>
      <c r="AF55" s="79" t="str">
        <f t="shared" si="34"/>
        <v>0.01, (-0.11, 0.13)</v>
      </c>
      <c r="AG55" s="78">
        <f t="shared" si="35"/>
        <v>8.5031179062732622</v>
      </c>
      <c r="AH55" s="78">
        <f t="shared" si="36"/>
        <v>-0.91496598639455773</v>
      </c>
      <c r="AI55" s="78">
        <f t="shared" si="37"/>
        <v>9.8453622010973241E-2</v>
      </c>
      <c r="AJ55" s="85">
        <f t="shared" si="38"/>
        <v>4</v>
      </c>
    </row>
    <row r="56" spans="1:72" ht="12.95" customHeight="1" x14ac:dyDescent="0.25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9">
        <v>0.02</v>
      </c>
      <c r="H56" s="111">
        <v>0.03</v>
      </c>
      <c r="I56" s="14" t="s">
        <v>29</v>
      </c>
      <c r="J56" s="19"/>
      <c r="K56" s="18"/>
      <c r="L56" s="20"/>
      <c r="M56" s="19"/>
      <c r="N56" s="18"/>
      <c r="O56" s="14"/>
      <c r="Q56" s="2" t="str">
        <f>CONCATENATE(B58,"_",E58,"_",D58,"_",C58)</f>
        <v>OCTO_Women_Digit_F_PEF</v>
      </c>
      <c r="S56" s="75">
        <f>G58</f>
        <v>0.01</v>
      </c>
      <c r="T56" s="2">
        <v>130</v>
      </c>
      <c r="U56" s="102">
        <f>W56/G58*H58</f>
        <v>5.0001666766673593E-2</v>
      </c>
      <c r="W56" s="74">
        <f t="shared" si="26"/>
        <v>1.0000333353334718E-2</v>
      </c>
      <c r="X56" s="74">
        <f t="shared" si="27"/>
        <v>9.7776455018838929E-2</v>
      </c>
      <c r="Y56" s="74">
        <f t="shared" si="28"/>
        <v>9.7585604444512378E-2</v>
      </c>
      <c r="Z56" s="74">
        <f t="shared" si="29"/>
        <v>-8.8002933509345516E-2</v>
      </c>
      <c r="AA56" s="74">
        <f t="shared" si="30"/>
        <v>0.10800360021601496</v>
      </c>
      <c r="AB56" s="74">
        <f t="shared" si="31"/>
        <v>9.8003266862680238E-2</v>
      </c>
      <c r="AC56" s="78">
        <f t="shared" si="32"/>
        <v>3.9998666631109421</v>
      </c>
      <c r="AD56" s="78"/>
      <c r="AE56" s="78">
        <f t="shared" si="33"/>
        <v>399.97333306665661</v>
      </c>
      <c r="AF56" s="79" t="str">
        <f t="shared" si="34"/>
        <v>0.01, (-0.09, 0.11)</v>
      </c>
      <c r="AG56" s="78">
        <f t="shared" si="35"/>
        <v>10.203741487527914</v>
      </c>
      <c r="AH56" s="78">
        <f t="shared" si="36"/>
        <v>-0.89795918367346927</v>
      </c>
      <c r="AI56" s="78">
        <f t="shared" si="37"/>
        <v>7.9023042334922494E-2</v>
      </c>
      <c r="AJ56" s="85">
        <f t="shared" si="38"/>
        <v>5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ht="12.95" customHeight="1" x14ac:dyDescent="0.25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0.01</v>
      </c>
      <c r="H57" s="15">
        <v>0.06</v>
      </c>
      <c r="I57" s="14" t="s">
        <v>57</v>
      </c>
      <c r="J57" s="12"/>
      <c r="K57" s="15"/>
      <c r="L57" s="14"/>
      <c r="M57" s="12"/>
      <c r="N57" s="16"/>
      <c r="O57" s="14"/>
      <c r="Q57" s="2" t="str">
        <f>CONCATENATE(B47,"_",E47,"_",D47,"_",C47)</f>
        <v>MAP_Men_Digit_B_FEV1</v>
      </c>
      <c r="S57" s="75">
        <f>G47</f>
        <v>-0.01</v>
      </c>
      <c r="T57" s="74">
        <v>129</v>
      </c>
      <c r="U57" s="102">
        <f>W57/G47*H47</f>
        <v>4.0001333413339085E-2</v>
      </c>
      <c r="W57" s="74">
        <f t="shared" ref="W57:W68" si="39">0.5*LN((1+S57)/(1-S57))</f>
        <v>-1.0000333353334771E-2</v>
      </c>
      <c r="X57" s="74">
        <f t="shared" ref="X57:X68" si="40">S57-(EXP(2*Z57)-1)/(EXP(2*Z57)+1)</f>
        <v>7.8173372410179465E-2</v>
      </c>
      <c r="Y57" s="74">
        <f t="shared" ref="Y57:Y68" si="41">(EXP(2*AA57)-1)/(EXP(2*AA57)+1)-S57</f>
        <v>7.8295797583549792E-2</v>
      </c>
      <c r="Z57" s="74">
        <f t="shared" ref="Z57:Z68" si="42">W57-AB57</f>
        <v>-8.840294684347938E-2</v>
      </c>
      <c r="AA57" s="74">
        <f t="shared" ref="AA57:AA68" si="43">W57+AB57</f>
        <v>6.8402280136809823E-2</v>
      </c>
      <c r="AB57" s="74">
        <f t="shared" ref="AB57:AB68" si="44">1.96*U57</f>
        <v>7.8402613490144601E-2</v>
      </c>
      <c r="AC57" s="78">
        <f t="shared" ref="AC57:AC68" si="45">IF(W57&lt;&gt;"",ABS(W57/U57^2),"")</f>
        <v>6.2497916611108142</v>
      </c>
      <c r="AD57" s="78"/>
      <c r="AE57" s="78">
        <f t="shared" ref="AE57:AE68" si="46">U57^-2</f>
        <v>624.95833291664439</v>
      </c>
      <c r="AF57" s="79" t="str">
        <f t="shared" ref="AF57:AF68" si="47">CONCATENATE(ROUND(S57,2),", (",ROUND(-(X57-S57),2),", ",ROUND(Y57+S57,2),")")</f>
        <v>-0.01, (-0.09, 0.07)</v>
      </c>
      <c r="AG57" s="78">
        <f t="shared" ref="AG57:AG68" si="48">1/AB57</f>
        <v>12.754676859409827</v>
      </c>
      <c r="AH57" s="78">
        <f t="shared" ref="AH57:AH68" si="49">AG57*Z57</f>
        <v>-1.1275510204081634</v>
      </c>
      <c r="AI57" s="78">
        <f t="shared" ref="AI57:AI68" si="50">Z57^2*AG57</f>
        <v>9.9678832920453805E-2</v>
      </c>
      <c r="AJ57" s="85">
        <f t="shared" si="38"/>
        <v>6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ht="12.95" customHeight="1" x14ac:dyDescent="0.25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9">
        <v>0.01</v>
      </c>
      <c r="H58" s="111">
        <v>0.05</v>
      </c>
      <c r="I58" s="14" t="s">
        <v>96</v>
      </c>
      <c r="J58" s="19"/>
      <c r="K58" s="18"/>
      <c r="L58" s="20"/>
      <c r="M58" s="19"/>
      <c r="N58" s="18"/>
      <c r="O58" s="14"/>
      <c r="Q58" s="2" t="str">
        <f>CONCATENATE(B48,"_",E48,"_",D48,"_",C48)</f>
        <v>MAP_Women_Digit_B_FEV1</v>
      </c>
      <c r="S58" s="75">
        <f>G48</f>
        <v>-0.04</v>
      </c>
      <c r="T58" s="2">
        <v>128</v>
      </c>
      <c r="U58" s="102">
        <f>W58/G48*H48</f>
        <v>3.0016015377576182E-2</v>
      </c>
      <c r="W58" s="74">
        <f t="shared" si="39"/>
        <v>-4.0021353836768248E-2</v>
      </c>
      <c r="X58" s="74">
        <f t="shared" si="40"/>
        <v>5.8532005713506564E-2</v>
      </c>
      <c r="Y58" s="74">
        <f t="shared" si="41"/>
        <v>5.880781817741354E-2</v>
      </c>
      <c r="Z58" s="74">
        <f t="shared" si="42"/>
        <v>-9.8852743976817564E-2</v>
      </c>
      <c r="AA58" s="74">
        <f t="shared" si="43"/>
        <v>1.8810036303281069E-2</v>
      </c>
      <c r="AB58" s="74">
        <f t="shared" si="44"/>
        <v>5.8831390140049317E-2</v>
      </c>
      <c r="AC58" s="78">
        <f t="shared" si="45"/>
        <v>44.420730618675513</v>
      </c>
      <c r="AD58" s="78"/>
      <c r="AE58" s="78">
        <f t="shared" si="46"/>
        <v>1109.9257361420266</v>
      </c>
      <c r="AF58" s="79" t="str">
        <f t="shared" si="47"/>
        <v>-0.04, (-0.1, 0.02)</v>
      </c>
      <c r="AG58" s="78">
        <f t="shared" si="48"/>
        <v>16.997728553064608</v>
      </c>
      <c r="AH58" s="78">
        <f t="shared" si="49"/>
        <v>-1.6802721088435373</v>
      </c>
      <c r="AI58" s="78">
        <f t="shared" si="50"/>
        <v>0.16609950858689751</v>
      </c>
      <c r="AJ58" s="85">
        <f t="shared" si="38"/>
        <v>7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ht="12.95" customHeight="1" x14ac:dyDescent="0.25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0.05</v>
      </c>
      <c r="H59" s="15">
        <v>0.05</v>
      </c>
      <c r="I59" s="14" t="s">
        <v>98</v>
      </c>
      <c r="J59" s="12"/>
      <c r="K59" s="15"/>
      <c r="L59" s="14"/>
      <c r="M59" s="12"/>
      <c r="N59" s="16"/>
      <c r="O59" s="14"/>
      <c r="Q59" s="2" t="str">
        <f>CONCATENATE(B55,"_",E55,"_",D55,"_",C55)</f>
        <v>MAP_Men_Digit_F_FEV1</v>
      </c>
      <c r="S59" s="75">
        <f>G55</f>
        <v>-0.02</v>
      </c>
      <c r="T59" s="74">
        <v>127</v>
      </c>
      <c r="U59" s="102">
        <f>W59/G55*H55</f>
        <v>4.0005334613699248E-2</v>
      </c>
      <c r="W59" s="74">
        <f>0.5*LN((1+S59)/(1-S59))</f>
        <v>-2.0002667306849624E-2</v>
      </c>
      <c r="X59" s="74">
        <f>S59-(EXP(2*Z59)-1)/(EXP(2*Z59)+1)</f>
        <v>7.8096634139052101E-2</v>
      </c>
      <c r="Y59" s="74">
        <f>(EXP(2*AA59)-1)/(EXP(2*AA59)+1)-S59</f>
        <v>7.8341460243837244E-2</v>
      </c>
      <c r="Z59" s="74">
        <f>W59-AB59</f>
        <v>-9.841312314970016E-2</v>
      </c>
      <c r="AA59" s="74">
        <f>W59+AB59</f>
        <v>5.8407788536000906E-2</v>
      </c>
      <c r="AB59" s="74">
        <f>1.96*U59</f>
        <v>7.8410455842850529E-2</v>
      </c>
      <c r="AC59" s="78">
        <f>IF(W59&lt;&gt;"",ABS(W59/U59^2),"")</f>
        <v>12.498333155518271</v>
      </c>
      <c r="AD59" s="78"/>
      <c r="AE59" s="78">
        <f>U59^-2</f>
        <v>624.83332666530919</v>
      </c>
      <c r="AF59" s="79" t="str">
        <f>CONCATENATE(ROUND(S59,2),", (",ROUND(-(X59-S59),2),", ",ROUND(Y59+S59,2),")")</f>
        <v>-0.02, (-0.1, 0.06)</v>
      </c>
      <c r="AG59" s="78">
        <f>1/AB59</f>
        <v>12.753401179100274</v>
      </c>
      <c r="AH59" s="78">
        <f>AG59*Z59</f>
        <v>-1.2551020408163265</v>
      </c>
      <c r="AI59" s="78">
        <f>Z59^2*AG59</f>
        <v>0.12351851170829714</v>
      </c>
      <c r="AJ59" s="85">
        <f t="shared" si="38"/>
        <v>6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ht="12.95" customHeight="1" x14ac:dyDescent="0.25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9">
        <v>-0.03</v>
      </c>
      <c r="H60" s="111">
        <v>0.05</v>
      </c>
      <c r="I60" s="14" t="s">
        <v>99</v>
      </c>
      <c r="J60" s="19"/>
      <c r="K60" s="18"/>
      <c r="L60" s="20"/>
      <c r="M60" s="19"/>
      <c r="N60" s="18"/>
      <c r="O60" s="14"/>
      <c r="Q60" s="2" t="str">
        <f>CONCATENATE(B56,"_",E56,"_",D56,"_",C56)</f>
        <v>MAP_Women_Digit_F_FEV1</v>
      </c>
      <c r="S60" s="75">
        <f>G56</f>
        <v>0.02</v>
      </c>
      <c r="T60" s="2">
        <v>126</v>
      </c>
      <c r="U60" s="102">
        <f>W60/G56*H56</f>
        <v>3.0004000960274405E-2</v>
      </c>
      <c r="W60" s="74">
        <f>0.5*LN((1+S60)/(1-S60))</f>
        <v>2.0002667306849603E-2</v>
      </c>
      <c r="X60" s="74">
        <f>S60-(EXP(2*Z60)-1)/(EXP(2*Z60)+1)</f>
        <v>5.8785708152158944E-2</v>
      </c>
      <c r="Y60" s="74">
        <f>(EXP(2*AA60)-1)/(EXP(2*AA60)+1)-S60</f>
        <v>5.8647746994152566E-2</v>
      </c>
      <c r="Z60" s="74">
        <f>W60-AB60</f>
        <v>-3.8805174575288232E-2</v>
      </c>
      <c r="AA60" s="74">
        <f>W60+AB60</f>
        <v>7.8810509188987438E-2</v>
      </c>
      <c r="AB60" s="74">
        <f>1.96*U60</f>
        <v>5.8807841882137835E-2</v>
      </c>
      <c r="AC60" s="78">
        <f>IF(W60&lt;&gt;"",ABS(W60/U60^2),"")</f>
        <v>22.219258943143615</v>
      </c>
      <c r="AD60" s="78"/>
      <c r="AE60" s="78">
        <f>U60^-2</f>
        <v>1110.8148029605518</v>
      </c>
      <c r="AF60" s="79" t="str">
        <f>CONCATENATE(ROUND(S60,2),", (",ROUND(-(X60-S60),2),", ",ROUND(Y60+S60,2),")")</f>
        <v>0.02, (-0.04, 0.08)</v>
      </c>
      <c r="AG60" s="78">
        <f>1/AB60</f>
        <v>17.00453490546705</v>
      </c>
      <c r="AH60" s="78">
        <f>AG60*Z60</f>
        <v>-0.65986394557823125</v>
      </c>
      <c r="AI60" s="78">
        <f>Z60^2*AG60</f>
        <v>2.5606135604101757E-2</v>
      </c>
      <c r="AJ60" s="85">
        <f t="shared" si="38"/>
        <v>7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ht="12.95" customHeight="1" x14ac:dyDescent="0.25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9.9999999999999995E-8</v>
      </c>
      <c r="H61" s="15">
        <v>0.05</v>
      </c>
      <c r="I61" s="14" t="s">
        <v>102</v>
      </c>
      <c r="J61" s="12"/>
      <c r="K61" s="15"/>
      <c r="L61" s="14"/>
      <c r="M61" s="12"/>
      <c r="N61" s="16"/>
      <c r="O61" s="14"/>
      <c r="Q61" s="2" t="str">
        <f>CONCATENATE(B61,"_",E61,"_",D61,"_",C61)</f>
        <v>MAP_Men_Digit_Ord_FEV1</v>
      </c>
      <c r="S61" s="75">
        <f>G61</f>
        <v>9.9999999999999995E-8</v>
      </c>
      <c r="T61" s="74">
        <v>125</v>
      </c>
      <c r="U61" s="108">
        <f>W61/G61*H61</f>
        <v>5.0000000025196639E-2</v>
      </c>
      <c r="W61" s="74">
        <f>0.5*LN((1+S61)/(1-S61))</f>
        <v>1.0000000005039327E-7</v>
      </c>
      <c r="X61" s="74">
        <f>S61-(EXP(2*Z61)-1)/(EXP(2*Z61)+1)</f>
        <v>9.7687470897300691E-2</v>
      </c>
      <c r="Y61" s="74">
        <f>(EXP(2*AA61)-1)/(EXP(2*AA61)+1)-S61</f>
        <v>9.7687468988732484E-2</v>
      </c>
      <c r="Z61" s="74">
        <f>W61-AB61</f>
        <v>-9.7999900049385372E-2</v>
      </c>
      <c r="AA61" s="74">
        <f>W61+AB61</f>
        <v>9.8000100049385461E-2</v>
      </c>
      <c r="AB61" s="74">
        <f>1.96*U61</f>
        <v>9.8000000049385416E-2</v>
      </c>
      <c r="AC61" s="78">
        <f>IF(W61&lt;&gt;"",ABS(W61/U61^2),"")</f>
        <v>3.9999999979842686E-5</v>
      </c>
      <c r="AD61" s="78"/>
      <c r="AE61" s="78">
        <f>U61^-2</f>
        <v>399.9999995968538</v>
      </c>
      <c r="AF61" s="79" t="str">
        <f>CONCATENATE(ROUND(S61,2),", (",ROUND(-(X61-S61),2),", ",ROUND(Y61+S61,2),")")</f>
        <v>0, (-0.1, 0.1)</v>
      </c>
      <c r="AG61" s="78">
        <f>1/AB61</f>
        <v>10.20408162751089</v>
      </c>
      <c r="AH61" s="78">
        <f>AG61*Z61</f>
        <v>-0.99999897959183681</v>
      </c>
      <c r="AI61" s="78">
        <f>Z61^2*AG61</f>
        <v>9.7999800049487371E-2</v>
      </c>
      <c r="AJ61" s="85">
        <f t="shared" si="38"/>
        <v>5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ht="12.95" customHeight="1" x14ac:dyDescent="0.25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9">
        <v>0.03</v>
      </c>
      <c r="H62" s="111">
        <v>0.03</v>
      </c>
      <c r="I62" s="14" t="s">
        <v>49</v>
      </c>
      <c r="J62" s="19"/>
      <c r="K62" s="18"/>
      <c r="L62" s="20"/>
      <c r="M62" s="19"/>
      <c r="N62" s="18"/>
      <c r="O62" s="14"/>
      <c r="Q62" s="2" t="str">
        <f>CONCATENATE(B62,"_",E62,"_",D62,"_",C62)</f>
        <v>MAP_Women_Digit_Ord_FEV1</v>
      </c>
      <c r="S62" s="75">
        <f>G62</f>
        <v>0.03</v>
      </c>
      <c r="T62" s="2">
        <v>124</v>
      </c>
      <c r="U62" s="102">
        <f>W62/G62*H62</f>
        <v>3.0009004863126472E-2</v>
      </c>
      <c r="W62" s="74">
        <f>0.5*LN((1+S62)/(1-S62))</f>
        <v>3.0009004863126475E-2</v>
      </c>
      <c r="X62" s="74">
        <f>S62-(EXP(2*Z62)-1)/(EXP(2*Z62)+1)</f>
        <v>5.8800677517101309E-2</v>
      </c>
      <c r="Y62" s="74">
        <f>(EXP(2*AA62)-1)/(EXP(2*AA62)+1)-S62</f>
        <v>5.8593770097622483E-2</v>
      </c>
      <c r="Z62" s="74">
        <f>W62-AB62</f>
        <v>-2.8808644668601408E-2</v>
      </c>
      <c r="AA62" s="74">
        <f>W62+AB62</f>
        <v>8.8826654394854362E-2</v>
      </c>
      <c r="AB62" s="74">
        <f>1.96*U62</f>
        <v>5.8817649531727884E-2</v>
      </c>
      <c r="AC62" s="78">
        <f>IF(W62&lt;&gt;"",ABS(W62/U62^2),"")</f>
        <v>33.323330932201252</v>
      </c>
      <c r="AD62" s="78"/>
      <c r="AE62" s="78">
        <f>U62^-2</f>
        <v>1110.4443844170005</v>
      </c>
      <c r="AF62" s="79" t="str">
        <f>CONCATENATE(ROUND(S62,2),", (",ROUND(-(X62-S62),2),", ",ROUND(Y62+S62,2),")")</f>
        <v>0.03, (-0.03, 0.09)</v>
      </c>
      <c r="AG62" s="78">
        <f>1/AB62</f>
        <v>17.001699455204719</v>
      </c>
      <c r="AH62" s="78">
        <f>AG62*Z62</f>
        <v>-0.48979591836734687</v>
      </c>
      <c r="AI62" s="78">
        <f>Z62^2*AG62</f>
        <v>1.4110356572376198E-2</v>
      </c>
      <c r="AJ62" s="85">
        <f t="shared" si="38"/>
        <v>7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ht="12.95" customHeight="1" x14ac:dyDescent="0.25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7.0000000000000007E-2</v>
      </c>
      <c r="H63" s="15">
        <v>0.06</v>
      </c>
      <c r="I63" s="14" t="s">
        <v>49</v>
      </c>
      <c r="J63" s="12"/>
      <c r="K63" s="15"/>
      <c r="L63" s="14"/>
      <c r="M63" s="12"/>
      <c r="N63" s="16"/>
      <c r="O63" s="14"/>
      <c r="Q63" s="2" t="str">
        <f>CONCATENATE(B49,"_",E49,"_",D49,"_",C49)</f>
        <v>NAS_Men_Digit_B_FEV1</v>
      </c>
      <c r="S63" s="75">
        <f>G49</f>
        <v>0.04</v>
      </c>
      <c r="T63" s="74">
        <v>123</v>
      </c>
      <c r="U63" s="102">
        <f>W63/G49*H49</f>
        <v>3.001601537757621E-2</v>
      </c>
      <c r="W63" s="74">
        <f t="shared" si="39"/>
        <v>4.0021353836768282E-2</v>
      </c>
      <c r="X63" s="74">
        <f t="shared" si="40"/>
        <v>5.8807818177413526E-2</v>
      </c>
      <c r="Y63" s="74">
        <f t="shared" si="41"/>
        <v>5.8532005713506689E-2</v>
      </c>
      <c r="Z63" s="74">
        <f t="shared" si="42"/>
        <v>-1.881003630328109E-2</v>
      </c>
      <c r="AA63" s="74">
        <f t="shared" si="43"/>
        <v>9.8852743976817647E-2</v>
      </c>
      <c r="AB63" s="74">
        <f t="shared" si="44"/>
        <v>5.8831390140049372E-2</v>
      </c>
      <c r="AC63" s="78">
        <f t="shared" si="45"/>
        <v>44.420730618675478</v>
      </c>
      <c r="AD63" s="78"/>
      <c r="AE63" s="78">
        <f t="shared" si="46"/>
        <v>1109.9257361420246</v>
      </c>
      <c r="AF63" s="79" t="str">
        <f t="shared" si="47"/>
        <v>0.04, (-0.02, 0.1)</v>
      </c>
      <c r="AG63" s="78">
        <f t="shared" si="48"/>
        <v>16.997728553064594</v>
      </c>
      <c r="AH63" s="78">
        <f t="shared" si="49"/>
        <v>-0.31972789115646255</v>
      </c>
      <c r="AI63" s="78">
        <f t="shared" si="50"/>
        <v>6.0140932398245663E-3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ht="12.95" customHeight="1" x14ac:dyDescent="0.25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9">
        <v>-0.03</v>
      </c>
      <c r="H64" s="111">
        <v>0.05</v>
      </c>
      <c r="I64" s="14" t="s">
        <v>71</v>
      </c>
      <c r="J64" s="19"/>
      <c r="K64" s="18"/>
      <c r="L64" s="20"/>
      <c r="M64" s="19"/>
      <c r="N64" s="18"/>
      <c r="O64" s="14"/>
      <c r="Q64" s="2" t="str">
        <f>CONCATENATE(B54,"_",E54,"_",D54,"_",C54)</f>
        <v>NAS_Men_Digit_B_Span_FEV1</v>
      </c>
      <c r="S64" s="75">
        <f>G54</f>
        <v>0.03</v>
      </c>
      <c r="T64" s="2">
        <v>122</v>
      </c>
      <c r="U64" s="102">
        <f>W64/G54*H54</f>
        <v>3.0009004863126472E-2</v>
      </c>
      <c r="W64" s="74">
        <f>0.5*LN((1+S64)/(1-S64))</f>
        <v>3.0009004863126475E-2</v>
      </c>
      <c r="X64" s="74">
        <f>S64-(EXP(2*Z64)-1)/(EXP(2*Z64)+1)</f>
        <v>5.8800677517101309E-2</v>
      </c>
      <c r="Y64" s="74">
        <f>(EXP(2*AA64)-1)/(EXP(2*AA64)+1)-S64</f>
        <v>5.8593770097622483E-2</v>
      </c>
      <c r="Z64" s="74">
        <f>W64-AB64</f>
        <v>-2.8808644668601408E-2</v>
      </c>
      <c r="AA64" s="74">
        <f>W64+AB64</f>
        <v>8.8826654394854362E-2</v>
      </c>
      <c r="AB64" s="74">
        <f>1.96*U64</f>
        <v>5.8817649531727884E-2</v>
      </c>
      <c r="AC64" s="78">
        <f>IF(W64&lt;&gt;"",ABS(W64/U64^2),"")</f>
        <v>33.323330932201252</v>
      </c>
      <c r="AD64" s="78"/>
      <c r="AE64" s="78">
        <f>U64^-2</f>
        <v>1110.4443844170005</v>
      </c>
      <c r="AF64" s="79" t="str">
        <f>CONCATENATE(ROUND(S64,2),", (",ROUND(-(X64-S64),2),", ",ROUND(Y64+S64,2),")")</f>
        <v>0.03, (-0.03, 0.09)</v>
      </c>
      <c r="AG64" s="78">
        <f>1/AB64</f>
        <v>17.001699455204719</v>
      </c>
      <c r="AH64" s="78">
        <f>AG64*Z64</f>
        <v>-0.48979591836734687</v>
      </c>
      <c r="AI64" s="78">
        <f>Z64^2*AG64</f>
        <v>1.4110356572376198E-2</v>
      </c>
      <c r="AJ64" s="85">
        <f t="shared" si="38"/>
        <v>7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.1" customHeight="1" x14ac:dyDescent="0.25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0.03</v>
      </c>
      <c r="H65" s="15">
        <v>0.03</v>
      </c>
      <c r="I65" s="14" t="s">
        <v>48</v>
      </c>
      <c r="J65" s="12"/>
      <c r="K65" s="15"/>
      <c r="L65" s="14"/>
      <c r="M65" s="12"/>
      <c r="N65" s="16"/>
      <c r="O65" s="14"/>
      <c r="Q65" s="2" t="str">
        <f>CONCATENATE(B52,"_",E52,"_",D52,"_",C52)</f>
        <v>SATSA_Men_Digit_B_FEV1</v>
      </c>
      <c r="S65" s="75">
        <f>G52</f>
        <v>-0.03</v>
      </c>
      <c r="T65" s="74">
        <v>121</v>
      </c>
      <c r="U65" s="102">
        <f>W65/G52*H52</f>
        <v>4.0012006484168694E-2</v>
      </c>
      <c r="W65" s="74">
        <f t="shared" si="39"/>
        <v>-3.000900486312652E-2</v>
      </c>
      <c r="X65" s="74">
        <f t="shared" si="40"/>
        <v>7.8009557405193622E-2</v>
      </c>
      <c r="Y65" s="74">
        <f t="shared" si="41"/>
        <v>7.8376735934738095E-2</v>
      </c>
      <c r="Z65" s="74">
        <f t="shared" si="42"/>
        <v>-0.10843253757209716</v>
      </c>
      <c r="AA65" s="74">
        <f t="shared" si="43"/>
        <v>4.8414527845844116E-2</v>
      </c>
      <c r="AB65" s="74">
        <f t="shared" si="44"/>
        <v>7.8423532708970636E-2</v>
      </c>
      <c r="AC65" s="78">
        <f t="shared" si="45"/>
        <v>18.744373649363169</v>
      </c>
      <c r="AD65" s="78"/>
      <c r="AE65" s="78">
        <f t="shared" si="46"/>
        <v>624.6249662345607</v>
      </c>
      <c r="AF65" s="79" t="str">
        <f t="shared" si="47"/>
        <v>-0.03, (-0.11, 0.05)</v>
      </c>
      <c r="AG65" s="78">
        <f t="shared" si="48"/>
        <v>12.751274591403519</v>
      </c>
      <c r="AH65" s="78">
        <f t="shared" si="49"/>
        <v>-1.3826530612244898</v>
      </c>
      <c r="AI65" s="78">
        <f t="shared" si="50"/>
        <v>0.14992458001039966</v>
      </c>
      <c r="AJ65" s="85">
        <f t="shared" si="38"/>
        <v>6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.1" customHeight="1" x14ac:dyDescent="0.25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9">
        <v>-0.02</v>
      </c>
      <c r="H66" s="111">
        <v>0.02</v>
      </c>
      <c r="I66" s="14" t="s">
        <v>77</v>
      </c>
      <c r="J66" s="19"/>
      <c r="K66" s="18"/>
      <c r="L66" s="20"/>
      <c r="M66" s="19"/>
      <c r="N66" s="18"/>
      <c r="O66" s="14"/>
      <c r="Q66" s="2" t="str">
        <f>CONCATENATE(B53,"_",E53,"_",D53,"_",C53)</f>
        <v>SATSA_Women_Digit_B_FEV1</v>
      </c>
      <c r="S66" s="75">
        <f>G53</f>
        <v>0.11</v>
      </c>
      <c r="T66" s="2">
        <v>120</v>
      </c>
      <c r="U66" s="102">
        <f>W66/G53*H53</f>
        <v>4.0162514832762619E-2</v>
      </c>
      <c r="W66" s="74">
        <f t="shared" si="39"/>
        <v>0.11044691579009722</v>
      </c>
      <c r="X66" s="74">
        <f t="shared" si="40"/>
        <v>7.8282255885362237E-2</v>
      </c>
      <c r="Y66" s="74">
        <f t="shared" si="41"/>
        <v>7.6940941676869504E-2</v>
      </c>
      <c r="Z66" s="74">
        <f t="shared" si="42"/>
        <v>3.1728386717882487E-2</v>
      </c>
      <c r="AA66" s="74">
        <f t="shared" si="43"/>
        <v>0.18916544486231196</v>
      </c>
      <c r="AB66" s="74">
        <f t="shared" si="44"/>
        <v>7.871852907221473E-2</v>
      </c>
      <c r="AC66" s="78">
        <f t="shared" si="45"/>
        <v>68.471807889795897</v>
      </c>
      <c r="AD66" s="78"/>
      <c r="AE66" s="78">
        <f t="shared" si="46"/>
        <v>619.95219513350276</v>
      </c>
      <c r="AF66" s="79" t="str">
        <f t="shared" si="47"/>
        <v>0.11, (0.03, 0.19)</v>
      </c>
      <c r="AG66" s="78">
        <f t="shared" si="48"/>
        <v>12.703489404414823</v>
      </c>
      <c r="AH66" s="78">
        <f t="shared" si="49"/>
        <v>0.40306122448979614</v>
      </c>
      <c r="AI66" s="78">
        <f t="shared" si="50"/>
        <v>1.27884824015955E-2</v>
      </c>
      <c r="AJ66" s="85">
        <f t="shared" si="38"/>
        <v>6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5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9.9999999999999995E-8</v>
      </c>
      <c r="H67" s="15">
        <v>7.0000000000000007E-2</v>
      </c>
      <c r="I67" s="14" t="s">
        <v>94</v>
      </c>
      <c r="J67" s="12"/>
      <c r="K67" s="15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0.05</v>
      </c>
      <c r="T67" s="74">
        <v>119</v>
      </c>
      <c r="U67" s="102">
        <f>W67/G59*H59</f>
        <v>5.0041729278491313E-2</v>
      </c>
      <c r="W67" s="74">
        <f t="shared" si="39"/>
        <v>5.0041729278491313E-2</v>
      </c>
      <c r="X67" s="74">
        <f t="shared" si="40"/>
        <v>9.8003137815842759E-2</v>
      </c>
      <c r="Y67" s="74">
        <f t="shared" si="41"/>
        <v>9.7049637167590921E-2</v>
      </c>
      <c r="Z67" s="74">
        <f t="shared" si="42"/>
        <v>-4.8040060107351658E-2</v>
      </c>
      <c r="AA67" s="74">
        <f t="shared" si="43"/>
        <v>0.14812351866433429</v>
      </c>
      <c r="AB67" s="74">
        <f t="shared" si="44"/>
        <v>9.8081789385842971E-2</v>
      </c>
      <c r="AC67" s="78">
        <f t="shared" si="45"/>
        <v>19.98332220764831</v>
      </c>
      <c r="AD67" s="78"/>
      <c r="AE67" s="78">
        <f t="shared" si="46"/>
        <v>399.33316645469006</v>
      </c>
      <c r="AF67" s="79" t="str">
        <f t="shared" si="47"/>
        <v>0.05, (-0.05, 0.15)</v>
      </c>
      <c r="AG67" s="78">
        <f t="shared" si="48"/>
        <v>10.195572554922606</v>
      </c>
      <c r="AH67" s="78">
        <f t="shared" si="49"/>
        <v>-0.48979591836734693</v>
      </c>
      <c r="AI67" s="78">
        <f t="shared" si="50"/>
        <v>2.3529825358702849E-2</v>
      </c>
      <c r="AJ67" s="85">
        <f t="shared" si="38"/>
        <v>5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5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9">
        <v>-0.02</v>
      </c>
      <c r="H68" s="111">
        <v>0.05</v>
      </c>
      <c r="I68" s="14" t="s">
        <v>81</v>
      </c>
      <c r="J68" s="19"/>
      <c r="K68" s="18"/>
      <c r="L68" s="20"/>
      <c r="M68" s="19"/>
      <c r="N68" s="18"/>
      <c r="O68" s="14"/>
      <c r="Q68" s="2" t="str">
        <f>CONCATENATE(B60,"_",E60,"_",D60,"_",C60)</f>
        <v>SATSA_Women_Digit_F_FEV1</v>
      </c>
      <c r="S68" s="75">
        <f>G60</f>
        <v>-0.03</v>
      </c>
      <c r="T68" s="2">
        <v>118</v>
      </c>
      <c r="U68" s="102">
        <f>W68/G60*H60</f>
        <v>5.0015008105210867E-2</v>
      </c>
      <c r="W68" s="74">
        <f t="shared" si="39"/>
        <v>-3.000900486312652E-2</v>
      </c>
      <c r="X68" s="74">
        <f t="shared" si="40"/>
        <v>9.7343298341990209E-2</v>
      </c>
      <c r="Y68" s="74">
        <f t="shared" si="41"/>
        <v>9.7915699733534103E-2</v>
      </c>
      <c r="Z68" s="74">
        <f t="shared" si="42"/>
        <v>-0.1280384207493398</v>
      </c>
      <c r="AA68" s="74">
        <f t="shared" si="43"/>
        <v>6.8020411023086771E-2</v>
      </c>
      <c r="AB68" s="74">
        <f t="shared" si="44"/>
        <v>9.8029415886213292E-2</v>
      </c>
      <c r="AC68" s="78">
        <f t="shared" si="45"/>
        <v>11.99639913559243</v>
      </c>
      <c r="AD68" s="78"/>
      <c r="AE68" s="78">
        <f t="shared" si="46"/>
        <v>399.75997839011887</v>
      </c>
      <c r="AF68" s="79" t="str">
        <f t="shared" si="47"/>
        <v>-0.03, (-0.13, 0.07)</v>
      </c>
      <c r="AG68" s="78">
        <f t="shared" si="48"/>
        <v>10.201019673122815</v>
      </c>
      <c r="AH68" s="78">
        <f t="shared" si="49"/>
        <v>-1.3061224489795917</v>
      </c>
      <c r="AI68" s="78">
        <f t="shared" si="50"/>
        <v>0.16723385567260707</v>
      </c>
      <c r="AJ68" s="85">
        <f t="shared" si="38"/>
        <v>5</v>
      </c>
    </row>
    <row r="69" spans="1:75" x14ac:dyDescent="0.25">
      <c r="A69" s="22"/>
      <c r="B69" s="11"/>
      <c r="C69" s="11"/>
      <c r="D69" s="11"/>
      <c r="E69" s="11"/>
      <c r="F69" s="11"/>
      <c r="G69" s="19"/>
      <c r="H69" s="111"/>
      <c r="I69" s="14"/>
      <c r="J69" s="19"/>
      <c r="K69" s="18"/>
      <c r="L69" s="20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78"/>
      <c r="AI69" s="78"/>
      <c r="AJ69" s="85"/>
    </row>
    <row r="70" spans="1:75" x14ac:dyDescent="0.25">
      <c r="A70" s="22"/>
      <c r="B70" s="11"/>
      <c r="C70" s="11"/>
      <c r="D70" s="11"/>
      <c r="E70" s="11"/>
      <c r="F70" s="11"/>
      <c r="G70" s="19"/>
      <c r="H70" s="111"/>
      <c r="I70" s="14"/>
      <c r="J70" s="19"/>
      <c r="K70" s="18"/>
      <c r="L70" s="20"/>
      <c r="M70" s="19"/>
      <c r="N70" s="18"/>
      <c r="O70" s="14"/>
      <c r="Q70" s="2" t="s">
        <v>323</v>
      </c>
      <c r="S70" s="84">
        <f>(EXP(2*AD70)-1)/(EXP(2*AD70)+1)</f>
        <v>2.9810764761817769E-2</v>
      </c>
      <c r="T70" s="2">
        <v>116</v>
      </c>
      <c r="U70" s="103">
        <f>1/SQRT(AD70*AE70)</f>
        <v>6.9621547349656351E-2</v>
      </c>
      <c r="V70" s="80">
        <f>1/SQRT(AE70)</f>
        <v>1.2022494298441372E-2</v>
      </c>
      <c r="W70" s="74">
        <f>0.5*LN((1+S70)/(1-S70))</f>
        <v>2.9819600233775848E-2</v>
      </c>
      <c r="X70" s="74">
        <f>S70-(EXP(2*Z70)-1)/(EXP(2*Z70)+1)</f>
        <v>0.13604700328383779</v>
      </c>
      <c r="Y70" s="74">
        <f>(EXP(2*AA70)-1)/(EXP(2*AA70)+1)-S70</f>
        <v>0.13495139428609179</v>
      </c>
      <c r="Z70" s="74">
        <f>W70-AB70</f>
        <v>-0.10663863257155061</v>
      </c>
      <c r="AA70" s="74">
        <f>W70+AB70</f>
        <v>0.16627783303910232</v>
      </c>
      <c r="AB70" s="74">
        <f>1.96*U70</f>
        <v>0.13645823280532646</v>
      </c>
      <c r="AC70" s="78">
        <f>SUM(AC55,AC67,AC61,AC47,AC49,AC51,AC59,AC53,AC64,AC63,AC57,AC65)</f>
        <v>206.3063793726767</v>
      </c>
      <c r="AD70" s="78">
        <f>AC70/AE70</f>
        <v>2.9819600233775886E-2</v>
      </c>
      <c r="AE70" s="78">
        <f>SUM(AE55,AE67,AE61,AE47,AE49,AE51,AE59,AE53,AE64,AE63,AE57,AE65)</f>
        <v>6918.4823993380978</v>
      </c>
      <c r="AF70" s="79" t="str">
        <f>CONCATENATE(ROUND(S70,2),", (",ROUND(-(X70-S70),2),", ",ROUND(Y70+S70,2),")")</f>
        <v>0.03, (-0.11, 0.16)</v>
      </c>
      <c r="AG70" s="78">
        <f>SUM(AG55,AG67,AG61,AG47,AG49,AG51,AG59,AG53,AG64,AG63,AG57,AG65)</f>
        <v>140.29761172158973</v>
      </c>
      <c r="AH70" s="78">
        <f>SUM(AH55,AH67,AH61,AH47,AH49,AH51,AH59,AH53,AH64,AH63,AH57,AH65)</f>
        <v>-10.511903012633622</v>
      </c>
      <c r="AI70" s="78">
        <f>SUM(AI55,AI67,AI61,AI47,AI49,AI51,AI59,AI53,AI64,AI63,AI57,AI65)</f>
        <v>1.2058239075462569</v>
      </c>
      <c r="AJ70"/>
      <c r="AK70" s="81">
        <f>AK74-AK72</f>
        <v>12</v>
      </c>
      <c r="AL70">
        <f>CHIDIST(AI70,AK70-1)</f>
        <v>0.99987057003410929</v>
      </c>
      <c r="AM70" s="82">
        <f>IF((AI70-AK70+1)/AI70&lt;0,0,(AI70-AK70+1)/AI70)</f>
        <v>0</v>
      </c>
      <c r="AN70" s="74" t="str">
        <f>CONCATENATE(ROUND(S70,2)," (",ROUND(AO70,2),", ",ROUND(AP70,2),")")</f>
        <v>0.03 (-0.11, -0.08)</v>
      </c>
      <c r="AO70" s="77">
        <f>S70-Y70</f>
        <v>-0.10514062952427403</v>
      </c>
      <c r="AP70">
        <f>S70+Z70</f>
        <v>-7.6827867809732844E-2</v>
      </c>
    </row>
    <row r="71" spans="1:75" x14ac:dyDescent="0.25">
      <c r="A71" s="22"/>
      <c r="B71" s="11"/>
      <c r="C71" s="11"/>
      <c r="D71" s="11"/>
      <c r="E71" s="11"/>
      <c r="F71" s="11"/>
      <c r="G71" s="19"/>
      <c r="H71" s="111"/>
      <c r="I71" s="14"/>
      <c r="J71" s="19"/>
      <c r="K71" s="18"/>
      <c r="L71" s="20"/>
      <c r="M71" s="19"/>
      <c r="N71" s="18"/>
      <c r="O71" s="14"/>
      <c r="T71" s="74">
        <v>115</v>
      </c>
      <c r="U71" s="75"/>
    </row>
    <row r="72" spans="1:75" x14ac:dyDescent="0.25">
      <c r="A72" s="22"/>
      <c r="B72" s="11"/>
      <c r="C72" s="11"/>
      <c r="D72" s="11"/>
      <c r="E72" s="11"/>
      <c r="F72" s="11"/>
      <c r="G72" s="19"/>
      <c r="H72" s="111"/>
      <c r="I72" s="14"/>
      <c r="J72" s="19"/>
      <c r="K72" s="18"/>
      <c r="L72" s="20"/>
      <c r="M72" s="19"/>
      <c r="N72" s="18"/>
      <c r="O72" s="14"/>
      <c r="Q72" s="2" t="s">
        <v>322</v>
      </c>
      <c r="S72" s="84">
        <f>(EXP(2*AD72)-1)/(EXP(2*AD72)+1)</f>
        <v>3.1046438713082582E-2</v>
      </c>
      <c r="T72" s="2">
        <v>114</v>
      </c>
      <c r="U72" s="103">
        <f>1/SQRT(AD72*AE72)</f>
        <v>6.1730865806603946E-2</v>
      </c>
      <c r="V72" s="80">
        <f>1/SQRT(AE72)</f>
        <v>1.0878726553209853E-2</v>
      </c>
      <c r="W72" s="74">
        <f>0.5*LN((1+S72)/(1-S72))</f>
        <v>3.1056419513726514E-2</v>
      </c>
      <c r="X72" s="74">
        <f>S72-(EXP(2*Z72)-1)/(EXP(2*Z72)+1)</f>
        <v>0.12074081555306404</v>
      </c>
      <c r="Y72" s="74">
        <f>(EXP(2*AA72)-1)/(EXP(2*AA72)+1)-S72</f>
        <v>0.11984147978977946</v>
      </c>
      <c r="Z72" s="74">
        <f>W72-AB72</f>
        <v>-8.9936077467217213E-2</v>
      </c>
      <c r="AA72" s="74">
        <f>W72+AB72</f>
        <v>0.15204891649467026</v>
      </c>
      <c r="AB72" s="74">
        <f>1.96*U72</f>
        <v>0.12099249698094373</v>
      </c>
      <c r="AC72" s="78">
        <f>SUM(AC56,AC68,AC62,AC48,AC52,AC50,AC60,AC58,AC54,AC66)</f>
        <v>262.41899237924855</v>
      </c>
      <c r="AD72" s="78">
        <f>AC72/AE72</f>
        <v>3.1056419513726497E-2</v>
      </c>
      <c r="AE72" s="78">
        <f>SUM(AE56,AE68,AE62,AE48,AE52,AE50,AE60,AE58,AE54,AE66)</f>
        <v>8449.7503732928089</v>
      </c>
      <c r="AF72" s="79" t="str">
        <f>CONCATENATE(ROUND(S72,2),", (",ROUND(-(X72-S72),2),", ",ROUND(Y72+S72,2),")")</f>
        <v>0.03, (-0.09, 0.15)</v>
      </c>
      <c r="AG72" s="78">
        <f>SUM(AG56,AG68,AG62,AG48,AG52,AG50,AG60,AG58,AG54,AG66)</f>
        <v>140.22547739668573</v>
      </c>
      <c r="AH72" s="78">
        <f>SUM(AH56,AH68,AH62,AH48,AH52,AH50,AH60,AH58,AH54,AH66)</f>
        <v>-9.4472789115646236</v>
      </c>
      <c r="AI72" s="78">
        <f>SUM(AI56,AI68,AI62,AI48,AI52,AI50,AI60,AI58,AI54,AI66)</f>
        <v>0.92570173549364865</v>
      </c>
      <c r="AJ72"/>
      <c r="AK72" s="81">
        <f>COUNT(AI56,AI68,AI62,AI48,AI52,AI50,AI60,AI58,AI54,AI66)</f>
        <v>10</v>
      </c>
      <c r="AL72">
        <f>CHIDIST(AI72,AK72-1)</f>
        <v>0.99959049859935512</v>
      </c>
      <c r="AM72" s="82">
        <f>IF((AI72-AK72+1)/AI72&lt;0,0,(AI72-AK72+1)/AI72)</f>
        <v>0</v>
      </c>
      <c r="AN72" s="74" t="str">
        <f>CONCATENATE(ROUND(S72,2)," (",ROUND(AO72,2),", ",ROUND(AP72,2),")")</f>
        <v>0.03 (-0.09, -0.06)</v>
      </c>
      <c r="AO72" s="77">
        <f>S72-Y72</f>
        <v>-8.879504107669689E-2</v>
      </c>
      <c r="AP72">
        <f>S72+Z72</f>
        <v>-5.8889638754134631E-2</v>
      </c>
    </row>
    <row r="73" spans="1:75" x14ac:dyDescent="0.25">
      <c r="A73" s="22"/>
      <c r="B73" s="11"/>
      <c r="C73" s="11"/>
      <c r="D73" s="11"/>
      <c r="E73" s="11"/>
      <c r="F73" s="11"/>
      <c r="G73" s="19"/>
      <c r="H73" s="111"/>
      <c r="I73" s="14"/>
      <c r="J73" s="19"/>
      <c r="K73" s="18"/>
      <c r="L73" s="20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7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5">
      <c r="A74" s="22"/>
      <c r="B74" s="11"/>
      <c r="C74" s="11"/>
      <c r="D74" s="11"/>
      <c r="E74" s="11"/>
      <c r="F74" s="11"/>
      <c r="G74" s="19"/>
      <c r="H74" s="111"/>
      <c r="I74" s="14"/>
      <c r="J74" s="19"/>
      <c r="K74" s="18"/>
      <c r="L74" s="20"/>
      <c r="M74" s="19"/>
      <c r="N74" s="18"/>
      <c r="O74" s="14"/>
      <c r="Q74" s="2" t="s">
        <v>185</v>
      </c>
      <c r="S74" s="84">
        <f>(EXP(2*AD74)-1)/(EXP(2*AD74)+1)</f>
        <v>3.0490173617901784E-2</v>
      </c>
      <c r="T74" s="2">
        <v>112</v>
      </c>
      <c r="U74" s="103">
        <f>1/SQRT(AD74*AE74)</f>
        <v>4.6189234948374333E-2</v>
      </c>
      <c r="V74" s="80">
        <f>1/SQRT(AE74)</f>
        <v>8.0665538069737697E-3</v>
      </c>
      <c r="W74" s="74">
        <f>0.5*LN((1+S74)/(1-S74))</f>
        <v>3.0499627295252307E-2</v>
      </c>
      <c r="X74" s="74">
        <f>S74-(EXP(2*Z74)-1)/(EXP(2*Z74)+1)</f>
        <v>9.0449437978314132E-2</v>
      </c>
      <c r="Y74" s="74">
        <f>(EXP(2*AA74)-1)/(EXP(2*AA74)+1)-S74</f>
        <v>8.9952829051199709E-2</v>
      </c>
      <c r="Z74" s="74">
        <f>W74-AB74</f>
        <v>-6.0031273203561386E-2</v>
      </c>
      <c r="AA74" s="74">
        <f>W74+AB74</f>
        <v>0.12103052779406601</v>
      </c>
      <c r="AB74" s="74">
        <f>1.96*U74</f>
        <v>9.0530900498813696E-2</v>
      </c>
      <c r="AC74" s="78">
        <f>SUM(AC47:AC68)</f>
        <v>468.72537175192531</v>
      </c>
      <c r="AD74" s="78">
        <f>AC74/AE74</f>
        <v>3.0499627295252352E-2</v>
      </c>
      <c r="AE74" s="78">
        <f>SUM(AE47:AE68)</f>
        <v>15368.232772630907</v>
      </c>
      <c r="AF74" s="79" t="str">
        <f>CONCATENATE(ROUND(S74,2),", (",ROUND(-(X74-S74),2),", ",ROUND(Y74+S74,2),")")</f>
        <v>0.03, (-0.06, 0.12)</v>
      </c>
      <c r="AG74" s="78">
        <f>SUM(AG47:AG68)</f>
        <v>280.52308911827544</v>
      </c>
      <c r="AH74" s="78">
        <f>SUM(AH47:AH68)</f>
        <v>-19.959181924198244</v>
      </c>
      <c r="AI74" s="78">
        <f>SUM(AI47:AI68)</f>
        <v>2.1315256430399057</v>
      </c>
      <c r="AJ74"/>
      <c r="AK74" s="81">
        <f>COUNT(AI47:AI68)</f>
        <v>22</v>
      </c>
      <c r="AL74">
        <f>CHIDIST(AI74,AK74-1)</f>
        <v>0.99999993777844054</v>
      </c>
      <c r="AM74" s="82">
        <f>IF((AI74-AK74+1)/AI74&lt;0,0,(AI74-AK74+1)/AI74)</f>
        <v>0</v>
      </c>
      <c r="AN74" s="74" t="str">
        <f>CONCATENATE(ROUND(S74,2)," (",ROUND(AO74,2),", ",ROUND(AP74,2),")")</f>
        <v>0.03 (0, 0)</v>
      </c>
    </row>
    <row r="75" spans="1:75" x14ac:dyDescent="0.25">
      <c r="A75" s="22" t="s">
        <v>110</v>
      </c>
      <c r="B75" s="11"/>
      <c r="C75" s="11"/>
      <c r="D75" s="11"/>
      <c r="E75" s="11"/>
      <c r="F75" s="11"/>
      <c r="G75" s="19"/>
      <c r="H75" s="111"/>
      <c r="I75" s="14"/>
      <c r="J75" s="19"/>
      <c r="K75" s="18"/>
      <c r="L75" s="20"/>
      <c r="M75" s="19"/>
      <c r="N75" s="18"/>
      <c r="O75" s="14"/>
      <c r="T75" s="74">
        <v>111</v>
      </c>
      <c r="U75" s="75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5">
      <c r="A76" s="22"/>
      <c r="B76" s="11"/>
      <c r="C76" s="11"/>
      <c r="D76" s="11"/>
      <c r="E76" s="11"/>
      <c r="F76" s="11"/>
      <c r="G76" s="19"/>
      <c r="H76" s="111"/>
      <c r="I76" s="14"/>
      <c r="J76" s="19"/>
      <c r="K76" s="18"/>
      <c r="L76" s="20"/>
      <c r="M76" s="19"/>
      <c r="N76" s="18"/>
      <c r="O76" s="14"/>
      <c r="Q76" s="1" t="s">
        <v>110</v>
      </c>
      <c r="T76" s="2">
        <v>110</v>
      </c>
      <c r="U76" s="75"/>
    </row>
    <row r="77" spans="1:75" x14ac:dyDescent="0.25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-0.11</v>
      </c>
      <c r="H77" s="15">
        <v>7.0000000000000007E-2</v>
      </c>
      <c r="I77" s="14" t="s">
        <v>97</v>
      </c>
      <c r="J77" s="12"/>
      <c r="K77" s="15"/>
      <c r="L77" s="14"/>
      <c r="M77" s="12"/>
      <c r="N77" s="16"/>
      <c r="O77" s="14"/>
      <c r="Q77" s="2" t="str">
        <f>CONCATENATE(B77,"_",E77,"_",D77,"_",C77)</f>
        <v>EAS_Men_Block_PEF</v>
      </c>
      <c r="S77" s="75">
        <f t="shared" ref="S77:S78" si="51">G77</f>
        <v>-0.11</v>
      </c>
      <c r="T77" s="74">
        <v>109</v>
      </c>
      <c r="U77" s="102">
        <f>W77/G77*H77</f>
        <v>7.0284400957334597E-2</v>
      </c>
      <c r="W77" s="74">
        <f t="shared" ref="W77:W94" si="52">0.5*LN((1+S77)/(1-S77))</f>
        <v>-0.1104469157900972</v>
      </c>
      <c r="X77" s="74">
        <f t="shared" ref="X77:X94" si="53">S77-(EXP(2*Z77)-1)/(EXP(2*Z77)+1)</f>
        <v>0.13322997605403408</v>
      </c>
      <c r="Y77" s="74">
        <f t="shared" ref="Y77:Y94" si="54">(EXP(2*AA77)-1)/(EXP(2*AA77)+1)-S77</f>
        <v>0.13730372213634809</v>
      </c>
      <c r="Z77" s="74">
        <f t="shared" ref="Z77:Z94" si="55">W77-AB77</f>
        <v>-0.24820434166647304</v>
      </c>
      <c r="AA77" s="74">
        <f t="shared" ref="AA77:AA94" si="56">W77+AB77</f>
        <v>2.7310510086278619E-2</v>
      </c>
      <c r="AB77" s="74">
        <f t="shared" ref="AB77:AB94" si="57">1.96*U77</f>
        <v>0.13775742587637582</v>
      </c>
      <c r="AC77" s="78">
        <f t="shared" ref="AC77:AC94" si="58">IF(W77&lt;&gt;"",ABS(W77/U77^2),"")</f>
        <v>22.35814135177008</v>
      </c>
      <c r="AD77" s="78"/>
      <c r="AE77" s="78">
        <f t="shared" ref="AE77:AE94" si="59">U77^-2</f>
        <v>202.43336983951104</v>
      </c>
      <c r="AF77" s="79" t="str">
        <f t="shared" ref="AF77:AF94" si="60">CONCATENATE(ROUND(S77,2),", (",ROUND(-(X77-S77),2),", ",ROUND(Y77+S77,2),")")</f>
        <v>-0.11, (-0.24, 0.03)</v>
      </c>
      <c r="AG77" s="78">
        <f t="shared" ref="AG77:AG94" si="61">1/AB77</f>
        <v>7.2591368025227538</v>
      </c>
      <c r="AH77" s="78">
        <f t="shared" ref="AH77:AH94" si="62">AG77*Z77</f>
        <v>-1.8017492711370262</v>
      </c>
      <c r="AI77" s="78">
        <f t="shared" ref="AI77:AI94" si="63">Z77^2*AG77</f>
        <v>0.44720199169061325</v>
      </c>
      <c r="AJ77" s="85">
        <f t="shared" ref="AJ77:AJ94" si="64">ROUND(AG77/AG$100*100,0)+1</f>
        <v>4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5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9">
        <v>-0.01</v>
      </c>
      <c r="H78" s="111">
        <v>0.05</v>
      </c>
      <c r="I78" s="14" t="s">
        <v>113</v>
      </c>
      <c r="J78" s="19"/>
      <c r="K78" s="18"/>
      <c r="L78" s="20"/>
      <c r="M78" s="19"/>
      <c r="N78" s="18"/>
      <c r="O78" s="14"/>
      <c r="Q78" s="2" t="str">
        <f>CONCATENATE(B78,"_",E78,"_",D78,"_",C78)</f>
        <v>EAS_Women_Block_PEF</v>
      </c>
      <c r="S78" s="75">
        <f t="shared" si="51"/>
        <v>-0.01</v>
      </c>
      <c r="T78" s="2">
        <v>108</v>
      </c>
      <c r="U78" s="102">
        <f>W78/G78*H78</f>
        <v>5.0001666766673863E-2</v>
      </c>
      <c r="W78" s="74">
        <f t="shared" si="52"/>
        <v>-1.0000333353334771E-2</v>
      </c>
      <c r="X78" s="74">
        <f t="shared" si="53"/>
        <v>9.7585604444512947E-2</v>
      </c>
      <c r="Y78" s="74">
        <f t="shared" si="54"/>
        <v>9.7776455018839387E-2</v>
      </c>
      <c r="Z78" s="74">
        <f t="shared" si="55"/>
        <v>-0.10800360021601554</v>
      </c>
      <c r="AA78" s="74">
        <f t="shared" si="56"/>
        <v>8.8002933509345987E-2</v>
      </c>
      <c r="AB78" s="74">
        <f t="shared" si="57"/>
        <v>9.8003266862680766E-2</v>
      </c>
      <c r="AC78" s="78">
        <f t="shared" si="58"/>
        <v>3.9998666631109199</v>
      </c>
      <c r="AD78" s="78"/>
      <c r="AE78" s="78">
        <f t="shared" si="59"/>
        <v>399.97333306665223</v>
      </c>
      <c r="AF78" s="79" t="str">
        <f t="shared" si="60"/>
        <v>-0.01, (-0.11, 0.09)</v>
      </c>
      <c r="AG78" s="78">
        <f t="shared" si="61"/>
        <v>10.203741487527859</v>
      </c>
      <c r="AH78" s="78">
        <f t="shared" si="62"/>
        <v>-1.1020408163265307</v>
      </c>
      <c r="AI78" s="78">
        <f t="shared" si="63"/>
        <v>0.11902437574826204</v>
      </c>
      <c r="AJ78" s="85">
        <f t="shared" si="64"/>
        <v>6</v>
      </c>
    </row>
    <row r="79" spans="1:75" x14ac:dyDescent="0.25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0.11</v>
      </c>
      <c r="H79" s="15">
        <v>7.0000000000000007E-2</v>
      </c>
      <c r="I79" s="14" t="s">
        <v>60</v>
      </c>
      <c r="J79" s="12"/>
      <c r="K79" s="15"/>
      <c r="L79" s="14"/>
      <c r="M79" s="12"/>
      <c r="N79" s="16"/>
      <c r="O79" s="14"/>
      <c r="Q79" s="2" t="str">
        <f>CONCATENATE(B89,"_",E89,"_",D89,"_",C89)</f>
        <v>LASA_Men_Raven_PEF</v>
      </c>
      <c r="S79" s="75">
        <f>G89</f>
        <v>0.03</v>
      </c>
      <c r="T79" s="74">
        <v>107</v>
      </c>
      <c r="U79" s="102">
        <f>W79/G89*H89</f>
        <v>3.0009004863126472E-2</v>
      </c>
      <c r="W79" s="74">
        <f>0.5*LN((1+S79)/(1-S79))</f>
        <v>3.0009004863126475E-2</v>
      </c>
      <c r="X79" s="74">
        <f>S79-(EXP(2*Z79)-1)/(EXP(2*Z79)+1)</f>
        <v>5.8800677517101309E-2</v>
      </c>
      <c r="Y79" s="74">
        <f>(EXP(2*AA79)-1)/(EXP(2*AA79)+1)-S79</f>
        <v>5.8593770097622483E-2</v>
      </c>
      <c r="Z79" s="74">
        <f>W79-AB79</f>
        <v>-2.8808644668601408E-2</v>
      </c>
      <c r="AA79" s="74">
        <f>W79+AB79</f>
        <v>8.8826654394854362E-2</v>
      </c>
      <c r="AB79" s="74">
        <f>1.96*U79</f>
        <v>5.8817649531727884E-2</v>
      </c>
      <c r="AC79" s="78">
        <f>IF(W79&lt;&gt;"",ABS(W79/U79^2),"")</f>
        <v>33.323330932201252</v>
      </c>
      <c r="AD79" s="78"/>
      <c r="AE79" s="78">
        <f>U79^-2</f>
        <v>1110.4443844170005</v>
      </c>
      <c r="AF79" s="79" t="str">
        <f>CONCATENATE(ROUND(S79,2),", (",ROUND(-(X79-S79),2),", ",ROUND(Y79+S79,2),")")</f>
        <v>0.03, (-0.03, 0.09)</v>
      </c>
      <c r="AG79" s="78">
        <f>1/AB79</f>
        <v>17.001699455204719</v>
      </c>
      <c r="AH79" s="78">
        <f>AG79*Z79</f>
        <v>-0.48979591836734687</v>
      </c>
      <c r="AI79" s="78">
        <f>Z79^2*AG79</f>
        <v>1.4110356572376198E-2</v>
      </c>
      <c r="AJ79" s="85">
        <f t="shared" si="64"/>
        <v>9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5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9">
        <v>0.15</v>
      </c>
      <c r="H80" s="111">
        <v>0.06</v>
      </c>
      <c r="I80" s="14" t="s">
        <v>75</v>
      </c>
      <c r="J80" s="19"/>
      <c r="K80" s="18"/>
      <c r="L80" s="20"/>
      <c r="M80" s="19"/>
      <c r="N80" s="18"/>
      <c r="O80" s="14"/>
      <c r="Q80" s="2" t="str">
        <f>CONCATENATE(B90,"_",E90,"_",D90,"_",C90)</f>
        <v>LASA_Women_Raven_PEF</v>
      </c>
      <c r="S80" s="75">
        <f>G90</f>
        <v>9.9999999999999995E-8</v>
      </c>
      <c r="T80" s="2">
        <v>106</v>
      </c>
      <c r="U80" s="102">
        <f>W80/G90*H90</f>
        <v>3.0000000015117979E-2</v>
      </c>
      <c r="W80" s="74">
        <f>0.5*LN((1+S80)/(1-S80))</f>
        <v>1.0000000005039327E-7</v>
      </c>
      <c r="X80" s="74">
        <f>S80-(EXP(2*Z80)-1)/(EXP(2*Z80)+1)</f>
        <v>5.873232813801528E-2</v>
      </c>
      <c r="Y80" s="74">
        <f>(EXP(2*AA80)-1)/(EXP(2*AA80)+1)-S80</f>
        <v>5.8732327448118168E-2</v>
      </c>
      <c r="Z80" s="74">
        <f>W80-AB80</f>
        <v>-5.8799900029631189E-2</v>
      </c>
      <c r="AA80" s="74">
        <f>W80+AB80</f>
        <v>5.8800100029631291E-2</v>
      </c>
      <c r="AB80" s="74">
        <f>1.96*U80</f>
        <v>5.880000002963124E-2</v>
      </c>
      <c r="AC80" s="78">
        <f>IF(W80&lt;&gt;"",ABS(W80/U80^2),"")</f>
        <v>1.1111111105511861E-4</v>
      </c>
      <c r="AD80" s="78"/>
      <c r="AE80" s="78">
        <f>U80^-2</f>
        <v>1111.1111099912607</v>
      </c>
      <c r="AF80" s="79" t="str">
        <f>CONCATENATE(ROUND(S80,2),", (",ROUND(-(X80-S80),2),", ",ROUND(Y80+S80,2),")")</f>
        <v>0, (-0.06, 0.06)</v>
      </c>
      <c r="AG80" s="78">
        <f>1/AB80</f>
        <v>17.006802712518152</v>
      </c>
      <c r="AH80" s="78">
        <f>AG80*Z80</f>
        <v>-0.99999829931972783</v>
      </c>
      <c r="AI80" s="78">
        <f>Z80^2*AG80</f>
        <v>5.8799800029801202E-2</v>
      </c>
      <c r="AJ80" s="85">
        <f t="shared" si="64"/>
        <v>9</v>
      </c>
    </row>
    <row r="81" spans="1:72" ht="12.95" customHeight="1" x14ac:dyDescent="0.25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0.01</v>
      </c>
      <c r="H81" s="15">
        <v>0.05</v>
      </c>
      <c r="I81" s="14" t="s">
        <v>115</v>
      </c>
      <c r="J81" s="12"/>
      <c r="K81" s="15"/>
      <c r="L81" s="14"/>
      <c r="M81" s="12"/>
      <c r="N81" s="16"/>
      <c r="O81" s="14"/>
      <c r="Q81" s="2" t="str">
        <f>CONCATENATE(B79,"_",E79,"_",D79,"_",C79)</f>
        <v>OCTO_Men_Block_PEF</v>
      </c>
      <c r="S81" s="75">
        <f>G79</f>
        <v>0.11</v>
      </c>
      <c r="T81" s="74">
        <v>105</v>
      </c>
      <c r="U81" s="102">
        <f>W81/G79*H79</f>
        <v>7.0284400957334597E-2</v>
      </c>
      <c r="W81" s="74">
        <f t="shared" si="52"/>
        <v>0.11044691579009722</v>
      </c>
      <c r="X81" s="74">
        <f t="shared" si="53"/>
        <v>0.13730372213634812</v>
      </c>
      <c r="Y81" s="74">
        <f t="shared" si="54"/>
        <v>0.13322997605403408</v>
      </c>
      <c r="Z81" s="74">
        <f t="shared" si="55"/>
        <v>-2.7310510086278605E-2</v>
      </c>
      <c r="AA81" s="74">
        <f t="shared" si="56"/>
        <v>0.24820434166647304</v>
      </c>
      <c r="AB81" s="74">
        <f t="shared" si="57"/>
        <v>0.13775742587637582</v>
      </c>
      <c r="AC81" s="78">
        <f t="shared" si="58"/>
        <v>22.35814135177008</v>
      </c>
      <c r="AD81" s="78"/>
      <c r="AE81" s="78">
        <f t="shared" si="59"/>
        <v>202.43336983951104</v>
      </c>
      <c r="AF81" s="79" t="str">
        <f t="shared" si="60"/>
        <v>0.11, (-0.03, 0.24)</v>
      </c>
      <c r="AG81" s="78">
        <f t="shared" si="61"/>
        <v>7.2591368025227538</v>
      </c>
      <c r="AH81" s="78">
        <f t="shared" si="62"/>
        <v>-0.1982507288629739</v>
      </c>
      <c r="AI81" s="78">
        <f t="shared" si="63"/>
        <v>5.4143285302243336E-3</v>
      </c>
      <c r="AJ81" s="85">
        <f t="shared" si="64"/>
        <v>4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ht="12.95" customHeight="1" x14ac:dyDescent="0.25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9">
        <v>7.0000000000000007E-2</v>
      </c>
      <c r="H82" s="111">
        <v>0.04</v>
      </c>
      <c r="I82" s="14" t="s">
        <v>34</v>
      </c>
      <c r="J82" s="19"/>
      <c r="K82" s="18"/>
      <c r="L82" s="20"/>
      <c r="M82" s="19"/>
      <c r="N82" s="18"/>
      <c r="O82" s="14"/>
      <c r="Q82" s="2" t="str">
        <f>CONCATENATE(B80,"_",E80,"_",D80,"_",C80)</f>
        <v>OCTO_Women_Block_PEF</v>
      </c>
      <c r="S82" s="75">
        <f>G80</f>
        <v>0.15</v>
      </c>
      <c r="T82" s="2">
        <v>104</v>
      </c>
      <c r="U82" s="102">
        <f>W82/G80*H80</f>
        <v>6.0456174374586703E-2</v>
      </c>
      <c r="W82" s="74">
        <f t="shared" si="52"/>
        <v>0.15114043593646675</v>
      </c>
      <c r="X82" s="74">
        <f t="shared" si="53"/>
        <v>0.11736525886626811</v>
      </c>
      <c r="Y82" s="74">
        <f t="shared" si="54"/>
        <v>0.11328473934933733</v>
      </c>
      <c r="Z82" s="74">
        <f t="shared" si="55"/>
        <v>3.2646334162276816E-2</v>
      </c>
      <c r="AA82" s="74">
        <f t="shared" si="56"/>
        <v>0.26963453771065671</v>
      </c>
      <c r="AB82" s="74">
        <f t="shared" si="57"/>
        <v>0.11849410177418994</v>
      </c>
      <c r="AC82" s="78">
        <f t="shared" si="58"/>
        <v>41.352269240689786</v>
      </c>
      <c r="AD82" s="78"/>
      <c r="AE82" s="78">
        <f t="shared" si="59"/>
        <v>273.60162741671979</v>
      </c>
      <c r="AF82" s="79" t="str">
        <f t="shared" si="60"/>
        <v>0.15, (0.03, 0.26)</v>
      </c>
      <c r="AG82" s="78">
        <f t="shared" si="61"/>
        <v>8.4392386205489363</v>
      </c>
      <c r="AH82" s="78">
        <f t="shared" si="62"/>
        <v>0.27551020408163263</v>
      </c>
      <c r="AI82" s="78">
        <f t="shared" si="63"/>
        <v>8.9943981875660606E-3</v>
      </c>
      <c r="AJ82" s="85">
        <f t="shared" si="64"/>
        <v>5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ht="12.95" customHeight="1" x14ac:dyDescent="0.25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-0.09</v>
      </c>
      <c r="H83" s="15">
        <v>0.03</v>
      </c>
      <c r="I83" s="14" t="s">
        <v>45</v>
      </c>
      <c r="J83" s="12"/>
      <c r="K83" s="15"/>
      <c r="L83" s="14"/>
      <c r="M83" s="12"/>
      <c r="N83" s="16"/>
      <c r="O83" s="14"/>
      <c r="Q83" s="2" t="str">
        <f>CONCATENATE(B84,"_",E84,"_",D84,"_",C84)</f>
        <v>OCTO_Men_Fig_Reason_PEF</v>
      </c>
      <c r="S83" s="75">
        <f>G84</f>
        <v>0.01</v>
      </c>
      <c r="T83" s="74">
        <v>103</v>
      </c>
      <c r="U83" s="102">
        <f>W83/G84*H84</f>
        <v>8.0002666826677754E-2</v>
      </c>
      <c r="W83" s="74">
        <f>0.5*LN((1+S83)/(1-S83))</f>
        <v>1.0000333353334718E-2</v>
      </c>
      <c r="X83" s="74">
        <f>S83-(EXP(2*Z83)-1)/(EXP(2*Z83)+1)</f>
        <v>0.15575927608758525</v>
      </c>
      <c r="Y83" s="74">
        <f>(EXP(2*AA83)-1)/(EXP(2*AA83)+1)-S83</f>
        <v>0.15527551567323594</v>
      </c>
      <c r="Z83" s="74">
        <f>W83-AB83</f>
        <v>-0.14680489362695368</v>
      </c>
      <c r="AA83" s="74">
        <f>W83+AB83</f>
        <v>0.16680556033362312</v>
      </c>
      <c r="AB83" s="74">
        <f>1.96*U83</f>
        <v>0.1568052269802884</v>
      </c>
      <c r="AC83" s="78">
        <f>IF(W83&lt;&gt;"",ABS(W83/U83^2),"")</f>
        <v>1.5624479152777115</v>
      </c>
      <c r="AD83" s="78"/>
      <c r="AE83" s="78">
        <f>U83^-2</f>
        <v>156.23958322916272</v>
      </c>
      <c r="AF83" s="79" t="str">
        <f>CONCATENATE(ROUND(S83,2),", (",ROUND(-(X83-S83),2),", ",ROUND(Y83+S83,2),")")</f>
        <v>0.01, (-0.15, 0.17)</v>
      </c>
      <c r="AG83" s="78">
        <f>1/AB83</f>
        <v>6.3773384297049454</v>
      </c>
      <c r="AH83" s="78">
        <f>AG83*Z83</f>
        <v>-0.93622448979591832</v>
      </c>
      <c r="AI83" s="78">
        <f>Z83^2*AG83</f>
        <v>0.13744233663543876</v>
      </c>
      <c r="AJ83" s="85">
        <f t="shared" si="64"/>
        <v>4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ht="12.95" customHeight="1" x14ac:dyDescent="0.25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0.01</v>
      </c>
      <c r="H84" s="15">
        <v>0.08</v>
      </c>
      <c r="I84" s="14" t="s">
        <v>119</v>
      </c>
      <c r="J84" s="12"/>
      <c r="K84" s="15"/>
      <c r="L84" s="14"/>
      <c r="M84" s="12"/>
      <c r="N84" s="16"/>
      <c r="O84" s="14"/>
      <c r="Q84" s="2" t="str">
        <f>CONCATENATE(B85,"_",E85,"_",D85,"_",C85)</f>
        <v>OCTO_Women_Fig_Reason_PEF</v>
      </c>
      <c r="S84" s="75">
        <f>G85</f>
        <v>0.01</v>
      </c>
      <c r="T84" s="2">
        <v>102</v>
      </c>
      <c r="U84" s="102">
        <f>W84/G85*H85</f>
        <v>6.0002000120008309E-2</v>
      </c>
      <c r="W84" s="74">
        <f>0.5*LN((1+S84)/(1-S84))</f>
        <v>1.0000333353334718E-2</v>
      </c>
      <c r="X84" s="74">
        <f>S84-(EXP(2*Z84)-1)/(EXP(2*Z84)+1)</f>
        <v>0.11719020413440014</v>
      </c>
      <c r="Y84" s="74">
        <f>(EXP(2*AA84)-1)/(EXP(2*AA84)+1)-S84</f>
        <v>0.11691614818336067</v>
      </c>
      <c r="Z84" s="74">
        <f>W84-AB84</f>
        <v>-0.10760358688188155</v>
      </c>
      <c r="AA84" s="74">
        <f>W84+AB84</f>
        <v>0.12760425358855099</v>
      </c>
      <c r="AB84" s="74">
        <f>1.96*U84</f>
        <v>0.11760392023521628</v>
      </c>
      <c r="AC84" s="78">
        <f>IF(W84&lt;&gt;"",ABS(W84/U84^2),"")</f>
        <v>2.7776851827159321</v>
      </c>
      <c r="AD84" s="78"/>
      <c r="AE84" s="78">
        <f>U84^-2</f>
        <v>277.75925907406707</v>
      </c>
      <c r="AF84" s="79" t="str">
        <f>CONCATENATE(ROUND(S84,2),", (",ROUND(-(X84-S84),2),", ",ROUND(Y84+S84,2),")")</f>
        <v>0.01, (-0.11, 0.13)</v>
      </c>
      <c r="AG84" s="78">
        <f>1/AB84</f>
        <v>8.5031179062732622</v>
      </c>
      <c r="AH84" s="78">
        <f>AG84*Z84</f>
        <v>-0.91496598639455773</v>
      </c>
      <c r="AI84" s="78">
        <f>Z84^2*AG84</f>
        <v>9.8453622010973241E-2</v>
      </c>
      <c r="AJ84" s="85">
        <f t="shared" si="64"/>
        <v>5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ht="12.95" customHeight="1" x14ac:dyDescent="0.25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9">
        <v>0.01</v>
      </c>
      <c r="H85" s="111">
        <v>0.06</v>
      </c>
      <c r="I85" s="14" t="s">
        <v>113</v>
      </c>
      <c r="J85" s="19"/>
      <c r="K85" s="18"/>
      <c r="L85" s="20"/>
      <c r="M85" s="19"/>
      <c r="N85" s="18"/>
      <c r="O85" s="14"/>
      <c r="Q85" s="2" t="str">
        <f>CONCATENATE(B81,"_",E81,"_",D81,"_",C81)</f>
        <v>SATSA_Men_Block_FEV1</v>
      </c>
      <c r="S85" s="75">
        <f>G81</f>
        <v>0.01</v>
      </c>
      <c r="T85" s="74">
        <v>101</v>
      </c>
      <c r="U85" s="102">
        <f>W85/G81*H81</f>
        <v>5.0001666766673593E-2</v>
      </c>
      <c r="W85" s="74">
        <f t="shared" si="52"/>
        <v>1.0000333353334718E-2</v>
      </c>
      <c r="X85" s="74">
        <f t="shared" si="53"/>
        <v>9.7776455018838929E-2</v>
      </c>
      <c r="Y85" s="74">
        <f t="shared" si="54"/>
        <v>9.7585604444512378E-2</v>
      </c>
      <c r="Z85" s="74">
        <f t="shared" si="55"/>
        <v>-8.8002933509345516E-2</v>
      </c>
      <c r="AA85" s="74">
        <f t="shared" si="56"/>
        <v>0.10800360021601496</v>
      </c>
      <c r="AB85" s="74">
        <f t="shared" si="57"/>
        <v>9.8003266862680238E-2</v>
      </c>
      <c r="AC85" s="78">
        <f t="shared" si="58"/>
        <v>3.9998666631109421</v>
      </c>
      <c r="AD85" s="78"/>
      <c r="AE85" s="78">
        <f t="shared" si="59"/>
        <v>399.97333306665661</v>
      </c>
      <c r="AF85" s="79" t="str">
        <f t="shared" si="60"/>
        <v>0.01, (-0.09, 0.11)</v>
      </c>
      <c r="AG85" s="78">
        <f t="shared" si="61"/>
        <v>10.203741487527914</v>
      </c>
      <c r="AH85" s="78">
        <f t="shared" si="62"/>
        <v>-0.89795918367346927</v>
      </c>
      <c r="AI85" s="78">
        <f t="shared" si="63"/>
        <v>7.9023042334922494E-2</v>
      </c>
      <c r="AJ85" s="85">
        <f t="shared" si="64"/>
        <v>6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ht="12.95" customHeight="1" x14ac:dyDescent="0.25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-0.02</v>
      </c>
      <c r="H86" s="15">
        <v>0.04</v>
      </c>
      <c r="I86" s="14" t="s">
        <v>124</v>
      </c>
      <c r="J86" s="12"/>
      <c r="K86" s="15"/>
      <c r="L86" s="14"/>
      <c r="M86" s="12"/>
      <c r="N86" s="16"/>
      <c r="O86" s="14"/>
      <c r="Q86" s="2" t="str">
        <f>CONCATENATE(B82,"_",E82,"_",D82,"_",C82)</f>
        <v>SATSA_Women_Block_FEV1</v>
      </c>
      <c r="S86" s="75">
        <f>G82</f>
        <v>7.0000000000000007E-2</v>
      </c>
      <c r="T86" s="2">
        <v>100</v>
      </c>
      <c r="U86" s="102">
        <f>W86/G82*H82</f>
        <v>4.0065526088185796E-2</v>
      </c>
      <c r="W86" s="74">
        <f t="shared" si="52"/>
        <v>7.0114670654325154E-2</v>
      </c>
      <c r="X86" s="74">
        <f t="shared" si="53"/>
        <v>7.841356194361003E-2</v>
      </c>
      <c r="Y86" s="74">
        <f t="shared" si="54"/>
        <v>7.7557946152156998E-2</v>
      </c>
      <c r="Z86" s="74">
        <f t="shared" si="55"/>
        <v>-8.4137604785190084E-3</v>
      </c>
      <c r="AA86" s="74">
        <f t="shared" si="56"/>
        <v>0.14864310178716933</v>
      </c>
      <c r="AB86" s="74">
        <f t="shared" si="57"/>
        <v>7.8528431132844162E-2</v>
      </c>
      <c r="AC86" s="78">
        <f t="shared" si="58"/>
        <v>43.678448054024841</v>
      </c>
      <c r="AD86" s="78"/>
      <c r="AE86" s="78">
        <f t="shared" si="59"/>
        <v>622.95733041898632</v>
      </c>
      <c r="AF86" s="79" t="str">
        <f t="shared" si="60"/>
        <v>0.07, (-0.01, 0.15)</v>
      </c>
      <c r="AG86" s="78">
        <f t="shared" si="61"/>
        <v>12.734241415167588</v>
      </c>
      <c r="AH86" s="78">
        <f t="shared" si="62"/>
        <v>-0.10714285714285703</v>
      </c>
      <c r="AI86" s="78">
        <f t="shared" si="63"/>
        <v>9.0147433698417839E-4</v>
      </c>
      <c r="AJ86" s="85">
        <f t="shared" si="64"/>
        <v>7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ht="12.95" customHeight="1" x14ac:dyDescent="0.25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9">
        <v>-0.04</v>
      </c>
      <c r="H87" s="111">
        <v>0.03</v>
      </c>
      <c r="I87" s="14" t="s">
        <v>97</v>
      </c>
      <c r="J87" s="19"/>
      <c r="K87" s="18"/>
      <c r="L87" s="20"/>
      <c r="M87" s="19"/>
      <c r="N87" s="18"/>
      <c r="O87" s="14"/>
      <c r="Q87" s="2" t="str">
        <f>CONCATENATE(B83,"_",E83,"_",D83,"_",C83)</f>
        <v>NAS_Men_Fig_Copy_FEV1</v>
      </c>
      <c r="S87" s="75">
        <f>G83</f>
        <v>-0.09</v>
      </c>
      <c r="T87" s="74">
        <v>99</v>
      </c>
      <c r="U87" s="102">
        <f>W87/G83*H83</f>
        <v>3.0081395952048944E-2</v>
      </c>
      <c r="W87" s="74">
        <f t="shared" si="52"/>
        <v>-9.0244187856146837E-2</v>
      </c>
      <c r="X87" s="74">
        <f t="shared" si="53"/>
        <v>5.8106316245648881E-2</v>
      </c>
      <c r="Y87" s="74">
        <f t="shared" si="54"/>
        <v>5.8725550618946146E-2</v>
      </c>
      <c r="Z87" s="74">
        <f t="shared" si="55"/>
        <v>-0.14920372392216277</v>
      </c>
      <c r="AA87" s="74">
        <f t="shared" si="56"/>
        <v>-3.1284651790130909E-2</v>
      </c>
      <c r="AB87" s="74">
        <f t="shared" si="57"/>
        <v>5.8959536066015929E-2</v>
      </c>
      <c r="AC87" s="78">
        <f t="shared" si="58"/>
        <v>99.729414312491713</v>
      </c>
      <c r="AD87" s="78"/>
      <c r="AE87" s="78">
        <f t="shared" si="59"/>
        <v>1105.1062310125139</v>
      </c>
      <c r="AF87" s="79" t="str">
        <f t="shared" si="60"/>
        <v>-0.09, (-0.15, -0.03)</v>
      </c>
      <c r="AG87" s="78">
        <f t="shared" si="61"/>
        <v>16.960784747022398</v>
      </c>
      <c r="AH87" s="78">
        <f t="shared" si="62"/>
        <v>-2.5306122448979593</v>
      </c>
      <c r="AI87" s="78">
        <f t="shared" si="63"/>
        <v>0.37757677074179968</v>
      </c>
      <c r="AJ87" s="85">
        <f t="shared" si="64"/>
        <v>9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ht="12.95" customHeight="1" x14ac:dyDescent="0.25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0.03</v>
      </c>
      <c r="H88" s="15">
        <v>0.03</v>
      </c>
      <c r="I88" s="14" t="s">
        <v>41</v>
      </c>
      <c r="J88" s="12"/>
      <c r="K88" s="15"/>
      <c r="L88" s="14"/>
      <c r="M88" s="12"/>
      <c r="N88" s="16"/>
      <c r="O88" s="14"/>
      <c r="Q88" s="2" t="str">
        <f>CONCATENATE(B88,"_",E88,"_",D88,"_",C88)</f>
        <v>NAS_Men_Patt_Comp_FEV1</v>
      </c>
      <c r="S88" s="75">
        <f>G88</f>
        <v>0.03</v>
      </c>
      <c r="T88" s="2">
        <v>98</v>
      </c>
      <c r="U88" s="102">
        <f>W88/G88*H88</f>
        <v>3.0009004863126472E-2</v>
      </c>
      <c r="W88" s="74">
        <f>0.5*LN((1+S88)/(1-S88))</f>
        <v>3.0009004863126475E-2</v>
      </c>
      <c r="X88" s="74">
        <f>S88-(EXP(2*Z88)-1)/(EXP(2*Z88)+1)</f>
        <v>5.8800677517101309E-2</v>
      </c>
      <c r="Y88" s="74">
        <f>(EXP(2*AA88)-1)/(EXP(2*AA88)+1)-S88</f>
        <v>5.8593770097622483E-2</v>
      </c>
      <c r="Z88" s="74">
        <f>W88-AB88</f>
        <v>-2.8808644668601408E-2</v>
      </c>
      <c r="AA88" s="74">
        <f>W88+AB88</f>
        <v>8.8826654394854362E-2</v>
      </c>
      <c r="AB88" s="74">
        <f>1.96*U88</f>
        <v>5.8817649531727884E-2</v>
      </c>
      <c r="AC88" s="78">
        <f>IF(W88&lt;&gt;"",ABS(W88/U88^2),"")</f>
        <v>33.323330932201252</v>
      </c>
      <c r="AD88" s="78"/>
      <c r="AE88" s="78">
        <f>U88^-2</f>
        <v>1110.4443844170005</v>
      </c>
      <c r="AF88" s="79" t="str">
        <f>CONCATENATE(ROUND(S88,2),", (",ROUND(-(X88-S88),2),", ",ROUND(Y88+S88,2),")")</f>
        <v>0.03, (-0.03, 0.09)</v>
      </c>
      <c r="AG88" s="78">
        <f>1/AB88</f>
        <v>17.001699455204719</v>
      </c>
      <c r="AH88" s="78">
        <f>AG88*Z88</f>
        <v>-0.48979591836734687</v>
      </c>
      <c r="AI88" s="78">
        <f>Z88^2*AG88</f>
        <v>1.4110356572376198E-2</v>
      </c>
      <c r="AJ88" s="85">
        <f t="shared" si="64"/>
        <v>9</v>
      </c>
    </row>
    <row r="89" spans="1:72" ht="12.95" customHeight="1" x14ac:dyDescent="0.25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0.03</v>
      </c>
      <c r="H89" s="15">
        <v>0.03</v>
      </c>
      <c r="I89" s="14" t="s">
        <v>62</v>
      </c>
      <c r="J89" s="12"/>
      <c r="K89" s="15"/>
      <c r="L89" s="14"/>
      <c r="M89" s="12"/>
      <c r="N89" s="16"/>
      <c r="O89" s="14"/>
      <c r="Q89" s="2" t="str">
        <f>CONCATENATE(B86,"_",E86,"_",D86,"_",C86)</f>
        <v>MAP_Men_Line_FEV1</v>
      </c>
      <c r="S89" s="75">
        <f>G86</f>
        <v>-0.02</v>
      </c>
      <c r="T89" s="74">
        <v>97</v>
      </c>
      <c r="U89" s="102">
        <f>W89/G86*H86</f>
        <v>4.0005334613699248E-2</v>
      </c>
      <c r="W89" s="74">
        <f t="shared" si="52"/>
        <v>-2.0002667306849624E-2</v>
      </c>
      <c r="X89" s="74">
        <f t="shared" si="53"/>
        <v>7.8096634139052101E-2</v>
      </c>
      <c r="Y89" s="74">
        <f t="shared" si="54"/>
        <v>7.8341460243837244E-2</v>
      </c>
      <c r="Z89" s="74">
        <f t="shared" si="55"/>
        <v>-9.841312314970016E-2</v>
      </c>
      <c r="AA89" s="74">
        <f t="shared" si="56"/>
        <v>5.8407788536000906E-2</v>
      </c>
      <c r="AB89" s="74">
        <f t="shared" si="57"/>
        <v>7.8410455842850529E-2</v>
      </c>
      <c r="AC89" s="78">
        <f t="shared" si="58"/>
        <v>12.498333155518271</v>
      </c>
      <c r="AD89" s="78"/>
      <c r="AE89" s="78">
        <f t="shared" si="59"/>
        <v>624.83332666530919</v>
      </c>
      <c r="AF89" s="79" t="str">
        <f t="shared" si="60"/>
        <v>-0.02, (-0.1, 0.06)</v>
      </c>
      <c r="AG89" s="78">
        <f t="shared" si="61"/>
        <v>12.753401179100274</v>
      </c>
      <c r="AH89" s="78">
        <f t="shared" si="62"/>
        <v>-1.2551020408163265</v>
      </c>
      <c r="AI89" s="78">
        <f t="shared" si="63"/>
        <v>0.12351851170829714</v>
      </c>
      <c r="AJ89" s="85">
        <f t="shared" si="64"/>
        <v>7</v>
      </c>
    </row>
    <row r="90" spans="1:72" ht="12.95" customHeight="1" x14ac:dyDescent="0.25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2">
        <v>9.9999999999999995E-8</v>
      </c>
      <c r="H90" s="111">
        <v>0.03</v>
      </c>
      <c r="I90" s="14" t="s">
        <v>127</v>
      </c>
      <c r="J90" s="19"/>
      <c r="K90" s="18"/>
      <c r="L90" s="20"/>
      <c r="M90" s="19"/>
      <c r="N90" s="18"/>
      <c r="O90" s="14"/>
      <c r="Q90" s="2" t="str">
        <f>CONCATENATE(B87,"_",E87,"_",D87,"_",C87)</f>
        <v>MAP_Women_Line_FEV1</v>
      </c>
      <c r="S90" s="75">
        <f>G87</f>
        <v>-0.04</v>
      </c>
      <c r="T90" s="2">
        <v>96</v>
      </c>
      <c r="U90" s="102">
        <f>W90/G87*H87</f>
        <v>3.0016015377576182E-2</v>
      </c>
      <c r="W90" s="74">
        <f t="shared" si="52"/>
        <v>-4.0021353836768248E-2</v>
      </c>
      <c r="X90" s="74">
        <f t="shared" si="53"/>
        <v>5.8532005713506564E-2</v>
      </c>
      <c r="Y90" s="74">
        <f t="shared" si="54"/>
        <v>5.880781817741354E-2</v>
      </c>
      <c r="Z90" s="74">
        <f t="shared" si="55"/>
        <v>-9.8852743976817564E-2</v>
      </c>
      <c r="AA90" s="74">
        <f t="shared" si="56"/>
        <v>1.8810036303281069E-2</v>
      </c>
      <c r="AB90" s="74">
        <f t="shared" si="57"/>
        <v>5.8831390140049317E-2</v>
      </c>
      <c r="AC90" s="78">
        <f t="shared" si="58"/>
        <v>44.420730618675513</v>
      </c>
      <c r="AD90" s="78"/>
      <c r="AE90" s="78">
        <f t="shared" si="59"/>
        <v>1109.9257361420266</v>
      </c>
      <c r="AF90" s="79" t="str">
        <f t="shared" si="60"/>
        <v>-0.04, (-0.1, 0.02)</v>
      </c>
      <c r="AG90" s="78">
        <f t="shared" si="61"/>
        <v>16.997728553064608</v>
      </c>
      <c r="AH90" s="78">
        <f t="shared" si="62"/>
        <v>-1.6802721088435373</v>
      </c>
      <c r="AI90" s="78">
        <f t="shared" si="63"/>
        <v>0.16609950858689751</v>
      </c>
      <c r="AJ90" s="85">
        <f t="shared" si="64"/>
        <v>9</v>
      </c>
    </row>
    <row r="91" spans="1:72" ht="12.95" customHeight="1" x14ac:dyDescent="0.25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-0.02</v>
      </c>
      <c r="H91" s="15">
        <v>0.04</v>
      </c>
      <c r="I91" s="14" t="s">
        <v>128</v>
      </c>
      <c r="J91" s="12"/>
      <c r="K91" s="15"/>
      <c r="L91" s="14"/>
      <c r="M91" s="12"/>
      <c r="N91" s="16"/>
      <c r="O91" s="14"/>
      <c r="Q91" s="2" t="str">
        <f>CONCATENATE(B91,"_",E91,"_",D91,"_",C91)</f>
        <v>MAP_Men_Raven_FEV1</v>
      </c>
      <c r="S91" s="75">
        <f>G91</f>
        <v>-0.02</v>
      </c>
      <c r="T91" s="74">
        <v>95</v>
      </c>
      <c r="U91" s="102">
        <f>W91/G91*H91</f>
        <v>4.0005334613699248E-2</v>
      </c>
      <c r="W91" s="74">
        <f t="shared" si="52"/>
        <v>-2.0002667306849624E-2</v>
      </c>
      <c r="X91" s="74">
        <f t="shared" si="53"/>
        <v>7.8096634139052101E-2</v>
      </c>
      <c r="Y91" s="74">
        <f t="shared" si="54"/>
        <v>7.8341460243837244E-2</v>
      </c>
      <c r="Z91" s="74">
        <f t="shared" si="55"/>
        <v>-9.841312314970016E-2</v>
      </c>
      <c r="AA91" s="74">
        <f t="shared" si="56"/>
        <v>5.8407788536000906E-2</v>
      </c>
      <c r="AB91" s="74">
        <f t="shared" si="57"/>
        <v>7.8410455842850529E-2</v>
      </c>
      <c r="AC91" s="78">
        <f t="shared" si="58"/>
        <v>12.498333155518271</v>
      </c>
      <c r="AD91" s="78"/>
      <c r="AE91" s="78">
        <f t="shared" si="59"/>
        <v>624.83332666530919</v>
      </c>
      <c r="AF91" s="79" t="str">
        <f t="shared" si="60"/>
        <v>-0.02, (-0.1, 0.06)</v>
      </c>
      <c r="AG91" s="78">
        <f t="shared" si="61"/>
        <v>12.753401179100274</v>
      </c>
      <c r="AH91" s="78">
        <f t="shared" si="62"/>
        <v>-1.2551020408163265</v>
      </c>
      <c r="AI91" s="78">
        <f t="shared" si="63"/>
        <v>0.12351851170829714</v>
      </c>
      <c r="AJ91" s="85">
        <f t="shared" si="64"/>
        <v>7</v>
      </c>
    </row>
    <row r="92" spans="1:72" ht="12.95" customHeight="1" x14ac:dyDescent="0.25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9">
        <v>-0.05</v>
      </c>
      <c r="H92" s="111">
        <v>0.03</v>
      </c>
      <c r="I92" s="14" t="s">
        <v>129</v>
      </c>
      <c r="J92" s="19"/>
      <c r="K92" s="18"/>
      <c r="L92" s="20"/>
      <c r="M92" s="19"/>
      <c r="N92" s="18"/>
      <c r="O92" s="14"/>
      <c r="Q92" s="2" t="str">
        <f>CONCATENATE(B92,"_",E92,"_",D92,"_",C92)</f>
        <v>MAP_Women_Raven_FEV1</v>
      </c>
      <c r="S92" s="75">
        <f>G92</f>
        <v>-0.05</v>
      </c>
      <c r="T92" s="2">
        <v>94</v>
      </c>
      <c r="U92" s="102">
        <f>W92/G92*H92</f>
        <v>3.0025037567094792E-2</v>
      </c>
      <c r="W92" s="74">
        <f t="shared" si="52"/>
        <v>-5.0041729278491327E-2</v>
      </c>
      <c r="X92" s="74">
        <f t="shared" si="53"/>
        <v>5.8462454141357631E-2</v>
      </c>
      <c r="Y92" s="74">
        <f t="shared" si="54"/>
        <v>5.8807116633525308E-2</v>
      </c>
      <c r="Z92" s="74">
        <f t="shared" si="55"/>
        <v>-0.10889080290999711</v>
      </c>
      <c r="AA92" s="74">
        <f t="shared" si="56"/>
        <v>8.8073443530144666E-3</v>
      </c>
      <c r="AB92" s="74">
        <f t="shared" si="57"/>
        <v>5.8849073631505794E-2</v>
      </c>
      <c r="AC92" s="78">
        <f t="shared" si="58"/>
        <v>55.509228354578632</v>
      </c>
      <c r="AD92" s="78"/>
      <c r="AE92" s="78">
        <f t="shared" si="59"/>
        <v>1109.258795707472</v>
      </c>
      <c r="AF92" s="79" t="str">
        <f t="shared" si="60"/>
        <v>-0.05, (-0.11, 0.01)</v>
      </c>
      <c r="AG92" s="78">
        <f t="shared" si="61"/>
        <v>16.992620924871009</v>
      </c>
      <c r="AH92" s="78">
        <f t="shared" si="62"/>
        <v>-1.8503401360544218</v>
      </c>
      <c r="AI92" s="78">
        <f t="shared" si="63"/>
        <v>0.2014850230715593</v>
      </c>
      <c r="AJ92" s="85">
        <f t="shared" si="64"/>
        <v>9</v>
      </c>
    </row>
    <row r="93" spans="1:72" ht="12.95" customHeight="1" x14ac:dyDescent="0.25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0.02</v>
      </c>
      <c r="H93" s="26">
        <v>0.05</v>
      </c>
      <c r="I93" s="25" t="s">
        <v>42</v>
      </c>
      <c r="J93" s="23"/>
      <c r="K93" s="26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0.02</v>
      </c>
      <c r="T93" s="74">
        <v>93</v>
      </c>
      <c r="U93" s="102">
        <f>W93/G93*H93</f>
        <v>5.0006668267124015E-2</v>
      </c>
      <c r="W93" s="74">
        <f t="shared" si="52"/>
        <v>2.0002667306849603E-2</v>
      </c>
      <c r="X93" s="74">
        <f t="shared" si="53"/>
        <v>9.7852539466298544E-2</v>
      </c>
      <c r="Y93" s="74">
        <f t="shared" si="54"/>
        <v>9.7470875891668571E-2</v>
      </c>
      <c r="Z93" s="74">
        <f t="shared" si="55"/>
        <v>-7.8010402496713468E-2</v>
      </c>
      <c r="AA93" s="74">
        <f t="shared" si="56"/>
        <v>0.11801573711041267</v>
      </c>
      <c r="AB93" s="74">
        <f t="shared" si="57"/>
        <v>9.8013069803563072E-2</v>
      </c>
      <c r="AC93" s="78">
        <f t="shared" si="58"/>
        <v>7.9989332195316987</v>
      </c>
      <c r="AD93" s="78"/>
      <c r="AE93" s="78">
        <f t="shared" si="59"/>
        <v>399.89332906579853</v>
      </c>
      <c r="AF93" s="79" t="str">
        <f t="shared" si="60"/>
        <v>0.02, (-0.08, 0.12)</v>
      </c>
      <c r="AG93" s="78">
        <f t="shared" si="61"/>
        <v>10.20272094328023</v>
      </c>
      <c r="AH93" s="78">
        <f t="shared" si="62"/>
        <v>-0.79591836734693888</v>
      </c>
      <c r="AI93" s="78">
        <f t="shared" si="63"/>
        <v>6.2089912191261754E-2</v>
      </c>
      <c r="AJ93" s="85">
        <f t="shared" si="64"/>
        <v>6</v>
      </c>
    </row>
    <row r="94" spans="1:72" ht="12.95" customHeight="1" x14ac:dyDescent="0.25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30">
        <v>0.01</v>
      </c>
      <c r="H94" s="112">
        <v>0.04</v>
      </c>
      <c r="I94" s="25" t="s">
        <v>113</v>
      </c>
      <c r="J94" s="30"/>
      <c r="K94" s="29"/>
      <c r="L94" s="31"/>
      <c r="M94" s="30"/>
      <c r="N94" s="29"/>
      <c r="O94" s="25"/>
      <c r="Q94" s="2" t="str">
        <f>CONCATENATE(B94,"_",E94,"_",D94,"_",C94)</f>
        <v>SATSA_Women_Rotate_FEV1</v>
      </c>
      <c r="S94" s="75">
        <f>G94</f>
        <v>0.01</v>
      </c>
      <c r="T94" s="2">
        <v>92</v>
      </c>
      <c r="U94" s="102">
        <f>W94/G94*H94</f>
        <v>4.0001333413338877E-2</v>
      </c>
      <c r="W94" s="74">
        <f t="shared" si="52"/>
        <v>1.0000333353334718E-2</v>
      </c>
      <c r="X94" s="74">
        <f t="shared" si="53"/>
        <v>7.8295797583549431E-2</v>
      </c>
      <c r="Y94" s="74">
        <f t="shared" si="54"/>
        <v>7.8173372410179021E-2</v>
      </c>
      <c r="Z94" s="74">
        <f t="shared" si="55"/>
        <v>-6.8402280136809476E-2</v>
      </c>
      <c r="AA94" s="74">
        <f t="shared" si="56"/>
        <v>8.8402946843478922E-2</v>
      </c>
      <c r="AB94" s="74">
        <f t="shared" si="57"/>
        <v>7.8402613490144199E-2</v>
      </c>
      <c r="AC94" s="78">
        <f t="shared" si="58"/>
        <v>6.2497916611108462</v>
      </c>
      <c r="AD94" s="78"/>
      <c r="AE94" s="78">
        <f t="shared" si="59"/>
        <v>624.95833291665087</v>
      </c>
      <c r="AF94" s="79" t="str">
        <f t="shared" si="60"/>
        <v>0.01, (-0.07, 0.09)</v>
      </c>
      <c r="AG94" s="78">
        <f t="shared" si="61"/>
        <v>12.754676859409891</v>
      </c>
      <c r="AH94" s="78">
        <f t="shared" si="62"/>
        <v>-0.87244897959183665</v>
      </c>
      <c r="AI94" s="78">
        <f t="shared" si="63"/>
        <v>5.9677499507114387E-2</v>
      </c>
      <c r="AJ94" s="85">
        <f t="shared" si="64"/>
        <v>7</v>
      </c>
    </row>
    <row r="95" spans="1:72" ht="12.95" customHeight="1" x14ac:dyDescent="0.25">
      <c r="A95" s="10"/>
      <c r="B95" s="21"/>
      <c r="C95" s="11"/>
      <c r="D95" s="21"/>
      <c r="E95" s="11"/>
      <c r="F95" s="21"/>
      <c r="G95" s="30"/>
      <c r="H95" s="112"/>
      <c r="I95" s="25"/>
      <c r="J95" s="30"/>
      <c r="K95" s="29"/>
      <c r="L95" s="31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78"/>
      <c r="AI95" s="78"/>
      <c r="AJ95" s="85"/>
    </row>
    <row r="96" spans="1:72" ht="12.95" customHeight="1" x14ac:dyDescent="0.25">
      <c r="A96" s="10"/>
      <c r="B96" s="21"/>
      <c r="C96" s="11"/>
      <c r="D96" s="21"/>
      <c r="E96" s="11"/>
      <c r="F96" s="21"/>
      <c r="G96" s="30"/>
      <c r="H96" s="112"/>
      <c r="I96" s="25"/>
      <c r="J96" s="30"/>
      <c r="K96" s="29"/>
      <c r="L96" s="31"/>
      <c r="M96" s="30"/>
      <c r="N96" s="29"/>
      <c r="O96" s="25"/>
      <c r="Q96" s="2" t="s">
        <v>323</v>
      </c>
      <c r="S96" s="84">
        <f>(EXP(2*AD96)-1)/(EXP(2*AD96)+1)</f>
        <v>4.202771952560691E-2</v>
      </c>
      <c r="T96" s="2">
        <v>90</v>
      </c>
      <c r="U96" s="103">
        <f>1/SQRT(AD96*AE96)</f>
        <v>6.3289837027047727E-2</v>
      </c>
      <c r="V96" s="80">
        <f>1/SQRT(AE96)</f>
        <v>1.2978659513213137E-2</v>
      </c>
      <c r="W96" s="74">
        <f>0.5*LN((1+S96)/(1-S96))</f>
        <v>4.2052490712876041E-2</v>
      </c>
      <c r="X96" s="74">
        <f>S96-(EXP(2*Z96)-1)/(EXP(2*Z96)+1)</f>
        <v>0.12384004255028416</v>
      </c>
      <c r="Y96" s="74">
        <f>(EXP(2*AA96)-1)/(EXP(2*AA96)+1)-S96</f>
        <v>0.12256198478260222</v>
      </c>
      <c r="Z96" s="74">
        <f>W96-AB96</f>
        <v>-8.1995589860137497E-2</v>
      </c>
      <c r="AA96" s="74">
        <f>W96+AB96</f>
        <v>0.16610057128588959</v>
      </c>
      <c r="AB96" s="74">
        <f>1.96*U96</f>
        <v>0.12404808057301354</v>
      </c>
      <c r="AC96" s="78">
        <f>SUM(AC83,AC89,AC88,AC79,AC93,AC91,AC87,AC85,AC81,AC77)</f>
        <v>249.65027298939128</v>
      </c>
      <c r="AD96" s="78">
        <f>AC96/AE96</f>
        <v>4.2052490712876062E-2</v>
      </c>
      <c r="AE96" s="78">
        <f>SUM(AE83,AE89,AE88,AE79,AE93,AE91,AE87,AE85,AE81,AE77)</f>
        <v>5936.6346382177744</v>
      </c>
      <c r="AF96" s="79" t="str">
        <f>CONCATENATE(ROUND(S96,2),", (",ROUND(-(X96-S96),2),", ",ROUND(Y96+S96,2),")")</f>
        <v>0.04, (-0.08, 0.16)</v>
      </c>
      <c r="AG96" s="78">
        <f>SUM(AG83,AG89,AG88,AG79,AG93,AG91,AG87,AG85,AG81,AG77)</f>
        <v>117.77306048119101</v>
      </c>
      <c r="AH96" s="78">
        <f>SUM(AH83,AH89,AH88,AH79,AH93,AH91,AH87,AH85,AH81,AH77)</f>
        <v>-10.650510204081632</v>
      </c>
      <c r="AI96" s="78">
        <f>SUM(AI83,AI89,AI88,AI79,AI93,AI91,AI87,AI85,AI81,AI77)</f>
        <v>1.384006118685607</v>
      </c>
      <c r="AJ96"/>
      <c r="AK96" s="81">
        <f>AK100-AK98</f>
        <v>10</v>
      </c>
      <c r="AL96">
        <f>CHIDIST(AI96,AK96-1)</f>
        <v>0.99791928032970856</v>
      </c>
      <c r="AM96" s="82">
        <f>IF((AI96-AK96+1)/AI96&lt;0,0,(AI96-AK96+1)/AI96)</f>
        <v>0</v>
      </c>
      <c r="AN96" s="74" t="str">
        <f>CONCATENATE(ROUND(S96,2)," (",ROUND(AO96,2),", ",ROUND(AP96,2),")")</f>
        <v>0.04 (-0.08, -0.04)</v>
      </c>
      <c r="AO96" s="77">
        <f>S96-Y96</f>
        <v>-8.0534265256995308E-2</v>
      </c>
      <c r="AP96">
        <f>S96+Z96</f>
        <v>-3.9967870334530586E-2</v>
      </c>
    </row>
    <row r="97" spans="1:42" ht="12.95" customHeight="1" x14ac:dyDescent="0.25">
      <c r="A97" s="10"/>
      <c r="B97" s="21"/>
      <c r="C97" s="11"/>
      <c r="D97" s="21"/>
      <c r="E97" s="11"/>
      <c r="F97" s="21"/>
      <c r="G97" s="30"/>
      <c r="H97" s="112"/>
      <c r="I97" s="25"/>
      <c r="J97" s="30"/>
      <c r="K97" s="29"/>
      <c r="L97" s="31"/>
      <c r="M97" s="30"/>
      <c r="N97" s="29"/>
      <c r="O97" s="25"/>
      <c r="T97" s="74">
        <v>89</v>
      </c>
      <c r="U97" s="75"/>
    </row>
    <row r="98" spans="1:42" ht="12.95" customHeight="1" x14ac:dyDescent="0.25">
      <c r="A98" s="10"/>
      <c r="B98" s="21"/>
      <c r="C98" s="11"/>
      <c r="D98" s="21"/>
      <c r="E98" s="11"/>
      <c r="F98" s="21"/>
      <c r="G98" s="30"/>
      <c r="H98" s="112"/>
      <c r="I98" s="25"/>
      <c r="J98" s="30"/>
      <c r="K98" s="29"/>
      <c r="L98" s="31"/>
      <c r="M98" s="30"/>
      <c r="N98" s="29"/>
      <c r="O98" s="25"/>
      <c r="Q98" s="2" t="s">
        <v>322</v>
      </c>
      <c r="S98" s="84">
        <f>(EXP(2*AD98)-1)/(EXP(2*AD98)+1)</f>
        <v>3.5790204496218787E-2</v>
      </c>
      <c r="T98" s="2">
        <v>88</v>
      </c>
      <c r="U98" s="103">
        <f>1/SQRT(AD98*AE98)</f>
        <v>7.1069035601177874E-2</v>
      </c>
      <c r="V98" s="80">
        <f>1/SQRT(AE98)</f>
        <v>1.3447925082778802E-2</v>
      </c>
      <c r="W98" s="74">
        <f>0.5*LN((1+S98)/(1-S98))</f>
        <v>3.580549793837675E-2</v>
      </c>
      <c r="X98" s="74">
        <f>S98-(EXP(2*Z98)-1)/(EXP(2*Z98)+1)</f>
        <v>0.13891212880912152</v>
      </c>
      <c r="Y98" s="74">
        <f>(EXP(2*AA98)-1)/(EXP(2*AA98)+1)-S98</f>
        <v>0.13754273406529968</v>
      </c>
      <c r="Z98" s="74">
        <f>W98-AB98</f>
        <v>-0.10348981183993186</v>
      </c>
      <c r="AA98" s="74">
        <f>W98+AB98</f>
        <v>0.17510080771668537</v>
      </c>
      <c r="AB98" s="74">
        <f>1.96*U98</f>
        <v>0.13929530977830862</v>
      </c>
      <c r="AC98" s="78">
        <f>SUM(AC84,AC90,AC80,AC92,AC94,AC86,AC78,AC82)</f>
        <v>197.9881308860175</v>
      </c>
      <c r="AD98" s="78">
        <f>AC98/AE98</f>
        <v>3.5805497938376708E-2</v>
      </c>
      <c r="AE98" s="78">
        <f>SUM(AE84,AE90,AE80,AE92,AE94,AE86,AE78,AE82)</f>
        <v>5529.545524733835</v>
      </c>
      <c r="AF98" s="79" t="str">
        <f>CONCATENATE(ROUND(S98,2),", (",ROUND(-(X98-S98),2),", ",ROUND(Y98+S98,2),")")</f>
        <v>0.04, (-0.1, 0.17)</v>
      </c>
      <c r="AG98" s="78">
        <f>SUM(AG84,AG90,AG80,AG92,AG94,AG86,AG78,AG82)</f>
        <v>103.63216847938132</v>
      </c>
      <c r="AH98" s="78">
        <f>SUM(AH84,AH90,AH80,AH92,AH94,AH86,AH78,AH82)</f>
        <v>-7.2516989795918363</v>
      </c>
      <c r="AI98" s="78">
        <f>SUM(AI84,AI90,AI80,AI92,AI94,AI86,AI78,AI82)</f>
        <v>0.71343570147915814</v>
      </c>
      <c r="AJ98"/>
      <c r="AK98" s="78">
        <f>COUNT(AI84,AI90,AI80,AI92,AI94,AI86,AI78,AI82)</f>
        <v>8</v>
      </c>
      <c r="AL98">
        <f>CHIDIST(AI98,AK98-1)</f>
        <v>0.9982303597408253</v>
      </c>
      <c r="AM98" s="82">
        <f>IF((AI98-AK98+1)/AI98&lt;0,0,(AI98-AK98+1)/AI98)</f>
        <v>0</v>
      </c>
      <c r="AN98" s="74" t="str">
        <f>CONCATENATE(ROUND(S98,2)," (",ROUND(AO98,2),", ",ROUND(AP98,2),")")</f>
        <v>0.04 (-0.1, -0.07)</v>
      </c>
      <c r="AO98" s="77">
        <f>S98-Y98</f>
        <v>-0.1017525295690809</v>
      </c>
      <c r="AP98">
        <f>S98+Z98</f>
        <v>-6.7699607343713081E-2</v>
      </c>
    </row>
    <row r="99" spans="1:42" ht="12.95" customHeight="1" x14ac:dyDescent="0.25">
      <c r="A99" s="10"/>
      <c r="B99" s="21"/>
      <c r="C99" s="11"/>
      <c r="D99" s="21"/>
      <c r="E99" s="11"/>
      <c r="F99" s="21"/>
      <c r="G99" s="30"/>
      <c r="H99" s="112"/>
      <c r="I99" s="25"/>
      <c r="J99" s="30"/>
      <c r="K99" s="29"/>
      <c r="L99" s="31"/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78"/>
      <c r="AI99" s="78"/>
      <c r="AJ99" s="85"/>
    </row>
    <row r="100" spans="1:42" ht="12.95" customHeight="1" x14ac:dyDescent="0.25">
      <c r="A100" s="10"/>
      <c r="B100" s="21"/>
      <c r="C100" s="11"/>
      <c r="D100" s="21"/>
      <c r="E100" s="11"/>
      <c r="F100" s="21"/>
      <c r="G100" s="30"/>
      <c r="H100" s="112"/>
      <c r="I100" s="25"/>
      <c r="J100" s="30"/>
      <c r="K100" s="29"/>
      <c r="L100" s="31"/>
      <c r="M100" s="30"/>
      <c r="N100" s="29"/>
      <c r="O100" s="25"/>
      <c r="Q100" s="2" t="s">
        <v>185</v>
      </c>
      <c r="S100" s="84">
        <f>(EXP(2*AD100)-1)/(EXP(2*AD100)+1)</f>
        <v>3.9020067617286637E-2</v>
      </c>
      <c r="T100" s="2">
        <v>86</v>
      </c>
      <c r="U100" s="103">
        <f>1/SQRT(AD100*AE100)</f>
        <v>4.7264637429436054E-2</v>
      </c>
      <c r="V100" s="80">
        <f>1/SQRT(AE100)</f>
        <v>9.3387902090309449E-3</v>
      </c>
      <c r="W100" s="74">
        <f>0.5*LN((1+S100)/(1-S100))</f>
        <v>3.9039889266852215E-2</v>
      </c>
      <c r="X100" s="74">
        <f>S100-(EXP(2*Z100)-1)/(EXP(2*Z100)+1)</f>
        <v>9.2567599853424096E-2</v>
      </c>
      <c r="Y100" s="74">
        <f>(EXP(2*AA100)-1)/(EXP(2*AA100)+1)-S100</f>
        <v>9.1902683590317752E-2</v>
      </c>
      <c r="Z100" s="74">
        <f>W100-AB100</f>
        <v>-5.3598800094842455E-2</v>
      </c>
      <c r="AA100" s="74">
        <f>W100+AB100</f>
        <v>0.13167857862854687</v>
      </c>
      <c r="AB100" s="74">
        <f>1.96*U100</f>
        <v>9.263868936169467E-2</v>
      </c>
      <c r="AC100" s="78">
        <f>SUM(AC77:AC94)</f>
        <v>447.63840387540876</v>
      </c>
      <c r="AD100" s="78">
        <f>AC100/AE100</f>
        <v>3.9039889266852257E-2</v>
      </c>
      <c r="AE100" s="78">
        <f>SUM(AE77:AE94)</f>
        <v>11466.180162951609</v>
      </c>
      <c r="AF100" s="79" t="str">
        <f>CONCATENATE(ROUND(S100,2),", (",ROUND(-(X100-S100),2),", ",ROUND(Y100+S100,2),")")</f>
        <v>0.04, (-0.05, 0.13)</v>
      </c>
      <c r="AG100" s="78">
        <f>SUM(AG77:AG94)</f>
        <v>221.40522896057232</v>
      </c>
      <c r="AH100" s="78">
        <f>SUM(AH77:AH94)</f>
        <v>-17.90220918367347</v>
      </c>
      <c r="AI100" s="78">
        <f>SUM(AI77:AI94)</f>
        <v>2.0974418201647649</v>
      </c>
      <c r="AJ100"/>
      <c r="AK100" s="81">
        <f>COUNT(AI77:AI94)</f>
        <v>18</v>
      </c>
      <c r="AL100">
        <f>CHIDIST(AI100,AK100-1)</f>
        <v>0.99999505991351956</v>
      </c>
      <c r="AM100" s="82">
        <f>IF((AI100-AK100+1)/AI100&lt;0,0,(AI100-AK100+1)/AI100)</f>
        <v>0</v>
      </c>
      <c r="AN100" s="74" t="str">
        <f>CONCATENATE(ROUND(S100,2)," (",ROUND(AO100,2),", ",ROUND(AP100,2),")")</f>
        <v>0.04 (0, 0)</v>
      </c>
    </row>
    <row r="101" spans="1:42" ht="12.95" customHeight="1" x14ac:dyDescent="0.25">
      <c r="A101" s="10" t="s">
        <v>131</v>
      </c>
      <c r="B101" s="21"/>
      <c r="C101" s="21"/>
      <c r="D101" s="21"/>
      <c r="E101" s="11"/>
      <c r="F101" s="21"/>
      <c r="G101" s="30"/>
      <c r="H101" s="112"/>
      <c r="I101" s="25"/>
      <c r="J101" s="30"/>
      <c r="K101" s="29"/>
      <c r="L101" s="31"/>
      <c r="M101" s="30"/>
      <c r="N101" s="29"/>
      <c r="O101" s="25"/>
      <c r="T101" s="74">
        <v>85</v>
      </c>
      <c r="U101" s="75"/>
    </row>
    <row r="102" spans="1:42" ht="12.95" customHeight="1" x14ac:dyDescent="0.25">
      <c r="A102" s="10"/>
      <c r="B102" s="21"/>
      <c r="C102" s="21"/>
      <c r="D102" s="21"/>
      <c r="E102" s="11"/>
      <c r="F102" s="21"/>
      <c r="G102" s="30"/>
      <c r="H102" s="112"/>
      <c r="I102" s="25"/>
      <c r="J102" s="30"/>
      <c r="K102" s="29"/>
      <c r="L102" s="31"/>
      <c r="M102" s="30"/>
      <c r="N102" s="29"/>
      <c r="O102" s="25"/>
      <c r="Q102" s="1" t="s">
        <v>326</v>
      </c>
      <c r="T102" s="2">
        <v>84</v>
      </c>
      <c r="U102" s="75"/>
    </row>
    <row r="103" spans="1:42" ht="12.95" customHeight="1" x14ac:dyDescent="0.25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0.06</v>
      </c>
      <c r="H103" s="15">
        <v>0.05</v>
      </c>
      <c r="I103" s="14" t="s">
        <v>62</v>
      </c>
      <c r="J103" s="12"/>
      <c r="K103" s="15"/>
      <c r="L103" s="14"/>
      <c r="M103" s="12"/>
      <c r="N103" s="16"/>
      <c r="O103" s="14"/>
      <c r="Q103" s="2" t="str">
        <f>CONCATENATE(B106,"_",E106,"_",D106,"_",C106)</f>
        <v>EAS_Men_BNT_PEF</v>
      </c>
      <c r="S103" s="75">
        <f>G106</f>
        <v>0.05</v>
      </c>
      <c r="T103" s="74">
        <v>83</v>
      </c>
      <c r="U103" s="102">
        <f>W103/G106*H106</f>
        <v>6.0050075134189571E-2</v>
      </c>
      <c r="W103" s="74">
        <f t="shared" ref="W103:W121" si="65">0.5*LN((1+S103)/(1-S103))</f>
        <v>5.0041729278491313E-2</v>
      </c>
      <c r="X103" s="74">
        <f t="shared" ref="X103:X121" si="66">S103-(EXP(2*Z103)-1)/(EXP(2*Z103)+1)</f>
        <v>0.11755337668731476</v>
      </c>
      <c r="Y103" s="74">
        <f t="shared" ref="Y103:Y121" si="67">(EXP(2*AA103)-1)/(EXP(2*AA103)+1)-S103</f>
        <v>0.11618416952488268</v>
      </c>
      <c r="Z103" s="74">
        <f t="shared" ref="Z103:Z121" si="68">W103-AB103</f>
        <v>-6.765641798452024E-2</v>
      </c>
      <c r="AA103" s="74">
        <f t="shared" ref="AA103:AA121" si="69">W103+AB103</f>
        <v>0.16773987654150288</v>
      </c>
      <c r="AB103" s="74">
        <f t="shared" ref="AB103:AB121" si="70">1.96*U103</f>
        <v>0.11769814726301156</v>
      </c>
      <c r="AC103" s="78">
        <f t="shared" ref="AC103:AC121" si="71">IF(W103&lt;&gt;"",ABS(W103/U103^2),"")</f>
        <v>13.87730708864466</v>
      </c>
      <c r="AD103" s="78"/>
      <c r="AE103" s="78">
        <f t="shared" ref="AE103:AE121" si="72">U103^-2</f>
        <v>277.31469892686812</v>
      </c>
      <c r="AF103" s="79" t="str">
        <f t="shared" ref="AF103:AF121" si="73">CONCATENATE(ROUND(S103,2),", (",ROUND(-(X103-S103),2),", ",ROUND(Y103+S103,2),")")</f>
        <v>0.05, (-0.07, 0.17)</v>
      </c>
      <c r="AG103" s="78">
        <f t="shared" ref="AG103:AG121" si="74">1/AB103</f>
        <v>8.4963104624355061</v>
      </c>
      <c r="AH103" s="78">
        <f t="shared" ref="AH103:AH121" si="75">AG103*Z103</f>
        <v>-0.57482993197278909</v>
      </c>
      <c r="AI103" s="78">
        <f t="shared" ref="AI103:AI121" si="76">Z103^2*AG103</f>
        <v>3.8890934147564352E-2</v>
      </c>
      <c r="AJ103" s="85">
        <f t="shared" ref="AJ103:AJ127" si="77">ROUND(AG103/AG$133*100,0)+1</f>
        <v>4</v>
      </c>
    </row>
    <row r="104" spans="1:42" ht="12.95" customHeight="1" x14ac:dyDescent="0.25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9">
        <v>0.02</v>
      </c>
      <c r="H104" s="111">
        <v>0.04</v>
      </c>
      <c r="I104" s="14" t="s">
        <v>67</v>
      </c>
      <c r="J104" s="19"/>
      <c r="K104" s="18"/>
      <c r="L104" s="20"/>
      <c r="M104" s="19"/>
      <c r="N104" s="18"/>
      <c r="O104" s="14"/>
      <c r="Q104" s="2" t="str">
        <f>CONCATENATE(B107,"_",E107,"_",D107,"_",C107)</f>
        <v>EAS_Women_BNT_PEF</v>
      </c>
      <c r="S104" s="75">
        <f>G107</f>
        <v>-0.06</v>
      </c>
      <c r="T104" s="2">
        <v>82</v>
      </c>
      <c r="U104" s="102">
        <f>W104/G107*H107</f>
        <v>5.0060129934193065E-2</v>
      </c>
      <c r="W104" s="74">
        <f t="shared" si="65"/>
        <v>-6.007215592103167E-2</v>
      </c>
      <c r="X104" s="74">
        <f t="shared" si="66"/>
        <v>9.6883566264345383E-2</v>
      </c>
      <c r="Y104" s="74">
        <f t="shared" si="67"/>
        <v>9.8027352637079151E-2</v>
      </c>
      <c r="Z104" s="74">
        <f t="shared" si="68"/>
        <v>-0.15819001059205007</v>
      </c>
      <c r="AA104" s="74">
        <f t="shared" si="69"/>
        <v>3.8045698749986742E-2</v>
      </c>
      <c r="AB104" s="74">
        <f t="shared" si="70"/>
        <v>9.8117854671018412E-2</v>
      </c>
      <c r="AC104" s="78">
        <f t="shared" si="71"/>
        <v>23.971172299741717</v>
      </c>
      <c r="AD104" s="78"/>
      <c r="AE104" s="78">
        <f t="shared" si="72"/>
        <v>399.03965376660045</v>
      </c>
      <c r="AF104" s="79" t="str">
        <f t="shared" si="73"/>
        <v>-0.06, (-0.16, 0.04)</v>
      </c>
      <c r="AG104" s="78">
        <f t="shared" si="74"/>
        <v>10.191824957373179</v>
      </c>
      <c r="AH104" s="78">
        <f t="shared" si="75"/>
        <v>-1.6122448979591832</v>
      </c>
      <c r="AI104" s="78">
        <f t="shared" si="76"/>
        <v>0.2550410374851419</v>
      </c>
      <c r="AJ104" s="85">
        <f t="shared" si="77"/>
        <v>5</v>
      </c>
    </row>
    <row r="105" spans="1:42" ht="12.95" customHeight="1" x14ac:dyDescent="0.25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0.03</v>
      </c>
      <c r="H105" s="15">
        <v>0.03</v>
      </c>
      <c r="I105" s="14" t="s">
        <v>135</v>
      </c>
      <c r="J105" s="12"/>
      <c r="K105" s="15"/>
      <c r="L105" s="14"/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0.02</v>
      </c>
      <c r="T105" s="74">
        <v>81</v>
      </c>
      <c r="U105" s="102">
        <f>W105/G110*H110</f>
        <v>6.0008001920548809E-2</v>
      </c>
      <c r="W105" s="74">
        <f t="shared" si="65"/>
        <v>2.0002667306849603E-2</v>
      </c>
      <c r="X105" s="74">
        <f t="shared" si="66"/>
        <v>0.1173041648031274</v>
      </c>
      <c r="Y105" s="74">
        <f t="shared" si="67"/>
        <v>0.11675610647755662</v>
      </c>
      <c r="Z105" s="74">
        <f t="shared" si="68"/>
        <v>-9.7613016457426066E-2</v>
      </c>
      <c r="AA105" s="74">
        <f t="shared" si="69"/>
        <v>0.13761835107112527</v>
      </c>
      <c r="AB105" s="74">
        <f t="shared" si="70"/>
        <v>0.11761568376427567</v>
      </c>
      <c r="AC105" s="78">
        <f t="shared" si="71"/>
        <v>5.5548147357859037</v>
      </c>
      <c r="AD105" s="78"/>
      <c r="AE105" s="78">
        <f t="shared" si="72"/>
        <v>277.70370074013795</v>
      </c>
      <c r="AF105" s="79" t="str">
        <f t="shared" si="73"/>
        <v>0.02, (-0.1, 0.14)</v>
      </c>
      <c r="AG105" s="78">
        <f t="shared" si="74"/>
        <v>8.5022674527335251</v>
      </c>
      <c r="AH105" s="78">
        <f t="shared" si="75"/>
        <v>-0.82993197278911557</v>
      </c>
      <c r="AI105" s="78">
        <f t="shared" si="76"/>
        <v>8.1012163318408034E-2</v>
      </c>
      <c r="AJ105" s="85">
        <f t="shared" si="77"/>
        <v>4</v>
      </c>
    </row>
    <row r="106" spans="1:42" ht="12.95" customHeight="1" x14ac:dyDescent="0.25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0.05</v>
      </c>
      <c r="H106" s="15">
        <v>0.06</v>
      </c>
      <c r="I106" s="14" t="s">
        <v>139</v>
      </c>
      <c r="J106" s="12"/>
      <c r="K106" s="15"/>
      <c r="L106" s="14"/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-0.09</v>
      </c>
      <c r="T106" s="2">
        <v>80</v>
      </c>
      <c r="U106" s="102">
        <f>W106/G111*H111</f>
        <v>6.0162791904097887E-2</v>
      </c>
      <c r="W106" s="74">
        <f t="shared" si="65"/>
        <v>-9.0244187856146837E-2</v>
      </c>
      <c r="X106" s="74">
        <f t="shared" si="66"/>
        <v>0.11520777012637123</v>
      </c>
      <c r="Y106" s="74">
        <f t="shared" si="67"/>
        <v>0.11766782104900791</v>
      </c>
      <c r="Z106" s="74">
        <f t="shared" si="68"/>
        <v>-0.20816325998817869</v>
      </c>
      <c r="AA106" s="74">
        <f t="shared" si="69"/>
        <v>2.767488427588502E-2</v>
      </c>
      <c r="AB106" s="74">
        <f t="shared" si="70"/>
        <v>0.11791907213203186</v>
      </c>
      <c r="AC106" s="78">
        <f t="shared" si="71"/>
        <v>24.932353578122928</v>
      </c>
      <c r="AD106" s="78"/>
      <c r="AE106" s="78">
        <f t="shared" si="72"/>
        <v>276.27655775312849</v>
      </c>
      <c r="AF106" s="79" t="str">
        <f t="shared" si="73"/>
        <v>-0.09, (-0.21, 0.03)</v>
      </c>
      <c r="AG106" s="78">
        <f t="shared" si="74"/>
        <v>8.480392373511199</v>
      </c>
      <c r="AH106" s="78">
        <f t="shared" si="75"/>
        <v>-1.7653061224489794</v>
      </c>
      <c r="AI106" s="78">
        <f t="shared" si="76"/>
        <v>0.36747187732607056</v>
      </c>
      <c r="AJ106" s="85">
        <f t="shared" si="77"/>
        <v>4</v>
      </c>
    </row>
    <row r="107" spans="1:42" ht="12.95" customHeight="1" x14ac:dyDescent="0.25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9">
        <v>-0.06</v>
      </c>
      <c r="H107" s="111">
        <v>0.05</v>
      </c>
      <c r="I107" s="14" t="s">
        <v>48</v>
      </c>
      <c r="J107" s="19"/>
      <c r="K107" s="18"/>
      <c r="L107" s="20"/>
      <c r="M107" s="19"/>
      <c r="N107" s="18"/>
      <c r="O107" s="14"/>
      <c r="Q107" s="2" t="str">
        <f>CONCATENATE(B114,"_",E114,"_",D114,"_",C114)</f>
        <v>EAS_Men_FAS_PEF</v>
      </c>
      <c r="S107" s="75">
        <f>G114</f>
        <v>0.02</v>
      </c>
      <c r="T107" s="74">
        <v>79</v>
      </c>
      <c r="U107" s="102">
        <f>W107/G114*H114</f>
        <v>7.0009335573973625E-2</v>
      </c>
      <c r="W107" s="74">
        <f t="shared" si="65"/>
        <v>2.0002667306849603E-2</v>
      </c>
      <c r="X107" s="74">
        <f t="shared" si="66"/>
        <v>0.13668173619478999</v>
      </c>
      <c r="Y107" s="74">
        <f t="shared" si="67"/>
        <v>0.13593822787143228</v>
      </c>
      <c r="Z107" s="74">
        <f t="shared" si="68"/>
        <v>-0.11721563041813871</v>
      </c>
      <c r="AA107" s="74">
        <f t="shared" si="69"/>
        <v>0.15722096503183791</v>
      </c>
      <c r="AB107" s="74">
        <f t="shared" si="70"/>
        <v>0.13721829772498831</v>
      </c>
      <c r="AC107" s="78">
        <f t="shared" si="71"/>
        <v>4.0810883773120912</v>
      </c>
      <c r="AD107" s="78"/>
      <c r="AE107" s="78">
        <f t="shared" si="72"/>
        <v>204.02720870704007</v>
      </c>
      <c r="AF107" s="79" t="str">
        <f t="shared" si="73"/>
        <v>0.02, (-0.12, 0.16)</v>
      </c>
      <c r="AG107" s="78">
        <f t="shared" si="74"/>
        <v>7.2876578166287347</v>
      </c>
      <c r="AH107" s="78">
        <f t="shared" si="75"/>
        <v>-0.85422740524781338</v>
      </c>
      <c r="AI107" s="78">
        <f t="shared" si="76"/>
        <v>0.1001288038265733</v>
      </c>
      <c r="AJ107" s="85">
        <f t="shared" si="77"/>
        <v>4</v>
      </c>
    </row>
    <row r="108" spans="1:42" ht="12.95" customHeight="1" x14ac:dyDescent="0.25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-0.04</v>
      </c>
      <c r="H108" s="15">
        <v>0.06</v>
      </c>
      <c r="I108" s="14" t="s">
        <v>143</v>
      </c>
      <c r="J108" s="12"/>
      <c r="K108" s="15"/>
      <c r="L108" s="14"/>
      <c r="M108" s="12"/>
      <c r="N108" s="16"/>
      <c r="O108" s="14"/>
      <c r="Q108" s="2" t="str">
        <f>CONCATENATE(B115,"_",E115,"_",D115,"_",C115)</f>
        <v>EAS_Women_FAS_PEF</v>
      </c>
      <c r="S108" s="75">
        <f>G115</f>
        <v>0.02</v>
      </c>
      <c r="T108" s="2">
        <v>78</v>
      </c>
      <c r="U108" s="102">
        <f>W108/G115*H115</f>
        <v>5.0006668267124015E-2</v>
      </c>
      <c r="W108" s="74">
        <f t="shared" si="65"/>
        <v>2.0002667306849603E-2</v>
      </c>
      <c r="X108" s="74">
        <f t="shared" si="66"/>
        <v>9.7852539466298544E-2</v>
      </c>
      <c r="Y108" s="74">
        <f t="shared" si="67"/>
        <v>9.7470875891668571E-2</v>
      </c>
      <c r="Z108" s="74">
        <f t="shared" si="68"/>
        <v>-7.8010402496713468E-2</v>
      </c>
      <c r="AA108" s="74">
        <f t="shared" si="69"/>
        <v>0.11801573711041267</v>
      </c>
      <c r="AB108" s="74">
        <f t="shared" si="70"/>
        <v>9.8013069803563072E-2</v>
      </c>
      <c r="AC108" s="78">
        <f t="shared" si="71"/>
        <v>7.9989332195316987</v>
      </c>
      <c r="AD108" s="78"/>
      <c r="AE108" s="78">
        <f t="shared" si="72"/>
        <v>399.89332906579853</v>
      </c>
      <c r="AF108" s="79" t="str">
        <f t="shared" si="73"/>
        <v>0.02, (-0.08, 0.12)</v>
      </c>
      <c r="AG108" s="78">
        <f t="shared" si="74"/>
        <v>10.20272094328023</v>
      </c>
      <c r="AH108" s="78">
        <f t="shared" si="75"/>
        <v>-0.79591836734693888</v>
      </c>
      <c r="AI108" s="78">
        <f t="shared" si="76"/>
        <v>6.2089912191261754E-2</v>
      </c>
      <c r="AJ108" s="85">
        <f t="shared" si="77"/>
        <v>5</v>
      </c>
    </row>
    <row r="109" spans="1:42" ht="12.95" customHeight="1" x14ac:dyDescent="0.25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9">
        <v>-0.03</v>
      </c>
      <c r="H109" s="111">
        <v>0.03</v>
      </c>
      <c r="I109" s="14" t="s">
        <v>141</v>
      </c>
      <c r="J109" s="19"/>
      <c r="K109" s="18"/>
      <c r="L109" s="20"/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-0.02</v>
      </c>
      <c r="T109" s="74">
        <v>77</v>
      </c>
      <c r="U109" s="102">
        <f>W109/G126*H126</f>
        <v>7.000933557397368E-2</v>
      </c>
      <c r="W109" s="74">
        <f t="shared" si="65"/>
        <v>-2.0002667306849624E-2</v>
      </c>
      <c r="X109" s="74">
        <f t="shared" si="66"/>
        <v>0.13593822787143242</v>
      </c>
      <c r="Y109" s="74">
        <f t="shared" si="67"/>
        <v>0.13668173619479013</v>
      </c>
      <c r="Z109" s="74">
        <f t="shared" si="68"/>
        <v>-0.15722096503183805</v>
      </c>
      <c r="AA109" s="74">
        <f t="shared" si="69"/>
        <v>0.11721563041813879</v>
      </c>
      <c r="AB109" s="74">
        <f t="shared" si="70"/>
        <v>0.13721829772498842</v>
      </c>
      <c r="AC109" s="78">
        <f t="shared" si="71"/>
        <v>4.0810883773120885</v>
      </c>
      <c r="AD109" s="78"/>
      <c r="AE109" s="78">
        <f t="shared" si="72"/>
        <v>204.02720870703973</v>
      </c>
      <c r="AF109" s="79" t="str">
        <f t="shared" si="73"/>
        <v>-0.02, (-0.16, 0.12)</v>
      </c>
      <c r="AG109" s="78">
        <f t="shared" si="74"/>
        <v>7.2876578166287294</v>
      </c>
      <c r="AH109" s="78">
        <f t="shared" si="75"/>
        <v>-1.1457725947521866</v>
      </c>
      <c r="AI109" s="78">
        <f t="shared" si="76"/>
        <v>0.1801394730539719</v>
      </c>
      <c r="AJ109" s="85">
        <f t="shared" si="77"/>
        <v>4</v>
      </c>
    </row>
    <row r="110" spans="1:42" ht="12.95" customHeight="1" x14ac:dyDescent="0.25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0.02</v>
      </c>
      <c r="H110" s="15">
        <v>0.06</v>
      </c>
      <c r="I110" s="14" t="s">
        <v>128</v>
      </c>
      <c r="J110" s="12"/>
      <c r="K110" s="15"/>
      <c r="L110" s="14"/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-0.04</v>
      </c>
      <c r="T110" s="2">
        <v>76</v>
      </c>
      <c r="U110" s="102">
        <f>W110/G127*H127</f>
        <v>5.0026692295960309E-2</v>
      </c>
      <c r="W110" s="74">
        <f t="shared" si="65"/>
        <v>-4.0021353836768248E-2</v>
      </c>
      <c r="X110" s="74">
        <f t="shared" si="66"/>
        <v>9.7202882798330753E-2</v>
      </c>
      <c r="Y110" s="74">
        <f t="shared" si="67"/>
        <v>9.7965909143257285E-2</v>
      </c>
      <c r="Z110" s="74">
        <f t="shared" si="68"/>
        <v>-0.13807367073685045</v>
      </c>
      <c r="AA110" s="74">
        <f t="shared" si="69"/>
        <v>5.8030963063313956E-2</v>
      </c>
      <c r="AB110" s="74">
        <f t="shared" si="70"/>
        <v>9.8052316900082204E-2</v>
      </c>
      <c r="AC110" s="78">
        <f t="shared" si="71"/>
        <v>15.991463022723183</v>
      </c>
      <c r="AD110" s="78"/>
      <c r="AE110" s="78">
        <f t="shared" si="72"/>
        <v>399.57326501112948</v>
      </c>
      <c r="AF110" s="79" t="str">
        <f t="shared" si="73"/>
        <v>-0.04, (-0.14, 0.06)</v>
      </c>
      <c r="AG110" s="78">
        <f t="shared" si="74"/>
        <v>10.198637131838765</v>
      </c>
      <c r="AH110" s="78">
        <f t="shared" si="75"/>
        <v>-1.4081632653061225</v>
      </c>
      <c r="AI110" s="78">
        <f t="shared" si="76"/>
        <v>0.19443027103760577</v>
      </c>
      <c r="AJ110" s="85">
        <f t="shared" si="77"/>
        <v>5</v>
      </c>
    </row>
    <row r="111" spans="1:42" ht="12.95" customHeight="1" x14ac:dyDescent="0.25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9">
        <v>-0.09</v>
      </c>
      <c r="H111" s="111">
        <v>0.06</v>
      </c>
      <c r="I111" s="14" t="s">
        <v>144</v>
      </c>
      <c r="J111" s="19"/>
      <c r="K111" s="18"/>
      <c r="L111" s="20"/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0.05</v>
      </c>
      <c r="T111" s="74">
        <v>75</v>
      </c>
      <c r="U111" s="102">
        <f>W111/G116*H116</f>
        <v>8.0066766845586099E-2</v>
      </c>
      <c r="W111" s="74">
        <f t="shared" si="65"/>
        <v>5.0041729278491313E-2</v>
      </c>
      <c r="X111" s="74">
        <f t="shared" si="66"/>
        <v>0.1564839059023099</v>
      </c>
      <c r="Y111" s="74">
        <f t="shared" si="67"/>
        <v>0.15406696352408866</v>
      </c>
      <c r="Z111" s="74">
        <f t="shared" si="68"/>
        <v>-0.10688913373885742</v>
      </c>
      <c r="AA111" s="74">
        <f t="shared" si="69"/>
        <v>0.20697259229584006</v>
      </c>
      <c r="AB111" s="74">
        <f t="shared" si="70"/>
        <v>0.15693086301734874</v>
      </c>
      <c r="AC111" s="78">
        <f t="shared" si="71"/>
        <v>7.8059852373626208</v>
      </c>
      <c r="AD111" s="78"/>
      <c r="AE111" s="78">
        <f t="shared" si="72"/>
        <v>155.98951814636331</v>
      </c>
      <c r="AF111" s="79" t="str">
        <f t="shared" si="73"/>
        <v>0.05, (-0.11, 0.2)</v>
      </c>
      <c r="AG111" s="78">
        <f t="shared" si="74"/>
        <v>6.3722328468266296</v>
      </c>
      <c r="AH111" s="78">
        <f t="shared" si="75"/>
        <v>-0.68112244897959173</v>
      </c>
      <c r="AI111" s="78">
        <f t="shared" si="76"/>
        <v>7.2804588541517667E-2</v>
      </c>
      <c r="AJ111" s="85">
        <f t="shared" si="77"/>
        <v>3</v>
      </c>
    </row>
    <row r="112" spans="1:42" ht="12.95" customHeight="1" x14ac:dyDescent="0.25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-0.01</v>
      </c>
      <c r="H112" s="15">
        <v>0.05</v>
      </c>
      <c r="I112" s="14" t="s">
        <v>69</v>
      </c>
      <c r="J112" s="12"/>
      <c r="K112" s="15"/>
      <c r="L112" s="14"/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0.06</v>
      </c>
      <c r="T112" s="2">
        <v>74</v>
      </c>
      <c r="U112" s="102">
        <f>W112/G117*H117</f>
        <v>6.0072155921031704E-2</v>
      </c>
      <c r="W112" s="74">
        <f t="shared" si="65"/>
        <v>6.0072155921031704E-2</v>
      </c>
      <c r="X112" s="74">
        <f t="shared" si="66"/>
        <v>0.11760542352857045</v>
      </c>
      <c r="Y112" s="74">
        <f t="shared" si="67"/>
        <v>0.1159629658355891</v>
      </c>
      <c r="Z112" s="74">
        <f t="shared" si="68"/>
        <v>-5.7669269684190429E-2</v>
      </c>
      <c r="AA112" s="74">
        <f t="shared" si="69"/>
        <v>0.17781358152625384</v>
      </c>
      <c r="AB112" s="74">
        <f t="shared" si="70"/>
        <v>0.11774142560522213</v>
      </c>
      <c r="AC112" s="78">
        <f t="shared" si="71"/>
        <v>16.646647430376184</v>
      </c>
      <c r="AD112" s="78"/>
      <c r="AE112" s="78">
        <f t="shared" si="72"/>
        <v>277.11087067125004</v>
      </c>
      <c r="AF112" s="79" t="str">
        <f t="shared" si="73"/>
        <v>0.06, (-0.06, 0.18)</v>
      </c>
      <c r="AG112" s="78">
        <f t="shared" si="74"/>
        <v>8.4931874644776464</v>
      </c>
      <c r="AH112" s="78">
        <f t="shared" si="75"/>
        <v>-0.48979591836734693</v>
      </c>
      <c r="AI112" s="78">
        <f t="shared" si="76"/>
        <v>2.8246172906542247E-2</v>
      </c>
      <c r="AJ112" s="85">
        <f t="shared" si="77"/>
        <v>4</v>
      </c>
    </row>
    <row r="113" spans="1:36" ht="12.95" customHeight="1" x14ac:dyDescent="0.25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33">
        <v>-0.04</v>
      </c>
      <c r="H113" s="111">
        <v>0.03</v>
      </c>
      <c r="I113" s="14" t="s">
        <v>144</v>
      </c>
      <c r="J113" s="33"/>
      <c r="K113" s="18"/>
      <c r="L113" s="20"/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0.05</v>
      </c>
      <c r="T113" s="74">
        <v>73</v>
      </c>
      <c r="U113" s="102">
        <f>W113/G122*H122</f>
        <v>0.10008345855698263</v>
      </c>
      <c r="W113" s="74">
        <f t="shared" si="65"/>
        <v>5.0041729278491313E-2</v>
      </c>
      <c r="X113" s="74">
        <f t="shared" si="66"/>
        <v>0.19509067728831531</v>
      </c>
      <c r="Y113" s="74">
        <f t="shared" si="67"/>
        <v>0.19134829449424556</v>
      </c>
      <c r="Z113" s="74">
        <f t="shared" si="68"/>
        <v>-0.14612184949319462</v>
      </c>
      <c r="AA113" s="74">
        <f t="shared" si="69"/>
        <v>0.24620530805017726</v>
      </c>
      <c r="AB113" s="74">
        <f t="shared" si="70"/>
        <v>0.19616357877168594</v>
      </c>
      <c r="AC113" s="78">
        <f t="shared" si="71"/>
        <v>4.9958305519120776</v>
      </c>
      <c r="AD113" s="78"/>
      <c r="AE113" s="78">
        <f t="shared" si="72"/>
        <v>99.833291613672515</v>
      </c>
      <c r="AF113" s="79" t="str">
        <f t="shared" si="73"/>
        <v>0.05, (-0.15, 0.24)</v>
      </c>
      <c r="AG113" s="78">
        <f t="shared" si="74"/>
        <v>5.097786277461303</v>
      </c>
      <c r="AH113" s="78">
        <f t="shared" si="75"/>
        <v>-0.74489795918367341</v>
      </c>
      <c r="AI113" s="78">
        <f t="shared" si="76"/>
        <v>0.10884586747962455</v>
      </c>
      <c r="AJ113" s="85">
        <f t="shared" si="77"/>
        <v>3</v>
      </c>
    </row>
    <row r="114" spans="1:36" ht="12.95" customHeight="1" x14ac:dyDescent="0.25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0.02</v>
      </c>
      <c r="H114" s="15">
        <v>7.0000000000000007E-2</v>
      </c>
      <c r="I114" s="14" t="s">
        <v>137</v>
      </c>
      <c r="J114" s="12"/>
      <c r="K114" s="15"/>
      <c r="L114" s="14"/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-0.06</v>
      </c>
      <c r="T114" s="2">
        <v>72</v>
      </c>
      <c r="U114" s="102">
        <f>W114/G123*H123</f>
        <v>6.0072155921031677E-2</v>
      </c>
      <c r="W114" s="74">
        <f t="shared" si="65"/>
        <v>-6.007215592103167E-2</v>
      </c>
      <c r="X114" s="74">
        <f t="shared" si="66"/>
        <v>0.11596296583558904</v>
      </c>
      <c r="Y114" s="74">
        <f t="shared" si="67"/>
        <v>0.11760542352857045</v>
      </c>
      <c r="Z114" s="74">
        <f t="shared" si="68"/>
        <v>-0.17781358152625376</v>
      </c>
      <c r="AA114" s="74">
        <f t="shared" si="69"/>
        <v>5.7669269684190408E-2</v>
      </c>
      <c r="AB114" s="74">
        <f t="shared" si="70"/>
        <v>0.11774142560522208</v>
      </c>
      <c r="AC114" s="78">
        <f t="shared" si="71"/>
        <v>16.646647430376191</v>
      </c>
      <c r="AD114" s="78"/>
      <c r="AE114" s="78">
        <f t="shared" si="72"/>
        <v>277.11087067125032</v>
      </c>
      <c r="AF114" s="79" t="str">
        <f t="shared" si="73"/>
        <v>-0.06, (-0.18, 0.06)</v>
      </c>
      <c r="AG114" s="78">
        <f t="shared" si="74"/>
        <v>8.4931874644776499</v>
      </c>
      <c r="AH114" s="78">
        <f t="shared" si="75"/>
        <v>-1.5102040816326532</v>
      </c>
      <c r="AI114" s="78">
        <f t="shared" si="76"/>
        <v>0.26853479659066898</v>
      </c>
      <c r="AJ114" s="85">
        <f t="shared" si="77"/>
        <v>4</v>
      </c>
    </row>
    <row r="115" spans="1:36" ht="12.95" customHeight="1" x14ac:dyDescent="0.25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9">
        <v>0.02</v>
      </c>
      <c r="H115" s="111">
        <v>0.05</v>
      </c>
      <c r="I115" s="14" t="s">
        <v>56</v>
      </c>
      <c r="J115" s="19"/>
      <c r="K115" s="18"/>
      <c r="L115" s="20"/>
      <c r="M115" s="19"/>
      <c r="N115" s="18"/>
      <c r="O115" s="14"/>
      <c r="Q115" s="2" t="str">
        <f>CONCATENATE(B108,"_",E108,"_",D108,"_",C108)</f>
        <v>MAP_Men_BNT_FEV1</v>
      </c>
      <c r="S115" s="75">
        <f>G108</f>
        <v>-0.04</v>
      </c>
      <c r="T115" s="74">
        <v>71</v>
      </c>
      <c r="U115" s="102">
        <f>W115/G108*H108</f>
        <v>6.0032030755152364E-2</v>
      </c>
      <c r="W115" s="74">
        <f t="shared" si="65"/>
        <v>-4.0021353836768248E-2</v>
      </c>
      <c r="X115" s="74">
        <f t="shared" si="66"/>
        <v>0.11639010152921997</v>
      </c>
      <c r="Y115" s="74">
        <f t="shared" si="67"/>
        <v>0.11748578926485911</v>
      </c>
      <c r="Z115" s="74">
        <f t="shared" si="68"/>
        <v>-0.15768413411686688</v>
      </c>
      <c r="AA115" s="74">
        <f t="shared" si="69"/>
        <v>7.7641426443330386E-2</v>
      </c>
      <c r="AB115" s="74">
        <f t="shared" si="70"/>
        <v>0.11766278028009863</v>
      </c>
      <c r="AC115" s="78">
        <f t="shared" si="71"/>
        <v>11.105182654668878</v>
      </c>
      <c r="AD115" s="78"/>
      <c r="AE115" s="78">
        <f t="shared" si="72"/>
        <v>277.48143403550665</v>
      </c>
      <c r="AF115" s="79" t="str">
        <f t="shared" si="73"/>
        <v>-0.04, (-0.16, 0.08)</v>
      </c>
      <c r="AG115" s="78">
        <f t="shared" si="74"/>
        <v>8.4988642765323039</v>
      </c>
      <c r="AH115" s="78">
        <f t="shared" si="75"/>
        <v>-1.3401360544217686</v>
      </c>
      <c r="AI115" s="78">
        <f t="shared" si="76"/>
        <v>0.21131819334029098</v>
      </c>
      <c r="AJ115" s="85">
        <f t="shared" si="77"/>
        <v>4</v>
      </c>
    </row>
    <row r="116" spans="1:36" ht="12.95" customHeight="1" x14ac:dyDescent="0.25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0.05</v>
      </c>
      <c r="H116" s="15">
        <v>0.08</v>
      </c>
      <c r="I116" s="14" t="s">
        <v>143</v>
      </c>
      <c r="J116" s="12"/>
      <c r="K116" s="15"/>
      <c r="L116" s="14"/>
      <c r="M116" s="12"/>
      <c r="N116" s="16"/>
      <c r="O116" s="14"/>
      <c r="Q116" s="2" t="str">
        <f>CONCATENATE(B109,"_",E109,"_",D109,"_",C109)</f>
        <v>MAP_Women_BNT_FEV1</v>
      </c>
      <c r="S116" s="75">
        <f>G109</f>
        <v>-0.03</v>
      </c>
      <c r="T116" s="2">
        <v>70</v>
      </c>
      <c r="U116" s="102">
        <f>W116/G109*H109</f>
        <v>3.000900486312652E-2</v>
      </c>
      <c r="W116" s="74">
        <f t="shared" si="65"/>
        <v>-3.000900486312652E-2</v>
      </c>
      <c r="X116" s="74">
        <f t="shared" si="66"/>
        <v>5.8593770097622663E-2</v>
      </c>
      <c r="Y116" s="74">
        <f t="shared" si="67"/>
        <v>5.880067751710133E-2</v>
      </c>
      <c r="Z116" s="74">
        <f t="shared" si="68"/>
        <v>-8.8826654394854501E-2</v>
      </c>
      <c r="AA116" s="74">
        <f t="shared" si="69"/>
        <v>2.880864466860146E-2</v>
      </c>
      <c r="AB116" s="74">
        <f t="shared" si="70"/>
        <v>5.8817649531727981E-2</v>
      </c>
      <c r="AC116" s="78">
        <f t="shared" si="71"/>
        <v>33.323330932201195</v>
      </c>
      <c r="AD116" s="78"/>
      <c r="AE116" s="78">
        <f t="shared" si="72"/>
        <v>1110.4443844169969</v>
      </c>
      <c r="AF116" s="79" t="str">
        <f t="shared" si="73"/>
        <v>-0.03, (-0.09, 0.03)</v>
      </c>
      <c r="AG116" s="78">
        <f t="shared" si="74"/>
        <v>17.00169945520469</v>
      </c>
      <c r="AH116" s="78">
        <f t="shared" si="75"/>
        <v>-1.5102040816326532</v>
      </c>
      <c r="AI116" s="78">
        <f t="shared" si="76"/>
        <v>0.1341463760248823</v>
      </c>
      <c r="AJ116" s="85">
        <f t="shared" si="77"/>
        <v>7</v>
      </c>
    </row>
    <row r="117" spans="1:36" ht="12.95" customHeight="1" x14ac:dyDescent="0.25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9">
        <v>0.06</v>
      </c>
      <c r="H117" s="111">
        <v>0.06</v>
      </c>
      <c r="I117" s="14" t="s">
        <v>151</v>
      </c>
      <c r="J117" s="19"/>
      <c r="K117" s="18"/>
      <c r="L117" s="20"/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-0.01</v>
      </c>
      <c r="T117" s="74">
        <v>69</v>
      </c>
      <c r="U117" s="102">
        <f>W117/G112*H112</f>
        <v>5.0001666766673863E-2</v>
      </c>
      <c r="W117" s="74">
        <f t="shared" si="65"/>
        <v>-1.0000333353334771E-2</v>
      </c>
      <c r="X117" s="74">
        <f t="shared" si="66"/>
        <v>9.7585604444512947E-2</v>
      </c>
      <c r="Y117" s="74">
        <f t="shared" si="67"/>
        <v>9.7776455018839387E-2</v>
      </c>
      <c r="Z117" s="74">
        <f t="shared" si="68"/>
        <v>-0.10800360021601554</v>
      </c>
      <c r="AA117" s="74">
        <f t="shared" si="69"/>
        <v>8.8002933509345987E-2</v>
      </c>
      <c r="AB117" s="74">
        <f t="shared" si="70"/>
        <v>9.8003266862680766E-2</v>
      </c>
      <c r="AC117" s="78">
        <f t="shared" si="71"/>
        <v>3.9998666631109199</v>
      </c>
      <c r="AD117" s="78"/>
      <c r="AE117" s="78">
        <f t="shared" si="72"/>
        <v>399.97333306665223</v>
      </c>
      <c r="AF117" s="79" t="str">
        <f t="shared" si="73"/>
        <v>-0.01, (-0.11, 0.09)</v>
      </c>
      <c r="AG117" s="78">
        <f t="shared" si="74"/>
        <v>10.203741487527859</v>
      </c>
      <c r="AH117" s="78">
        <f t="shared" si="75"/>
        <v>-1.1020408163265307</v>
      </c>
      <c r="AI117" s="78">
        <f t="shared" si="76"/>
        <v>0.11902437574826204</v>
      </c>
      <c r="AJ117" s="85">
        <f t="shared" si="77"/>
        <v>5</v>
      </c>
    </row>
    <row r="118" spans="1:36" ht="12.95" customHeight="1" x14ac:dyDescent="0.25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0.11</v>
      </c>
      <c r="H118" s="15">
        <v>0.05</v>
      </c>
      <c r="I118" s="14" t="s">
        <v>19</v>
      </c>
      <c r="J118" s="12"/>
      <c r="K118" s="15"/>
      <c r="L118" s="14"/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-0.04</v>
      </c>
      <c r="T118" s="2">
        <v>68</v>
      </c>
      <c r="U118" s="102">
        <f>W118/G113*H113</f>
        <v>3.0016015377576182E-2</v>
      </c>
      <c r="W118" s="74">
        <f t="shared" si="65"/>
        <v>-4.0021353836768248E-2</v>
      </c>
      <c r="X118" s="74">
        <f t="shared" si="66"/>
        <v>5.8532005713506564E-2</v>
      </c>
      <c r="Y118" s="74">
        <f t="shared" si="67"/>
        <v>5.880781817741354E-2</v>
      </c>
      <c r="Z118" s="74">
        <f t="shared" si="68"/>
        <v>-9.8852743976817564E-2</v>
      </c>
      <c r="AA118" s="74">
        <f t="shared" si="69"/>
        <v>1.8810036303281069E-2</v>
      </c>
      <c r="AB118" s="74">
        <f t="shared" si="70"/>
        <v>5.8831390140049317E-2</v>
      </c>
      <c r="AC118" s="78">
        <f t="shared" si="71"/>
        <v>44.420730618675513</v>
      </c>
      <c r="AD118" s="78"/>
      <c r="AE118" s="78">
        <f t="shared" si="72"/>
        <v>1109.9257361420266</v>
      </c>
      <c r="AF118" s="79" t="str">
        <f t="shared" si="73"/>
        <v>-0.04, (-0.1, 0.02)</v>
      </c>
      <c r="AG118" s="78">
        <f t="shared" si="74"/>
        <v>16.997728553064608</v>
      </c>
      <c r="AH118" s="78">
        <f t="shared" si="75"/>
        <v>-1.6802721088435373</v>
      </c>
      <c r="AI118" s="78">
        <f t="shared" si="76"/>
        <v>0.16609950858689751</v>
      </c>
      <c r="AJ118" s="85">
        <f t="shared" si="77"/>
        <v>7</v>
      </c>
    </row>
    <row r="119" spans="1:36" ht="12.95" customHeight="1" x14ac:dyDescent="0.25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9">
        <v>0.11</v>
      </c>
      <c r="H119" s="111">
        <v>0.04</v>
      </c>
      <c r="I119" s="14" t="s">
        <v>39</v>
      </c>
      <c r="J119" s="19"/>
      <c r="K119" s="18"/>
      <c r="L119" s="20"/>
      <c r="M119" s="19"/>
      <c r="N119" s="18"/>
      <c r="O119" s="14"/>
      <c r="Q119" s="2" t="str">
        <f>CONCATENATE(B120,"_",E120,"_",D120,"_",C120)</f>
        <v>MAP_Men_NART_FEV1</v>
      </c>
      <c r="S119" s="75">
        <f>G120</f>
        <v>-0.02</v>
      </c>
      <c r="T119" s="74">
        <v>67</v>
      </c>
      <c r="U119" s="102">
        <f>W119/G120*H120</f>
        <v>5.0006668267124056E-2</v>
      </c>
      <c r="W119" s="74">
        <f t="shared" si="65"/>
        <v>-2.0002667306849624E-2</v>
      </c>
      <c r="X119" s="74">
        <f t="shared" si="66"/>
        <v>9.7470875891668696E-2</v>
      </c>
      <c r="Y119" s="74">
        <f t="shared" si="67"/>
        <v>9.7852539466298627E-2</v>
      </c>
      <c r="Z119" s="74">
        <f t="shared" si="68"/>
        <v>-0.11801573711041277</v>
      </c>
      <c r="AA119" s="74">
        <f t="shared" si="69"/>
        <v>7.8010402496713538E-2</v>
      </c>
      <c r="AB119" s="74">
        <f t="shared" si="70"/>
        <v>9.8013069803563155E-2</v>
      </c>
      <c r="AC119" s="78">
        <f t="shared" si="71"/>
        <v>7.9989332195316942</v>
      </c>
      <c r="AD119" s="78"/>
      <c r="AE119" s="78">
        <f t="shared" si="72"/>
        <v>399.8933290657979</v>
      </c>
      <c r="AF119" s="79" t="str">
        <f t="shared" si="73"/>
        <v>-0.02, (-0.12, 0.08)</v>
      </c>
      <c r="AG119" s="78">
        <f t="shared" si="74"/>
        <v>10.202720943280221</v>
      </c>
      <c r="AH119" s="78">
        <f t="shared" si="75"/>
        <v>-1.2040816326530612</v>
      </c>
      <c r="AI119" s="78">
        <f t="shared" si="76"/>
        <v>0.14210058141866028</v>
      </c>
      <c r="AJ119" s="85">
        <f t="shared" si="77"/>
        <v>5</v>
      </c>
    </row>
    <row r="120" spans="1:36" ht="12.95" customHeight="1" x14ac:dyDescent="0.25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-0.02</v>
      </c>
      <c r="H120" s="15">
        <v>0.05</v>
      </c>
      <c r="I120" s="14" t="s">
        <v>128</v>
      </c>
      <c r="J120" s="12"/>
      <c r="K120" s="15"/>
      <c r="L120" s="14"/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0.01</v>
      </c>
      <c r="T120" s="2">
        <v>66</v>
      </c>
      <c r="U120" s="102">
        <f>W120/G121*H121</f>
        <v>3.0001000060004154E-2</v>
      </c>
      <c r="W120" s="74">
        <f t="shared" si="65"/>
        <v>1.0000333353334718E-2</v>
      </c>
      <c r="X120" s="74">
        <f t="shared" si="66"/>
        <v>5.8762921671019042E-2</v>
      </c>
      <c r="Y120" s="74">
        <f t="shared" si="67"/>
        <v>5.8693934231079235E-2</v>
      </c>
      <c r="Z120" s="74">
        <f t="shared" si="68"/>
        <v>-4.8801626764273423E-2</v>
      </c>
      <c r="AA120" s="74">
        <f t="shared" si="69"/>
        <v>6.8802293470942855E-2</v>
      </c>
      <c r="AB120" s="74">
        <f t="shared" si="70"/>
        <v>5.8801960117608139E-2</v>
      </c>
      <c r="AC120" s="78">
        <f t="shared" si="71"/>
        <v>11.110740730863728</v>
      </c>
      <c r="AD120" s="78"/>
      <c r="AE120" s="78">
        <f t="shared" si="72"/>
        <v>1111.0370362962683</v>
      </c>
      <c r="AF120" s="79" t="str">
        <f t="shared" si="73"/>
        <v>0.01, (-0.05, 0.07)</v>
      </c>
      <c r="AG120" s="78">
        <f t="shared" si="74"/>
        <v>17.006235812546524</v>
      </c>
      <c r="AH120" s="78">
        <f t="shared" si="75"/>
        <v>-0.82993197278911568</v>
      </c>
      <c r="AI120" s="78">
        <f t="shared" si="76"/>
        <v>4.0502030375791552E-2</v>
      </c>
      <c r="AJ120" s="85">
        <f t="shared" si="77"/>
        <v>7</v>
      </c>
    </row>
    <row r="121" spans="1:36" ht="12.95" customHeight="1" x14ac:dyDescent="0.25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9">
        <v>0.01</v>
      </c>
      <c r="H121" s="111">
        <v>0.03</v>
      </c>
      <c r="I121" s="14" t="s">
        <v>17</v>
      </c>
      <c r="J121" s="19"/>
      <c r="K121" s="18"/>
      <c r="L121" s="20"/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0.03</v>
      </c>
      <c r="T121" s="74">
        <v>65</v>
      </c>
      <c r="U121" s="102">
        <f>W121/G105*H105</f>
        <v>3.0009004863126472E-2</v>
      </c>
      <c r="W121" s="74">
        <f t="shared" si="65"/>
        <v>3.0009004863126475E-2</v>
      </c>
      <c r="X121" s="74">
        <f t="shared" si="66"/>
        <v>5.8800677517101309E-2</v>
      </c>
      <c r="Y121" s="74">
        <f t="shared" si="67"/>
        <v>5.8593770097622483E-2</v>
      </c>
      <c r="Z121" s="74">
        <f t="shared" si="68"/>
        <v>-2.8808644668601408E-2</v>
      </c>
      <c r="AA121" s="74">
        <f t="shared" si="69"/>
        <v>8.8826654394854362E-2</v>
      </c>
      <c r="AB121" s="74">
        <f t="shared" si="70"/>
        <v>5.8817649531727884E-2</v>
      </c>
      <c r="AC121" s="78">
        <f t="shared" si="71"/>
        <v>33.323330932201252</v>
      </c>
      <c r="AD121" s="78"/>
      <c r="AE121" s="78">
        <f t="shared" si="72"/>
        <v>1110.4443844170005</v>
      </c>
      <c r="AF121" s="79" t="str">
        <f t="shared" si="73"/>
        <v>0.03, (-0.03, 0.09)</v>
      </c>
      <c r="AG121" s="78">
        <f t="shared" si="74"/>
        <v>17.001699455204719</v>
      </c>
      <c r="AH121" s="78">
        <f t="shared" si="75"/>
        <v>-0.48979591836734687</v>
      </c>
      <c r="AI121" s="78">
        <f t="shared" si="76"/>
        <v>1.4110356572376198E-2</v>
      </c>
      <c r="AJ121" s="85">
        <f t="shared" si="77"/>
        <v>7</v>
      </c>
    </row>
    <row r="122" spans="1:36" ht="12.95" customHeight="1" x14ac:dyDescent="0.25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0.05</v>
      </c>
      <c r="H122" s="15">
        <v>0.1</v>
      </c>
      <c r="I122" s="14" t="s">
        <v>56</v>
      </c>
      <c r="J122" s="12"/>
      <c r="K122" s="15"/>
      <c r="L122" s="14"/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8">G103</f>
        <v>0.06</v>
      </c>
      <c r="T122" s="2">
        <v>64</v>
      </c>
      <c r="U122" s="102">
        <f>W122/G103*H103</f>
        <v>5.0060129934193093E-2</v>
      </c>
      <c r="W122" s="74">
        <f t="shared" ref="W122:W127" si="79">0.5*LN((1+S122)/(1-S122))</f>
        <v>6.0072155921031704E-2</v>
      </c>
      <c r="X122" s="74">
        <f t="shared" ref="X122:X127" si="80">S122-(EXP(2*Z122)-1)/(EXP(2*Z122)+1)</f>
        <v>9.8027352637079124E-2</v>
      </c>
      <c r="Y122" s="74">
        <f t="shared" ref="Y122:Y127" si="81">(EXP(2*AA122)-1)/(EXP(2*AA122)+1)-S122</f>
        <v>9.6883566264345522E-2</v>
      </c>
      <c r="Z122" s="74">
        <f t="shared" ref="Z122:Z127" si="82">W122-AB122</f>
        <v>-3.8045698749986749E-2</v>
      </c>
      <c r="AA122" s="74">
        <f t="shared" ref="AA122:AA127" si="83">W122+AB122</f>
        <v>0.15819001059205015</v>
      </c>
      <c r="AB122" s="74">
        <f t="shared" ref="AB122:AB127" si="84">1.96*U122</f>
        <v>9.8117854671018453E-2</v>
      </c>
      <c r="AC122" s="78">
        <f t="shared" ref="AC122:AC127" si="85">IF(W122&lt;&gt;"",ABS(W122/U122^2),"")</f>
        <v>23.971172299741699</v>
      </c>
      <c r="AD122" s="78"/>
      <c r="AE122" s="78">
        <f t="shared" ref="AE122:AE127" si="86">U122^-2</f>
        <v>399.0396537666</v>
      </c>
      <c r="AF122" s="79" t="str">
        <f t="shared" ref="AF122:AF127" si="87">CONCATENATE(ROUND(S122,2),", (",ROUND(-(X122-S122),2),", ",ROUND(Y122+S122,2),")")</f>
        <v>0.06, (-0.04, 0.16)</v>
      </c>
      <c r="AG122" s="78">
        <f t="shared" ref="AG122:AG127" si="88">1/AB122</f>
        <v>10.191824957373175</v>
      </c>
      <c r="AH122" s="78">
        <f t="shared" ref="AH122:AH127" si="89">AG122*Z122</f>
        <v>-0.38775510204081637</v>
      </c>
      <c r="AI122" s="78">
        <f t="shared" ref="AI122:AI127" si="90">Z122^2*AG122</f>
        <v>1.475241380101527E-2</v>
      </c>
      <c r="AJ122" s="85">
        <f t="shared" si="77"/>
        <v>5</v>
      </c>
    </row>
    <row r="123" spans="1:36" ht="12.95" customHeight="1" x14ac:dyDescent="0.25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9">
        <v>-0.06</v>
      </c>
      <c r="H123" s="111">
        <v>0.06</v>
      </c>
      <c r="I123" s="14" t="s">
        <v>20</v>
      </c>
      <c r="J123" s="19"/>
      <c r="K123" s="18"/>
      <c r="L123" s="20"/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8"/>
        <v>0.02</v>
      </c>
      <c r="T123" s="74">
        <v>63</v>
      </c>
      <c r="U123" s="102">
        <f>W123/G104*H104</f>
        <v>4.0005334613699206E-2</v>
      </c>
      <c r="W123" s="74">
        <f t="shared" si="79"/>
        <v>2.0002667306849603E-2</v>
      </c>
      <c r="X123" s="74">
        <f t="shared" si="80"/>
        <v>7.8341460243837174E-2</v>
      </c>
      <c r="Y123" s="74">
        <f t="shared" si="81"/>
        <v>7.8096634139051976E-2</v>
      </c>
      <c r="Z123" s="74">
        <f t="shared" si="82"/>
        <v>-5.8407788536000843E-2</v>
      </c>
      <c r="AA123" s="74">
        <f t="shared" si="83"/>
        <v>9.8413123149700049E-2</v>
      </c>
      <c r="AB123" s="74">
        <f t="shared" si="84"/>
        <v>7.8410455842850446E-2</v>
      </c>
      <c r="AC123" s="78">
        <f t="shared" si="85"/>
        <v>12.498333155518283</v>
      </c>
      <c r="AD123" s="78"/>
      <c r="AE123" s="78">
        <f t="shared" si="86"/>
        <v>624.83332666531044</v>
      </c>
      <c r="AF123" s="79" t="str">
        <f t="shared" si="87"/>
        <v>0.02, (-0.06, 0.1)</v>
      </c>
      <c r="AG123" s="78">
        <f t="shared" si="88"/>
        <v>12.753401179100289</v>
      </c>
      <c r="AH123" s="78">
        <f t="shared" si="89"/>
        <v>-0.74489795918367352</v>
      </c>
      <c r="AI123" s="78">
        <f t="shared" si="90"/>
        <v>4.3507842480898583E-2</v>
      </c>
      <c r="AJ123" s="85">
        <f t="shared" si="77"/>
        <v>6</v>
      </c>
    </row>
    <row r="124" spans="1:36" ht="12.95" customHeight="1" x14ac:dyDescent="0.25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0.04</v>
      </c>
      <c r="H124" s="15">
        <v>0.05</v>
      </c>
      <c r="I124" s="14" t="s">
        <v>25</v>
      </c>
      <c r="J124" s="12"/>
      <c r="K124" s="15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0.11</v>
      </c>
      <c r="T124" s="2">
        <v>62</v>
      </c>
      <c r="U124" s="102">
        <f>W124/G118*H118</f>
        <v>5.0203143540953281E-2</v>
      </c>
      <c r="W124" s="74">
        <f t="shared" si="79"/>
        <v>0.11044691579009722</v>
      </c>
      <c r="X124" s="74">
        <f t="shared" si="80"/>
        <v>9.7951828565519511E-2</v>
      </c>
      <c r="Y124" s="74">
        <f t="shared" si="81"/>
        <v>9.5860784325485879E-2</v>
      </c>
      <c r="Z124" s="74">
        <f t="shared" si="82"/>
        <v>1.2048754449828794E-2</v>
      </c>
      <c r="AA124" s="74">
        <f t="shared" si="83"/>
        <v>0.20884507713036565</v>
      </c>
      <c r="AB124" s="74">
        <f t="shared" si="84"/>
        <v>9.8398161340268422E-2</v>
      </c>
      <c r="AC124" s="78">
        <f t="shared" si="85"/>
        <v>43.821957049469361</v>
      </c>
      <c r="AD124" s="78"/>
      <c r="AE124" s="78">
        <f t="shared" si="86"/>
        <v>396.76940488544165</v>
      </c>
      <c r="AF124" s="79" t="str">
        <f t="shared" si="87"/>
        <v>0.11, (0.01, 0.21)</v>
      </c>
      <c r="AG124" s="78">
        <f t="shared" si="88"/>
        <v>10.162791523531856</v>
      </c>
      <c r="AH124" s="78">
        <f t="shared" si="89"/>
        <v>0.1224489795918368</v>
      </c>
      <c r="AI124" s="78">
        <f t="shared" si="90"/>
        <v>1.4753576877341388E-3</v>
      </c>
      <c r="AJ124" s="85">
        <f t="shared" si="77"/>
        <v>5</v>
      </c>
    </row>
    <row r="125" spans="1:36" ht="12.95" customHeight="1" x14ac:dyDescent="0.25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9">
        <v>0.08</v>
      </c>
      <c r="H125" s="111">
        <v>0.04</v>
      </c>
      <c r="I125" s="14" t="s">
        <v>129</v>
      </c>
      <c r="J125" s="19"/>
      <c r="K125" s="18"/>
      <c r="L125" s="20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0.11</v>
      </c>
      <c r="T125" s="74">
        <v>61</v>
      </c>
      <c r="U125" s="102">
        <f>W125/G119*H119</f>
        <v>4.0162514832762619E-2</v>
      </c>
      <c r="W125" s="74">
        <f t="shared" si="79"/>
        <v>0.11044691579009722</v>
      </c>
      <c r="X125" s="74">
        <f t="shared" si="80"/>
        <v>7.8282255885362237E-2</v>
      </c>
      <c r="Y125" s="74">
        <f t="shared" si="81"/>
        <v>7.6940941676869504E-2</v>
      </c>
      <c r="Z125" s="74">
        <f t="shared" si="82"/>
        <v>3.1728386717882487E-2</v>
      </c>
      <c r="AA125" s="74">
        <f t="shared" si="83"/>
        <v>0.18916544486231196</v>
      </c>
      <c r="AB125" s="74">
        <f t="shared" si="84"/>
        <v>7.871852907221473E-2</v>
      </c>
      <c r="AC125" s="78">
        <f t="shared" si="85"/>
        <v>68.471807889795897</v>
      </c>
      <c r="AD125" s="78"/>
      <c r="AE125" s="78">
        <f t="shared" si="86"/>
        <v>619.95219513350276</v>
      </c>
      <c r="AF125" s="79" t="str">
        <f t="shared" si="87"/>
        <v>0.11, (0.03, 0.19)</v>
      </c>
      <c r="AG125" s="78">
        <f t="shared" si="88"/>
        <v>12.703489404414823</v>
      </c>
      <c r="AH125" s="78">
        <f t="shared" si="89"/>
        <v>0.40306122448979614</v>
      </c>
      <c r="AI125" s="78">
        <f t="shared" si="90"/>
        <v>1.27884824015955E-2</v>
      </c>
      <c r="AJ125" s="85">
        <f t="shared" si="77"/>
        <v>6</v>
      </c>
    </row>
    <row r="126" spans="1:36" ht="12.95" customHeight="1" x14ac:dyDescent="0.25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-0.02</v>
      </c>
      <c r="H126" s="15">
        <v>7.0000000000000007E-2</v>
      </c>
      <c r="I126" s="14" t="s">
        <v>113</v>
      </c>
      <c r="J126" s="12"/>
      <c r="K126" s="15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0.04</v>
      </c>
      <c r="T126" s="2">
        <v>60</v>
      </c>
      <c r="U126" s="102">
        <f>W126/G124*H124</f>
        <v>5.0026692295960351E-2</v>
      </c>
      <c r="W126" s="74">
        <f t="shared" si="79"/>
        <v>4.0021353836768282E-2</v>
      </c>
      <c r="X126" s="74">
        <f t="shared" si="80"/>
        <v>9.7965909143257326E-2</v>
      </c>
      <c r="Y126" s="74">
        <f t="shared" si="81"/>
        <v>9.7202882798330864E-2</v>
      </c>
      <c r="Z126" s="74">
        <f t="shared" si="82"/>
        <v>-5.8030963063314005E-2</v>
      </c>
      <c r="AA126" s="74">
        <f t="shared" si="83"/>
        <v>0.13807367073685056</v>
      </c>
      <c r="AB126" s="74">
        <f t="shared" si="84"/>
        <v>9.8052316900082287E-2</v>
      </c>
      <c r="AC126" s="78">
        <f t="shared" si="85"/>
        <v>15.99146302272317</v>
      </c>
      <c r="AD126" s="78"/>
      <c r="AE126" s="78">
        <f t="shared" si="86"/>
        <v>399.57326501112885</v>
      </c>
      <c r="AF126" s="79" t="str">
        <f t="shared" si="87"/>
        <v>0.04, (-0.06, 0.14)</v>
      </c>
      <c r="AG126" s="78">
        <f t="shared" si="88"/>
        <v>10.198637131838757</v>
      </c>
      <c r="AH126" s="78">
        <f t="shared" si="89"/>
        <v>-0.59183673469387754</v>
      </c>
      <c r="AI126" s="78">
        <f t="shared" si="90"/>
        <v>3.4344855690532777E-2</v>
      </c>
      <c r="AJ126" s="85">
        <f t="shared" si="77"/>
        <v>5</v>
      </c>
    </row>
    <row r="127" spans="1:36" ht="12.95" customHeight="1" x14ac:dyDescent="0.25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9">
        <v>-0.04</v>
      </c>
      <c r="H127" s="111">
        <v>0.05</v>
      </c>
      <c r="I127" s="14" t="s">
        <v>161</v>
      </c>
      <c r="J127" s="19"/>
      <c r="K127" s="18"/>
      <c r="L127" s="20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0.08</v>
      </c>
      <c r="T127" s="74">
        <v>59</v>
      </c>
      <c r="U127" s="102">
        <f>W127/G125*H125</f>
        <v>4.0085662518794869E-2</v>
      </c>
      <c r="W127" s="74">
        <f t="shared" si="79"/>
        <v>8.0171325037589738E-2</v>
      </c>
      <c r="X127" s="74">
        <f t="shared" si="80"/>
        <v>7.8396574873370733E-2</v>
      </c>
      <c r="Y127" s="74">
        <f t="shared" si="81"/>
        <v>7.7419215561072771E-2</v>
      </c>
      <c r="Z127" s="74">
        <f t="shared" si="82"/>
        <v>1.6034265007517923E-3</v>
      </c>
      <c r="AA127" s="74">
        <f t="shared" si="83"/>
        <v>0.15873922357442768</v>
      </c>
      <c r="AB127" s="74">
        <f t="shared" si="84"/>
        <v>7.8567898536837946E-2</v>
      </c>
      <c r="AC127" s="78">
        <f t="shared" si="85"/>
        <v>49.893150676061914</v>
      </c>
      <c r="AD127" s="78"/>
      <c r="AE127" s="78">
        <f t="shared" si="86"/>
        <v>622.33162109605439</v>
      </c>
      <c r="AF127" s="79" t="str">
        <f t="shared" si="87"/>
        <v>0.08, (0, 0.16)</v>
      </c>
      <c r="AG127" s="78">
        <f t="shared" si="88"/>
        <v>12.727844560219875</v>
      </c>
      <c r="AH127" s="78">
        <f t="shared" si="89"/>
        <v>2.040816326530609E-2</v>
      </c>
      <c r="AI127" s="78">
        <f t="shared" si="90"/>
        <v>3.2722989811261013E-5</v>
      </c>
      <c r="AJ127" s="85">
        <f t="shared" si="77"/>
        <v>6</v>
      </c>
    </row>
    <row r="128" spans="1:36" ht="12.95" customHeight="1" x14ac:dyDescent="0.25">
      <c r="A128" s="10"/>
      <c r="B128" s="11"/>
      <c r="C128" s="11"/>
      <c r="D128" s="11"/>
      <c r="E128" s="11"/>
      <c r="F128" s="11"/>
      <c r="G128" s="19"/>
      <c r="H128" s="111"/>
      <c r="I128" s="14"/>
      <c r="J128" s="19"/>
      <c r="K128" s="18"/>
      <c r="L128" s="20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78"/>
      <c r="AI128" s="78"/>
      <c r="AJ128" s="85"/>
    </row>
    <row r="129" spans="1:42" ht="12.95" customHeight="1" x14ac:dyDescent="0.25">
      <c r="A129" s="10"/>
      <c r="B129" s="11"/>
      <c r="C129" s="11"/>
      <c r="D129" s="11"/>
      <c r="E129" s="11"/>
      <c r="F129" s="11"/>
      <c r="G129" s="19"/>
      <c r="H129" s="111"/>
      <c r="I129" s="14"/>
      <c r="J129" s="19"/>
      <c r="K129" s="18"/>
      <c r="L129" s="20"/>
      <c r="M129" s="19"/>
      <c r="N129" s="18"/>
      <c r="O129" s="14"/>
      <c r="Q129" s="2" t="s">
        <v>323</v>
      </c>
      <c r="S129" s="84">
        <f>(EXP(2*AD129)-1)/(EXP(2*AD129)+1)</f>
        <v>3.9224813676213575E-2</v>
      </c>
      <c r="T129" s="74">
        <v>57</v>
      </c>
      <c r="U129" s="103">
        <f>1/SQRT(AD129*AE129)</f>
        <v>7.4410030748342001E-2</v>
      </c>
      <c r="V129" s="80">
        <f>1/SQRT(AE129)</f>
        <v>1.4740878600283468E-2</v>
      </c>
      <c r="W129" s="74">
        <f>0.5*LN((1+S129)/(1-S129))</f>
        <v>3.9244949184106419E-2</v>
      </c>
      <c r="X129" s="74">
        <f>S129-(EXP(2*Z129)-1)/(EXP(2*Z129)+1)</f>
        <v>0.14542158110139455</v>
      </c>
      <c r="Y129" s="74">
        <f>(EXP(2*AA129)-1)/(EXP(2*AA129)+1)-S129</f>
        <v>0.14377878647010023</v>
      </c>
      <c r="Z129" s="74">
        <f>W129-AB129</f>
        <v>-0.1065987110826439</v>
      </c>
      <c r="AA129" s="74">
        <f>W129+AB129</f>
        <v>0.18508860945085676</v>
      </c>
      <c r="AB129" s="74">
        <f>1.96*U129</f>
        <v>0.14584366026675033</v>
      </c>
      <c r="AC129" s="78">
        <f>SUM(AC122,AC121,AC103,AC115,AC105,AC117,AC107,AC111,AC124,AC113,AC119,AC126,AC109,)</f>
        <v>180.60802020977638</v>
      </c>
      <c r="AD129" s="78">
        <f>AC129/AE129</f>
        <v>3.924494918410644E-2</v>
      </c>
      <c r="AE129" s="78">
        <f>SUM(AE122,AE121,AE103,AE115,AE105,AE117,AE107,AE111,AE124,AE113,AE119,AE126,AE109,)</f>
        <v>4602.0704310892488</v>
      </c>
      <c r="AF129" s="79" t="str">
        <f>CONCATENATE(ROUND(S129,2),", (",ROUND(-(X129-S129),2),", ",ROUND(Y129+S129,2),")")</f>
        <v>0.04, (-0.11, 0.18)</v>
      </c>
      <c r="AG129" s="78">
        <f>SUM(AG122,AG121,AG103,AG115,AG105,AG117,AG107,AG111,AG124,AG113,AG119,AG126,AG109,)</f>
        <v>119.50419244800331</v>
      </c>
      <c r="AH129" s="78">
        <f>SUM(AH122,AH121,AH103,AH115,AH105,AH117,AH107,AH111,AH124,AH113,AH119,AH126,AH109,)</f>
        <v>-9.8239795918367356</v>
      </c>
      <c r="AI129" s="78">
        <f>SUM(AI122,AI121,AI103,AI115,AI105,AI117,AI107,AI111,AI124,AI113,AI119,AI126,AI109,)</f>
        <v>1.1189479646265312</v>
      </c>
      <c r="AJ129"/>
      <c r="AK129" s="81">
        <f>AK133-AK131</f>
        <v>14</v>
      </c>
      <c r="AL129">
        <f>CHIDIST(AI129,AK129-1)</f>
        <v>0.99999243501389756</v>
      </c>
      <c r="AM129" s="82">
        <f>IF((AI129-AK129+1)/AI129&lt;0,0,(AI129-AK129+1)/AI129)</f>
        <v>0</v>
      </c>
      <c r="AN129" s="74" t="str">
        <f>CONCATENATE(ROUND(S129,2)," (",ROUND(AO129,2),", ",ROUND(AP129,2),")")</f>
        <v>0.04 (-0.1, -0.07)</v>
      </c>
      <c r="AO129" s="77">
        <f>S129-Y129</f>
        <v>-0.10455397279388665</v>
      </c>
      <c r="AP129">
        <f>S129+Z129</f>
        <v>-6.7373897406430322E-2</v>
      </c>
    </row>
    <row r="130" spans="1:42" ht="12.95" customHeight="1" x14ac:dyDescent="0.25">
      <c r="A130" s="10"/>
      <c r="B130" s="11"/>
      <c r="C130" s="11"/>
      <c r="D130" s="11"/>
      <c r="E130" s="11"/>
      <c r="F130" s="11"/>
      <c r="G130" s="19"/>
      <c r="H130" s="111"/>
      <c r="I130" s="14"/>
      <c r="J130" s="19"/>
      <c r="K130" s="18"/>
      <c r="L130" s="20"/>
      <c r="M130" s="19"/>
      <c r="N130" s="18"/>
      <c r="O130" s="14"/>
      <c r="T130" s="2">
        <v>56</v>
      </c>
      <c r="U130" s="75"/>
    </row>
    <row r="131" spans="1:42" ht="12.95" customHeight="1" x14ac:dyDescent="0.25">
      <c r="A131" s="10"/>
      <c r="B131" s="11"/>
      <c r="C131" s="11"/>
      <c r="D131" s="11"/>
      <c r="E131" s="11"/>
      <c r="F131" s="11"/>
      <c r="G131" s="19"/>
      <c r="H131" s="111"/>
      <c r="I131" s="14"/>
      <c r="J131" s="19"/>
      <c r="K131" s="18"/>
      <c r="L131" s="20"/>
      <c r="M131" s="19"/>
      <c r="N131" s="18"/>
      <c r="O131" s="14"/>
      <c r="Q131" s="2" t="s">
        <v>322</v>
      </c>
      <c r="S131" s="84">
        <f>(EXP(2*AD131)-1)/(EXP(2*AD131)+1)</f>
        <v>4.6756561544277084E-2</v>
      </c>
      <c r="T131" s="74">
        <v>55</v>
      </c>
      <c r="U131" s="103">
        <f>1/SQRT(AD131*AE131)</f>
        <v>5.9602312555042579E-2</v>
      </c>
      <c r="V131" s="80">
        <f>1/SQRT(AE131)</f>
        <v>1.2892667556466687E-2</v>
      </c>
      <c r="W131" s="74">
        <f>0.5*LN((1+S131)/(1-S131))</f>
        <v>4.6790678999164753E-2</v>
      </c>
      <c r="X131" s="74">
        <f>S131-(EXP(2*Z131)-1)/(EXP(2*Z131)+1)</f>
        <v>0.11667215960128589</v>
      </c>
      <c r="Y131" s="74">
        <f>(EXP(2*AA131)-1)/(EXP(2*AA131)+1)-S131</f>
        <v>0.11541023155060705</v>
      </c>
      <c r="Z131" s="74">
        <f>W131-AB131</f>
        <v>-7.0029853608718703E-2</v>
      </c>
      <c r="AA131" s="74">
        <f>W131+AB131</f>
        <v>0.16361121160704822</v>
      </c>
      <c r="AB131" s="74">
        <f>1.96*U131</f>
        <v>0.11682053260788346</v>
      </c>
      <c r="AC131" s="78">
        <f>SUM(AC124,AC119,AC114,AC127,AC110,AC108,AC106,AC118,AC116,AC104,AC123)</f>
        <v>281.49700520195375</v>
      </c>
      <c r="AD131" s="78">
        <f>AC131/AE131</f>
        <v>4.6790678999164732E-2</v>
      </c>
      <c r="AE131" s="78">
        <f>SUM(AE124,AE119,AE114,AE127,AE110,AE108,AE106,AE118,AE116,AE104,AE123)</f>
        <v>6016.0914785395353</v>
      </c>
      <c r="AF131" s="79" t="str">
        <f>CONCATENATE(ROUND(S131,2),", (",ROUND(-(X131-S131),2),", ",ROUND(Y131+S131,2),")")</f>
        <v>0.05, (-0.07, 0.16)</v>
      </c>
      <c r="AG131" s="78">
        <f>SUM(AG124,AG119,AG114,AG127,AG110,AG108,AG106,AG118,AG116,AG104,AG123)</f>
        <v>127.41294908488256</v>
      </c>
      <c r="AH131" s="78">
        <f>SUM(AH124,AH119,AH114,AH127,AH110,AH108,AH106,AH118,AH116,AH104,AH123)</f>
        <v>-12.088435374149658</v>
      </c>
      <c r="AI131" s="78">
        <f>SUM(AI124,AI119,AI114,AI127,AI110,AI108,AI106,AI118,AI116,AI104,AI123)</f>
        <v>1.6349302838196329</v>
      </c>
      <c r="AJ131"/>
      <c r="AK131" s="78">
        <f>COUNT(AI124,AI119,AI114,AI127,AI110,AI108,AI106,AI118,AI116,AI104,AI123)</f>
        <v>11</v>
      </c>
      <c r="AL131">
        <f>CHIDIST(AI131,AK131-1)</f>
        <v>0.99845001276798384</v>
      </c>
      <c r="AM131" s="82">
        <f>IF((AI131-AK131+1)/AI131&lt;0,0,(AI131-AK131+1)/AI131)</f>
        <v>0</v>
      </c>
      <c r="AN131" s="74" t="str">
        <f>CONCATENATE(ROUND(S131,2)," (",ROUND(AO131,2),", ",ROUND(AP131,2),")")</f>
        <v>0.05 (-0.07, -0.02)</v>
      </c>
      <c r="AO131" s="77">
        <f>S131-Y131</f>
        <v>-6.8653670006329964E-2</v>
      </c>
      <c r="AP131">
        <f>S131+Z131</f>
        <v>-2.327329206444162E-2</v>
      </c>
    </row>
    <row r="132" spans="1:42" ht="12.95" customHeight="1" x14ac:dyDescent="0.25">
      <c r="A132" s="10"/>
      <c r="B132" s="11"/>
      <c r="C132" s="11"/>
      <c r="D132" s="11"/>
      <c r="E132" s="11"/>
      <c r="F132" s="11"/>
      <c r="G132" s="19"/>
      <c r="H132" s="111"/>
      <c r="I132" s="14"/>
      <c r="J132" s="19"/>
      <c r="K132" s="18"/>
      <c r="L132" s="20"/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78"/>
      <c r="AI132" s="78"/>
      <c r="AJ132" s="85"/>
    </row>
    <row r="133" spans="1:42" ht="12.95" customHeight="1" x14ac:dyDescent="0.25">
      <c r="A133" s="10"/>
      <c r="B133" s="11"/>
      <c r="C133" s="11"/>
      <c r="D133" s="11"/>
      <c r="E133" s="11"/>
      <c r="F133" s="11"/>
      <c r="G133" s="19"/>
      <c r="H133" s="111"/>
      <c r="I133" s="14"/>
      <c r="J133" s="19"/>
      <c r="K133" s="18"/>
      <c r="L133" s="20"/>
      <c r="M133" s="19"/>
      <c r="N133" s="18"/>
      <c r="O133" s="14"/>
      <c r="Q133" s="2" t="s">
        <v>185</v>
      </c>
      <c r="S133" s="84">
        <f>(EXP(2*AD133)-1)/(EXP(2*AD133)+1)</f>
        <v>4.27913076362905E-2</v>
      </c>
      <c r="T133" s="74">
        <v>53</v>
      </c>
      <c r="U133" s="103">
        <f>1/SQRT(AD133*AE133)</f>
        <v>4.4432889832321132E-2</v>
      </c>
      <c r="V133" s="80">
        <f>1/SQRT(AE133)</f>
        <v>9.1942219467076574E-3</v>
      </c>
      <c r="W133" s="74">
        <f>0.5*LN((1+S133)/(1-S133))</f>
        <v>4.2817454699858717E-2</v>
      </c>
      <c r="X133" s="74">
        <f>S133-(EXP(2*Z133)-1)/(EXP(2*Z133)+1)</f>
        <v>8.7033417085138343E-2</v>
      </c>
      <c r="Y133" s="74">
        <f>(EXP(2*AA133)-1)/(EXP(2*AA133)+1)-S133</f>
        <v>8.6388765845258231E-2</v>
      </c>
      <c r="Z133" s="74">
        <f>W133-AB133</f>
        <v>-4.4271009371490699E-2</v>
      </c>
      <c r="AA133" s="74">
        <f>W133+AB133</f>
        <v>0.12990591877120813</v>
      </c>
      <c r="AB133" s="74">
        <f>1.96*U133</f>
        <v>8.7088464071349417E-2</v>
      </c>
      <c r="AC133" s="78">
        <f>SUM(AC103:AC127)</f>
        <v>506.51333119376483</v>
      </c>
      <c r="AD133" s="78">
        <f>AC133/AE133</f>
        <v>4.281745469985869E-2</v>
      </c>
      <c r="AE133" s="78">
        <f>SUM(AE103:AE127)</f>
        <v>11829.599277778567</v>
      </c>
      <c r="AF133" s="79" t="str">
        <f>CONCATENATE(ROUND(S133,2),", (",ROUND(-(X133-S133),2),", ",ROUND(Y133+S133,2),")")</f>
        <v>0.04, (-0.04, 0.13)</v>
      </c>
      <c r="AG133" s="78">
        <f>SUM(AG103:AG127)</f>
        <v>264.7545417475128</v>
      </c>
      <c r="AH133" s="78">
        <f>SUM(AH122:AH127)</f>
        <v>-1.1785714285714282</v>
      </c>
      <c r="AI133" s="78">
        <f>SUM(AI103:AI127)</f>
        <v>2.6918389950236992</v>
      </c>
      <c r="AJ133"/>
      <c r="AK133" s="78">
        <f>COUNT(AI103:AI127)</f>
        <v>25</v>
      </c>
      <c r="AL133">
        <f>CHIDIST(AI133,AK133-1)</f>
        <v>0.99999997859914114</v>
      </c>
      <c r="AM133" s="82">
        <f>IF((AI133-AK133+1)/AI133&lt;0,0,(AI133-AK133+1)/AI133)</f>
        <v>0</v>
      </c>
      <c r="AN133" s="74" t="str">
        <f>CONCATENATE(ROUND(S133,2)," (",ROUND(AO133,2),", ",ROUND(AP133,2),")")</f>
        <v>0.04 (0, 0)</v>
      </c>
    </row>
    <row r="134" spans="1:42" ht="12.95" customHeight="1" x14ac:dyDescent="0.25">
      <c r="A134" s="10" t="s">
        <v>162</v>
      </c>
      <c r="B134" s="11"/>
      <c r="C134" s="11"/>
      <c r="D134" s="11"/>
      <c r="E134" s="11"/>
      <c r="F134" s="11"/>
      <c r="G134" s="19"/>
      <c r="H134" s="111"/>
      <c r="I134" s="14"/>
      <c r="J134" s="19"/>
      <c r="K134" s="18"/>
      <c r="L134" s="20"/>
      <c r="M134" s="19"/>
      <c r="N134" s="18"/>
      <c r="O134" s="14"/>
      <c r="T134" s="2">
        <v>52</v>
      </c>
      <c r="U134" s="75"/>
    </row>
    <row r="135" spans="1:42" ht="12.95" customHeight="1" x14ac:dyDescent="0.25">
      <c r="A135" s="10"/>
      <c r="B135" s="11"/>
      <c r="C135" s="11"/>
      <c r="D135" s="11"/>
      <c r="E135" s="11"/>
      <c r="F135" s="11"/>
      <c r="G135" s="19"/>
      <c r="H135" s="111"/>
      <c r="I135" s="14"/>
      <c r="J135" s="19"/>
      <c r="K135" s="18"/>
      <c r="L135" s="20"/>
      <c r="M135" s="19"/>
      <c r="N135" s="18"/>
      <c r="O135" s="14"/>
      <c r="Q135" s="1" t="s">
        <v>304</v>
      </c>
      <c r="T135" s="74">
        <v>51</v>
      </c>
      <c r="U135" s="75"/>
    </row>
    <row r="136" spans="1:42" ht="12.95" customHeight="1" x14ac:dyDescent="0.25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-0.02</v>
      </c>
      <c r="H136" s="15">
        <v>0.05</v>
      </c>
      <c r="I136" s="14" t="s">
        <v>28</v>
      </c>
      <c r="J136" s="12"/>
      <c r="K136" s="15"/>
      <c r="L136" s="14"/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-0.01</v>
      </c>
      <c r="T136" s="2">
        <v>50</v>
      </c>
      <c r="U136" s="102">
        <f>W136/G146*H146</f>
        <v>4.0001333413339085E-2</v>
      </c>
      <c r="W136" s="74">
        <f t="shared" ref="W136:W155" si="91">0.5*LN((1+S136)/(1-S136))</f>
        <v>-1.0000333353334771E-2</v>
      </c>
      <c r="X136" s="74">
        <f t="shared" ref="X136:X155" si="92">S136-(EXP(2*Z136)-1)/(EXP(2*Z136)+1)</f>
        <v>7.8173372410179465E-2</v>
      </c>
      <c r="Y136" s="74">
        <f t="shared" ref="Y136:Y155" si="93">(EXP(2*AA136)-1)/(EXP(2*AA136)+1)-S136</f>
        <v>7.8295797583549792E-2</v>
      </c>
      <c r="Z136" s="74">
        <f t="shared" ref="Z136:Z155" si="94">W136-AB136</f>
        <v>-8.840294684347938E-2</v>
      </c>
      <c r="AA136" s="74">
        <f t="shared" ref="AA136:AA155" si="95">W136+AB136</f>
        <v>6.8402280136809823E-2</v>
      </c>
      <c r="AB136" s="74">
        <f t="shared" ref="AB136:AB155" si="96">1.96*U136</f>
        <v>7.8402613490144601E-2</v>
      </c>
      <c r="AC136" s="78">
        <f t="shared" ref="AC136:AC155" si="97">IF(W136&lt;&gt;"",ABS(W136/U136^2),"")</f>
        <v>6.2497916611108142</v>
      </c>
      <c r="AD136" s="78"/>
      <c r="AE136" s="78">
        <f t="shared" ref="AE136:AE155" si="98">U136^-2</f>
        <v>624.95833291664439</v>
      </c>
      <c r="AF136" s="79" t="str">
        <f t="shared" ref="AF136:AF155" si="99">CONCATENATE(ROUND(S136,2),", (",ROUND(-(X136-S136),2),", ",ROUND(Y136+S136,2),")")</f>
        <v>-0.01, (-0.09, 0.07)</v>
      </c>
      <c r="AG136" s="78">
        <f t="shared" ref="AG136:AG155" si="100">1/AB136</f>
        <v>12.754676859409827</v>
      </c>
      <c r="AH136" s="78">
        <f t="shared" ref="AH136:AH155" si="101">AG136*Z136</f>
        <v>-1.1275510204081634</v>
      </c>
      <c r="AI136" s="78">
        <f t="shared" ref="AI136:AI155" si="102">Z136^2*AG136</f>
        <v>9.9678832920453805E-2</v>
      </c>
      <c r="AJ136" s="85">
        <f t="shared" ref="AJ136:AJ173" si="103">ROUND(AG136/AG$179*100,0)+1</f>
        <v>3</v>
      </c>
    </row>
    <row r="137" spans="1:42" ht="12.95" customHeight="1" x14ac:dyDescent="0.25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9">
        <v>-0.04</v>
      </c>
      <c r="H137" s="111">
        <v>0.03</v>
      </c>
      <c r="I137" s="14" t="s">
        <v>68</v>
      </c>
      <c r="J137" s="19"/>
      <c r="K137" s="18"/>
      <c r="L137" s="20"/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-0.03</v>
      </c>
      <c r="T137" s="74">
        <v>49</v>
      </c>
      <c r="U137" s="102">
        <f>W137/G147*H147</f>
        <v>7.0021011347295214E-2</v>
      </c>
      <c r="W137" s="74">
        <f t="shared" si="91"/>
        <v>-3.000900486312652E-2</v>
      </c>
      <c r="X137" s="74">
        <f t="shared" si="92"/>
        <v>0.13570796521287645</v>
      </c>
      <c r="Y137" s="74">
        <f t="shared" si="93"/>
        <v>0.13682304742851537</v>
      </c>
      <c r="Z137" s="74">
        <f t="shared" si="94"/>
        <v>-0.16725018710382514</v>
      </c>
      <c r="AA137" s="74">
        <f t="shared" si="95"/>
        <v>0.1072321773775721</v>
      </c>
      <c r="AB137" s="74">
        <f t="shared" si="96"/>
        <v>0.13724118224069862</v>
      </c>
      <c r="AC137" s="78">
        <f t="shared" si="97"/>
        <v>6.1206118038736887</v>
      </c>
      <c r="AD137" s="78"/>
      <c r="AE137" s="78">
        <f t="shared" si="98"/>
        <v>203.95917264801983</v>
      </c>
      <c r="AF137" s="79" t="str">
        <f t="shared" si="99"/>
        <v>-0.03, (-0.17, 0.11)</v>
      </c>
      <c r="AG137" s="78">
        <f t="shared" si="100"/>
        <v>7.2864426236591529</v>
      </c>
      <c r="AH137" s="78">
        <f t="shared" si="101"/>
        <v>-1.2186588921282799</v>
      </c>
      <c r="AI137" s="78">
        <f t="shared" si="102"/>
        <v>0.20382092772419508</v>
      </c>
      <c r="AJ137" s="85">
        <f t="shared" si="103"/>
        <v>2</v>
      </c>
    </row>
    <row r="138" spans="1:42" ht="12.95" customHeight="1" x14ac:dyDescent="0.25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-0.05</v>
      </c>
      <c r="H138" s="15">
        <v>0.05</v>
      </c>
      <c r="I138" s="14" t="s">
        <v>133</v>
      </c>
      <c r="J138" s="12"/>
      <c r="K138" s="15"/>
      <c r="L138" s="14"/>
      <c r="M138" s="12"/>
      <c r="N138" s="16"/>
      <c r="O138" s="14"/>
      <c r="Q138" s="2" t="str">
        <f>CONCATENATE(B161,"_",E161,"_",D161,"_",C161)</f>
        <v>EAS_Men_Word_Im_PEF</v>
      </c>
      <c r="S138" s="75">
        <f>G161</f>
        <v>0.03</v>
      </c>
      <c r="T138" s="2">
        <v>48</v>
      </c>
      <c r="U138" s="102">
        <f>W138/G161*H161</f>
        <v>8.0024012968337263E-2</v>
      </c>
      <c r="W138" s="74">
        <f t="shared" si="91"/>
        <v>3.0009004863126475E-2</v>
      </c>
      <c r="X138" s="74">
        <f t="shared" si="92"/>
        <v>0.15616222359799026</v>
      </c>
      <c r="Y138" s="74">
        <f t="shared" si="93"/>
        <v>0.15471131401066135</v>
      </c>
      <c r="Z138" s="74">
        <f t="shared" si="94"/>
        <v>-0.12683806055481456</v>
      </c>
      <c r="AA138" s="74">
        <f t="shared" si="95"/>
        <v>0.18685607028106749</v>
      </c>
      <c r="AB138" s="74">
        <f t="shared" si="96"/>
        <v>0.15684706541794102</v>
      </c>
      <c r="AC138" s="78">
        <f t="shared" si="97"/>
        <v>4.6860934123408002</v>
      </c>
      <c r="AD138" s="78"/>
      <c r="AE138" s="78">
        <f t="shared" si="98"/>
        <v>156.15624155864066</v>
      </c>
      <c r="AF138" s="79" t="str">
        <f t="shared" si="99"/>
        <v>0.03, (-0.13, 0.18)</v>
      </c>
      <c r="AG138" s="78">
        <f t="shared" si="100"/>
        <v>6.3756372957017691</v>
      </c>
      <c r="AH138" s="78">
        <f t="shared" si="101"/>
        <v>-0.80867346938775508</v>
      </c>
      <c r="AI138" s="78">
        <f t="shared" si="102"/>
        <v>0.10257057447927605</v>
      </c>
      <c r="AJ138" s="85">
        <f t="shared" si="103"/>
        <v>2</v>
      </c>
    </row>
    <row r="139" spans="1:42" ht="12.95" customHeight="1" x14ac:dyDescent="0.25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9">
        <v>-0.03</v>
      </c>
      <c r="H139" s="111">
        <v>0.03</v>
      </c>
      <c r="I139" s="14" t="s">
        <v>77</v>
      </c>
      <c r="J139" s="19"/>
      <c r="K139" s="18"/>
      <c r="L139" s="20"/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-0.04</v>
      </c>
      <c r="T139" s="74">
        <v>47</v>
      </c>
      <c r="U139" s="102">
        <f>W139/G162*H162</f>
        <v>5.0026692295960309E-2</v>
      </c>
      <c r="W139" s="74">
        <f t="shared" si="91"/>
        <v>-4.0021353836768248E-2</v>
      </c>
      <c r="X139" s="74">
        <f t="shared" si="92"/>
        <v>9.7202882798330753E-2</v>
      </c>
      <c r="Y139" s="74">
        <f t="shared" si="93"/>
        <v>9.7965909143257285E-2</v>
      </c>
      <c r="Z139" s="74">
        <f t="shared" si="94"/>
        <v>-0.13807367073685045</v>
      </c>
      <c r="AA139" s="74">
        <f t="shared" si="95"/>
        <v>5.8030963063313956E-2</v>
      </c>
      <c r="AB139" s="74">
        <f t="shared" si="96"/>
        <v>9.8052316900082204E-2</v>
      </c>
      <c r="AC139" s="78">
        <f t="shared" si="97"/>
        <v>15.991463022723183</v>
      </c>
      <c r="AD139" s="78"/>
      <c r="AE139" s="78">
        <f t="shared" si="98"/>
        <v>399.57326501112948</v>
      </c>
      <c r="AF139" s="79" t="str">
        <f t="shared" si="99"/>
        <v>-0.04, (-0.14, 0.06)</v>
      </c>
      <c r="AG139" s="78">
        <f t="shared" si="100"/>
        <v>10.198637131838765</v>
      </c>
      <c r="AH139" s="78">
        <f t="shared" si="101"/>
        <v>-1.4081632653061225</v>
      </c>
      <c r="AI139" s="78">
        <f t="shared" si="102"/>
        <v>0.19443027103760577</v>
      </c>
      <c r="AJ139" s="85">
        <f t="shared" si="103"/>
        <v>3</v>
      </c>
    </row>
    <row r="140" spans="1:42" ht="12.95" customHeight="1" x14ac:dyDescent="0.25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0.01</v>
      </c>
      <c r="H140" s="26">
        <v>0.04</v>
      </c>
      <c r="I140" s="25" t="s">
        <v>24</v>
      </c>
      <c r="J140" s="23"/>
      <c r="K140" s="26"/>
      <c r="L140" s="25"/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0.03</v>
      </c>
      <c r="T140" s="2">
        <v>46</v>
      </c>
      <c r="U140" s="102">
        <f>W140/G156*H156</f>
        <v>2.0006003242084316E-2</v>
      </c>
      <c r="W140" s="74">
        <f t="shared" si="91"/>
        <v>3.0009004863126475E-2</v>
      </c>
      <c r="X140" s="74">
        <f t="shared" si="92"/>
        <v>3.9202501703689968E-2</v>
      </c>
      <c r="Y140" s="74">
        <f t="shared" si="93"/>
        <v>3.9110425244140476E-2</v>
      </c>
      <c r="Z140" s="74">
        <f t="shared" si="94"/>
        <v>-9.2027614913587803E-3</v>
      </c>
      <c r="AA140" s="74">
        <f t="shared" si="95"/>
        <v>6.9220771217611735E-2</v>
      </c>
      <c r="AB140" s="74">
        <f t="shared" si="96"/>
        <v>3.9211766354485256E-2</v>
      </c>
      <c r="AC140" s="78">
        <f t="shared" si="97"/>
        <v>74.977494597452804</v>
      </c>
      <c r="AD140" s="78"/>
      <c r="AE140" s="78">
        <f t="shared" si="98"/>
        <v>2498.4998649382505</v>
      </c>
      <c r="AF140" s="79" t="str">
        <f t="shared" si="99"/>
        <v>0.03, (-0.01, 0.07)</v>
      </c>
      <c r="AG140" s="78">
        <f t="shared" si="100"/>
        <v>25.502549182807076</v>
      </c>
      <c r="AH140" s="78">
        <f t="shared" si="101"/>
        <v>-0.23469387755102028</v>
      </c>
      <c r="AI140" s="78">
        <f t="shared" si="102"/>
        <v>2.1598317785842028E-3</v>
      </c>
      <c r="AJ140" s="85">
        <f t="shared" si="103"/>
        <v>6</v>
      </c>
    </row>
    <row r="141" spans="1:42" ht="12.95" customHeight="1" x14ac:dyDescent="0.25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30">
        <v>0.06</v>
      </c>
      <c r="H141" s="112">
        <v>0.04</v>
      </c>
      <c r="I141" s="25" t="s">
        <v>164</v>
      </c>
      <c r="J141" s="30"/>
      <c r="K141" s="29"/>
      <c r="L141" s="31"/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0.04</v>
      </c>
      <c r="T141" s="74">
        <v>45</v>
      </c>
      <c r="U141" s="102">
        <f>W141/G157*H157</f>
        <v>2.0010676918384141E-2</v>
      </c>
      <c r="W141" s="74">
        <f t="shared" si="91"/>
        <v>4.0021353836768282E-2</v>
      </c>
      <c r="X141" s="74">
        <f t="shared" si="92"/>
        <v>3.9199573094204757E-2</v>
      </c>
      <c r="Y141" s="74">
        <f t="shared" si="93"/>
        <v>3.9076833096188528E-2</v>
      </c>
      <c r="Z141" s="74">
        <f t="shared" si="94"/>
        <v>8.0042707673536745E-4</v>
      </c>
      <c r="AA141" s="74">
        <f t="shared" si="95"/>
        <v>7.924228059680119E-2</v>
      </c>
      <c r="AB141" s="74">
        <f t="shared" si="96"/>
        <v>3.9220926760032915E-2</v>
      </c>
      <c r="AC141" s="78">
        <f t="shared" si="97"/>
        <v>99.946643892019793</v>
      </c>
      <c r="AD141" s="78"/>
      <c r="AE141" s="78">
        <f t="shared" si="98"/>
        <v>2497.3329063195547</v>
      </c>
      <c r="AF141" s="79" t="str">
        <f t="shared" si="99"/>
        <v>0.04, (0, 0.08)</v>
      </c>
      <c r="AG141" s="78">
        <f t="shared" si="100"/>
        <v>25.496592829596889</v>
      </c>
      <c r="AH141" s="78">
        <f t="shared" si="101"/>
        <v>2.0408163265306169E-2</v>
      </c>
      <c r="AI141" s="78">
        <f t="shared" si="102"/>
        <v>1.6335246463987127E-5</v>
      </c>
      <c r="AJ141" s="85">
        <f t="shared" si="103"/>
        <v>6</v>
      </c>
    </row>
    <row r="142" spans="1:42" ht="12.95" customHeight="1" x14ac:dyDescent="0.25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-0.01</v>
      </c>
      <c r="H142" s="15">
        <v>0.04</v>
      </c>
      <c r="I142" s="14" t="s">
        <v>69</v>
      </c>
      <c r="J142" s="12"/>
      <c r="K142" s="15"/>
      <c r="L142" s="14"/>
      <c r="M142" s="12"/>
      <c r="N142" s="16"/>
      <c r="O142" s="14"/>
      <c r="Q142" s="2" t="str">
        <f>CONCATENATE(B167,"_",E167,"_",D167,"_",C167)</f>
        <v>LASA_Men_Word_Im_PEF</v>
      </c>
      <c r="S142" s="75">
        <f>G167</f>
        <v>0.1</v>
      </c>
      <c r="T142" s="2">
        <v>44</v>
      </c>
      <c r="U142" s="102">
        <f>W142/G167*H167</f>
        <v>3.0100604319322686E-2</v>
      </c>
      <c r="W142" s="74">
        <f t="shared" si="91"/>
        <v>0.10033534773107562</v>
      </c>
      <c r="X142" s="74">
        <f t="shared" si="92"/>
        <v>5.8685367471322789E-2</v>
      </c>
      <c r="Y142" s="74">
        <f t="shared" si="93"/>
        <v>5.7997767412111489E-2</v>
      </c>
      <c r="Z142" s="74">
        <f t="shared" si="94"/>
        <v>4.1338163265203155E-2</v>
      </c>
      <c r="AA142" s="74">
        <f t="shared" si="95"/>
        <v>0.1593325321969481</v>
      </c>
      <c r="AB142" s="74">
        <f t="shared" si="96"/>
        <v>5.8997184465872467E-2</v>
      </c>
      <c r="AC142" s="78">
        <f t="shared" si="97"/>
        <v>110.73974787919936</v>
      </c>
      <c r="AD142" s="78"/>
      <c r="AE142" s="78">
        <f t="shared" si="98"/>
        <v>1103.6962584313774</v>
      </c>
      <c r="AF142" s="79" t="str">
        <f t="shared" si="99"/>
        <v>0.1, (0.04, 0.16)</v>
      </c>
      <c r="AG142" s="78">
        <f t="shared" si="100"/>
        <v>16.949961410081531</v>
      </c>
      <c r="AH142" s="78">
        <f t="shared" si="101"/>
        <v>0.70068027210884343</v>
      </c>
      <c r="AI142" s="78">
        <f t="shared" si="102"/>
        <v>2.8964835485142344E-2</v>
      </c>
      <c r="AJ142" s="85">
        <f t="shared" si="103"/>
        <v>4</v>
      </c>
    </row>
    <row r="143" spans="1:42" ht="12.95" customHeight="1" x14ac:dyDescent="0.25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9">
        <v>0.01</v>
      </c>
      <c r="H143" s="111">
        <v>0.03</v>
      </c>
      <c r="I143" s="14" t="s">
        <v>160</v>
      </c>
      <c r="J143" s="19"/>
      <c r="K143" s="18"/>
      <c r="L143" s="20"/>
      <c r="M143" s="19"/>
      <c r="N143" s="18"/>
      <c r="O143" s="14"/>
      <c r="Q143" s="2" t="str">
        <f>CONCATENATE(B168,"_",E168,"_",D168,"_",C168)</f>
        <v>LASA_Women_Word_Im_PEF</v>
      </c>
      <c r="S143" s="75">
        <f>G168</f>
        <v>0.14000000000000001</v>
      </c>
      <c r="T143" s="74">
        <v>43</v>
      </c>
      <c r="U143" s="102">
        <f>W143/G168*H168</f>
        <v>2.0132225152927702E-2</v>
      </c>
      <c r="W143" s="74">
        <f t="shared" si="91"/>
        <v>0.14092557607049391</v>
      </c>
      <c r="X143" s="74">
        <f t="shared" si="92"/>
        <v>3.8880370745743312E-2</v>
      </c>
      <c r="Y143" s="74">
        <f t="shared" si="93"/>
        <v>3.8453378849268388E-2</v>
      </c>
      <c r="Z143" s="74">
        <f t="shared" si="94"/>
        <v>0.10146641477075562</v>
      </c>
      <c r="AA143" s="74">
        <f t="shared" si="95"/>
        <v>0.1803847373702322</v>
      </c>
      <c r="AB143" s="74">
        <f t="shared" si="96"/>
        <v>3.9459161299738296E-2</v>
      </c>
      <c r="AC143" s="78">
        <f t="shared" si="97"/>
        <v>347.70125740333447</v>
      </c>
      <c r="AD143" s="78"/>
      <c r="AE143" s="78">
        <f t="shared" si="98"/>
        <v>2467.2686612216298</v>
      </c>
      <c r="AF143" s="79" t="str">
        <f t="shared" si="99"/>
        <v>0.14, (0.1, 0.18)</v>
      </c>
      <c r="AG143" s="78">
        <f t="shared" si="100"/>
        <v>25.342657245140998</v>
      </c>
      <c r="AH143" s="78">
        <f t="shared" si="101"/>
        <v>2.5714285714285716</v>
      </c>
      <c r="AI143" s="78">
        <f t="shared" si="102"/>
        <v>0.260913637981943</v>
      </c>
      <c r="AJ143" s="85">
        <f t="shared" si="103"/>
        <v>5</v>
      </c>
    </row>
    <row r="144" spans="1:42" ht="12.95" customHeight="1" x14ac:dyDescent="0.25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-0.01</v>
      </c>
      <c r="H144" s="15">
        <v>0.04</v>
      </c>
      <c r="I144" s="14" t="s">
        <v>160</v>
      </c>
      <c r="J144" s="12"/>
      <c r="K144" s="15"/>
      <c r="L144" s="14"/>
      <c r="M144" s="12"/>
      <c r="N144" s="16"/>
      <c r="O144" s="14"/>
      <c r="Q144" s="2" t="str">
        <f t="shared" ref="Q144:Q151" si="104">CONCATENATE(B148,"_",E148,"_",D148,"_",C148)</f>
        <v>OCTO_Men_Objects_Recall_PEF</v>
      </c>
      <c r="S144" s="75">
        <f>G148</f>
        <v>-0.02</v>
      </c>
      <c r="T144" s="2">
        <v>42</v>
      </c>
      <c r="U144" s="102">
        <f t="shared" ref="U144:U151" si="105">W144/G148*H148</f>
        <v>9.0012002880823297E-2</v>
      </c>
      <c r="W144" s="74">
        <f>0.5*LN((1+S144)/(1-S144))</f>
        <v>-2.0002667306849624E-2</v>
      </c>
      <c r="X144" s="74">
        <f>S144-(EXP(2*Z144)-1)/(EXP(2*Z144)+1)</f>
        <v>0.17393832828280212</v>
      </c>
      <c r="Y144" s="74">
        <f t="shared" ref="Y144:Y149" si="106">(EXP(2*AA144)-1)/(EXP(2*AA144)+1)-S144</f>
        <v>0.17515747991314698</v>
      </c>
      <c r="Z144" s="74">
        <f>W144-AB144</f>
        <v>-0.1964261929532633</v>
      </c>
      <c r="AA144" s="74">
        <f t="shared" ref="AA144:AA149" si="107">W144+AB144</f>
        <v>0.15642085833956404</v>
      </c>
      <c r="AB144" s="74">
        <f>1.96*U144</f>
        <v>0.17642352564641367</v>
      </c>
      <c r="AC144" s="78">
        <f t="shared" ref="AC144:AC149" si="108">IF(W144&lt;&gt;"",ABS(W144/U144^2),"")</f>
        <v>2.4688065492381774</v>
      </c>
      <c r="AD144" s="78"/>
      <c r="AE144" s="78">
        <f t="shared" si="98"/>
        <v>123.42386699561665</v>
      </c>
      <c r="AF144" s="79" t="str">
        <f t="shared" si="99"/>
        <v>-0.02, (-0.19, 0.16)</v>
      </c>
      <c r="AG144" s="78">
        <f>1/AB144</f>
        <v>5.6681783018223451</v>
      </c>
      <c r="AH144" s="78">
        <f t="shared" si="101"/>
        <v>-1.1133786848072562</v>
      </c>
      <c r="AI144" s="78">
        <f t="shared" si="102"/>
        <v>0.21869673637200063</v>
      </c>
      <c r="AJ144" s="85">
        <f t="shared" si="103"/>
        <v>2</v>
      </c>
    </row>
    <row r="145" spans="1:36" ht="12.95" customHeight="1" x14ac:dyDescent="0.25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2">
        <v>9.9999999999999995E-8</v>
      </c>
      <c r="H145" s="111">
        <v>0.03</v>
      </c>
      <c r="I145" s="14" t="s">
        <v>138</v>
      </c>
      <c r="J145" s="19"/>
      <c r="K145" s="18"/>
      <c r="L145" s="20"/>
      <c r="M145" s="19"/>
      <c r="N145" s="18"/>
      <c r="O145" s="14"/>
      <c r="Q145" s="2" t="str">
        <f t="shared" si="104"/>
        <v>OCTO_Women_Objects_Recall_PEF</v>
      </c>
      <c r="S145" s="75">
        <f t="shared" ref="S145:S151" si="109">G149</f>
        <v>0.06</v>
      </c>
      <c r="T145" s="74">
        <v>41</v>
      </c>
      <c r="U145" s="102">
        <f t="shared" si="105"/>
        <v>6.0072155921031704E-2</v>
      </c>
      <c r="W145" s="74">
        <f t="shared" ref="W145:W149" si="110">0.5*LN((1+S145)/(1-S145))</f>
        <v>6.0072155921031704E-2</v>
      </c>
      <c r="X145" s="74">
        <f t="shared" ref="X145:X149" si="111">S145-(EXP(2*Z145)-1)/(EXP(2*Z145)+1)</f>
        <v>0.11760542352857045</v>
      </c>
      <c r="Y145" s="74">
        <f t="shared" si="106"/>
        <v>0.1159629658355891</v>
      </c>
      <c r="Z145" s="74">
        <f t="shared" ref="Z145:Z149" si="112">W145-AB145</f>
        <v>-5.7669269684190429E-2</v>
      </c>
      <c r="AA145" s="74">
        <f t="shared" si="107"/>
        <v>0.17781358152625384</v>
      </c>
      <c r="AB145" s="74">
        <f t="shared" ref="AB145:AB149" si="113">1.96*U145</f>
        <v>0.11774142560522213</v>
      </c>
      <c r="AC145" s="78">
        <f t="shared" si="108"/>
        <v>16.646647430376184</v>
      </c>
      <c r="AD145" s="78"/>
      <c r="AE145" s="78">
        <f t="shared" si="98"/>
        <v>277.11087067125004</v>
      </c>
      <c r="AF145" s="79" t="str">
        <f t="shared" si="99"/>
        <v>0.06, (-0.06, 0.18)</v>
      </c>
      <c r="AG145" s="78">
        <f t="shared" si="100"/>
        <v>8.4931874644776464</v>
      </c>
      <c r="AH145" s="78">
        <f t="shared" si="101"/>
        <v>-0.48979591836734693</v>
      </c>
      <c r="AI145" s="78">
        <f t="shared" si="102"/>
        <v>2.8246172906542247E-2</v>
      </c>
      <c r="AJ145" s="85">
        <f t="shared" si="103"/>
        <v>3</v>
      </c>
    </row>
    <row r="146" spans="1:36" ht="12.95" customHeight="1" x14ac:dyDescent="0.25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-0.01</v>
      </c>
      <c r="H146" s="15" t="s">
        <v>336</v>
      </c>
      <c r="I146" s="14" t="s">
        <v>104</v>
      </c>
      <c r="J146" s="12"/>
      <c r="K146" s="15"/>
      <c r="L146" s="14"/>
      <c r="M146" s="12"/>
      <c r="N146" s="16"/>
      <c r="O146" s="14"/>
      <c r="Q146" s="2" t="str">
        <f t="shared" si="104"/>
        <v>OCTO_Men_Objects_Recog_PEF</v>
      </c>
      <c r="S146" s="75">
        <f t="shared" si="109"/>
        <v>0.04</v>
      </c>
      <c r="T146" s="2">
        <v>40</v>
      </c>
      <c r="U146" s="102">
        <f t="shared" si="105"/>
        <v>6.003203075515242E-2</v>
      </c>
      <c r="W146" s="74">
        <f t="shared" si="110"/>
        <v>4.0021353836768282E-2</v>
      </c>
      <c r="X146" s="74">
        <f t="shared" si="111"/>
        <v>0.11748578926485917</v>
      </c>
      <c r="Y146" s="74">
        <f t="shared" si="106"/>
        <v>0.11639010152922008</v>
      </c>
      <c r="Z146" s="74">
        <f t="shared" si="112"/>
        <v>-7.7641426443330469E-2</v>
      </c>
      <c r="AA146" s="74">
        <f t="shared" si="107"/>
        <v>0.15768413411686702</v>
      </c>
      <c r="AB146" s="74">
        <f t="shared" si="113"/>
        <v>0.11766278028009874</v>
      </c>
      <c r="AC146" s="78">
        <f t="shared" si="108"/>
        <v>11.105182654668869</v>
      </c>
      <c r="AD146" s="78"/>
      <c r="AE146" s="78">
        <f t="shared" si="98"/>
        <v>277.48143403550614</v>
      </c>
      <c r="AF146" s="79" t="str">
        <f t="shared" si="99"/>
        <v>0.04, (-0.08, 0.16)</v>
      </c>
      <c r="AG146" s="78">
        <f t="shared" si="100"/>
        <v>8.4988642765322968</v>
      </c>
      <c r="AH146" s="78">
        <f t="shared" si="101"/>
        <v>-0.65986394557823136</v>
      </c>
      <c r="AI146" s="78">
        <f t="shared" si="102"/>
        <v>5.123277799321807E-2</v>
      </c>
      <c r="AJ146" s="85">
        <f t="shared" si="103"/>
        <v>3</v>
      </c>
    </row>
    <row r="147" spans="1:36" ht="12.95" customHeight="1" x14ac:dyDescent="0.25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9">
        <v>-0.03</v>
      </c>
      <c r="H147" s="111">
        <v>7.0000000000000007E-2</v>
      </c>
      <c r="I147" s="14" t="s">
        <v>104</v>
      </c>
      <c r="J147" s="19"/>
      <c r="K147" s="18"/>
      <c r="L147" s="20"/>
      <c r="M147" s="19"/>
      <c r="N147" s="18"/>
      <c r="O147" s="14"/>
      <c r="Q147" s="2" t="str">
        <f t="shared" si="104"/>
        <v>OCTO_Women_Objects_Recog_PEF</v>
      </c>
      <c r="S147" s="75">
        <f t="shared" si="109"/>
        <v>0.15</v>
      </c>
      <c r="T147" s="74">
        <v>39</v>
      </c>
      <c r="U147" s="102">
        <f t="shared" si="105"/>
        <v>6.0456174374586703E-2</v>
      </c>
      <c r="W147" s="74">
        <f t="shared" si="110"/>
        <v>0.15114043593646675</v>
      </c>
      <c r="X147" s="74">
        <f t="shared" si="111"/>
        <v>0.11736525886626811</v>
      </c>
      <c r="Y147" s="74">
        <f t="shared" si="106"/>
        <v>0.11328473934933733</v>
      </c>
      <c r="Z147" s="74">
        <f t="shared" si="112"/>
        <v>3.2646334162276816E-2</v>
      </c>
      <c r="AA147" s="74">
        <f t="shared" si="107"/>
        <v>0.26963453771065671</v>
      </c>
      <c r="AB147" s="74">
        <f t="shared" si="113"/>
        <v>0.11849410177418994</v>
      </c>
      <c r="AC147" s="78">
        <f t="shared" si="108"/>
        <v>41.352269240689786</v>
      </c>
      <c r="AD147" s="78"/>
      <c r="AE147" s="78">
        <f t="shared" si="98"/>
        <v>273.60162741671979</v>
      </c>
      <c r="AF147" s="79" t="str">
        <f t="shared" si="99"/>
        <v>0.15, (0.03, 0.26)</v>
      </c>
      <c r="AG147" s="78">
        <f t="shared" si="100"/>
        <v>8.4392386205489363</v>
      </c>
      <c r="AH147" s="78">
        <f t="shared" si="101"/>
        <v>0.27551020408163263</v>
      </c>
      <c r="AI147" s="78">
        <f t="shared" si="102"/>
        <v>8.9943981875660606E-3</v>
      </c>
      <c r="AJ147" s="85">
        <f t="shared" si="103"/>
        <v>2</v>
      </c>
    </row>
    <row r="148" spans="1:36" ht="12.95" customHeight="1" x14ac:dyDescent="0.25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-0.02</v>
      </c>
      <c r="H148" s="26">
        <v>0.09</v>
      </c>
      <c r="I148" s="25" t="s">
        <v>127</v>
      </c>
      <c r="J148" s="23"/>
      <c r="K148" s="26"/>
      <c r="L148" s="25"/>
      <c r="M148" s="23"/>
      <c r="N148" s="27"/>
      <c r="O148" s="25"/>
      <c r="Q148" s="2" t="str">
        <f t="shared" si="104"/>
        <v>OCTO_Men_Prose_Im_PEF</v>
      </c>
      <c r="S148" s="75">
        <f t="shared" si="109"/>
        <v>0.1</v>
      </c>
      <c r="T148" s="2">
        <v>38</v>
      </c>
      <c r="U148" s="102">
        <f t="shared" si="105"/>
        <v>0.14046948682350588</v>
      </c>
      <c r="W148" s="74">
        <f t="shared" si="110"/>
        <v>0.10033534773107562</v>
      </c>
      <c r="X148" s="74">
        <f t="shared" si="111"/>
        <v>0.27322045900367964</v>
      </c>
      <c r="Y148" s="74">
        <f t="shared" si="106"/>
        <v>0.25892862127557803</v>
      </c>
      <c r="Z148" s="74">
        <f t="shared" si="112"/>
        <v>-0.17498484644299589</v>
      </c>
      <c r="AA148" s="74">
        <f t="shared" si="107"/>
        <v>0.37565554190514711</v>
      </c>
      <c r="AB148" s="74">
        <f t="shared" si="113"/>
        <v>0.2753201941740715</v>
      </c>
      <c r="AC148" s="78">
        <f t="shared" si="108"/>
        <v>5.0849884230244591</v>
      </c>
      <c r="AD148" s="78"/>
      <c r="AE148" s="78">
        <f t="shared" si="98"/>
        <v>50.679930234093852</v>
      </c>
      <c r="AF148" s="79" t="str">
        <f t="shared" si="99"/>
        <v>0.1, (-0.17, 0.36)</v>
      </c>
      <c r="AG148" s="78">
        <f t="shared" si="100"/>
        <v>3.6321345878746145</v>
      </c>
      <c r="AH148" s="78">
        <f t="shared" si="101"/>
        <v>-0.63556851311953355</v>
      </c>
      <c r="AI148" s="78">
        <f t="shared" si="102"/>
        <v>0.1112148586722248</v>
      </c>
      <c r="AJ148" s="85">
        <f t="shared" si="103"/>
        <v>2</v>
      </c>
    </row>
    <row r="149" spans="1:36" ht="12.95" customHeight="1" x14ac:dyDescent="0.25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9">
        <v>0.06</v>
      </c>
      <c r="H149" s="111">
        <v>0.06</v>
      </c>
      <c r="I149" s="14" t="s">
        <v>141</v>
      </c>
      <c r="J149" s="19"/>
      <c r="K149" s="18"/>
      <c r="L149" s="20"/>
      <c r="M149" s="19"/>
      <c r="N149" s="18"/>
      <c r="O149" s="14"/>
      <c r="Q149" s="2" t="str">
        <f t="shared" si="104"/>
        <v>OCTO_Women_Prose_Im_PEF</v>
      </c>
      <c r="S149" s="75">
        <f t="shared" si="109"/>
        <v>7.0000000000000007E-2</v>
      </c>
      <c r="T149" s="74">
        <v>37</v>
      </c>
      <c r="U149" s="102">
        <f t="shared" si="105"/>
        <v>6.0098289132278694E-2</v>
      </c>
      <c r="W149" s="74">
        <f t="shared" si="110"/>
        <v>7.0114670654325154E-2</v>
      </c>
      <c r="X149" s="74">
        <f t="shared" si="111"/>
        <v>0.11764188184092182</v>
      </c>
      <c r="Y149" s="74">
        <f t="shared" si="106"/>
        <v>0.11572649685287231</v>
      </c>
      <c r="Z149" s="74">
        <f t="shared" si="112"/>
        <v>-4.7677976044941089E-2</v>
      </c>
      <c r="AA149" s="74">
        <f t="shared" si="107"/>
        <v>0.1879073173535914</v>
      </c>
      <c r="AB149" s="74">
        <f t="shared" si="113"/>
        <v>0.11779264669926624</v>
      </c>
      <c r="AC149" s="78">
        <f t="shared" si="108"/>
        <v>19.412643579566595</v>
      </c>
      <c r="AD149" s="78"/>
      <c r="AE149" s="78">
        <f t="shared" si="98"/>
        <v>276.86992463066059</v>
      </c>
      <c r="AF149" s="79" t="str">
        <f t="shared" si="99"/>
        <v>0.07, (-0.05, 0.19)</v>
      </c>
      <c r="AG149" s="78">
        <f t="shared" si="100"/>
        <v>8.4894942767783927</v>
      </c>
      <c r="AH149" s="78">
        <f t="shared" si="101"/>
        <v>-0.40476190476190471</v>
      </c>
      <c r="AI149" s="78">
        <f t="shared" si="102"/>
        <v>1.9298228399142817E-2</v>
      </c>
      <c r="AJ149" s="85">
        <f t="shared" si="103"/>
        <v>3</v>
      </c>
    </row>
    <row r="150" spans="1:36" ht="12.95" customHeight="1" x14ac:dyDescent="0.25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0.04</v>
      </c>
      <c r="H150" s="26">
        <v>0.06</v>
      </c>
      <c r="I150" s="25" t="s">
        <v>29</v>
      </c>
      <c r="J150" s="23"/>
      <c r="K150" s="26"/>
      <c r="L150" s="25"/>
      <c r="M150" s="23"/>
      <c r="N150" s="27"/>
      <c r="O150" s="25"/>
      <c r="Q150" s="2" t="str">
        <f t="shared" si="104"/>
        <v>ELSA_Men_Word_De_FEV1</v>
      </c>
      <c r="S150" s="75">
        <f t="shared" si="109"/>
        <v>0.03</v>
      </c>
      <c r="T150" s="2">
        <v>36</v>
      </c>
      <c r="U150" s="102">
        <f t="shared" si="105"/>
        <v>3.0009004863126472E-2</v>
      </c>
      <c r="W150" s="74">
        <f t="shared" si="91"/>
        <v>3.0009004863126475E-2</v>
      </c>
      <c r="X150" s="74">
        <f t="shared" si="92"/>
        <v>5.8800677517101309E-2</v>
      </c>
      <c r="Y150" s="74">
        <f t="shared" si="93"/>
        <v>5.8593770097622483E-2</v>
      </c>
      <c r="Z150" s="74">
        <f t="shared" si="94"/>
        <v>-2.8808644668601408E-2</v>
      </c>
      <c r="AA150" s="74">
        <f t="shared" si="95"/>
        <v>8.8826654394854362E-2</v>
      </c>
      <c r="AB150" s="74">
        <f t="shared" si="96"/>
        <v>5.8817649531727884E-2</v>
      </c>
      <c r="AC150" s="78">
        <f t="shared" si="97"/>
        <v>33.323330932201252</v>
      </c>
      <c r="AD150" s="78"/>
      <c r="AE150" s="78">
        <f t="shared" si="98"/>
        <v>1110.4443844170005</v>
      </c>
      <c r="AF150" s="79" t="str">
        <f t="shared" si="99"/>
        <v>0.03, (-0.03, 0.09)</v>
      </c>
      <c r="AG150" s="78">
        <f t="shared" si="100"/>
        <v>17.001699455204719</v>
      </c>
      <c r="AH150" s="78">
        <f t="shared" si="101"/>
        <v>-0.48979591836734687</v>
      </c>
      <c r="AI150" s="78">
        <f t="shared" si="102"/>
        <v>1.4110356572376198E-2</v>
      </c>
      <c r="AJ150" s="85">
        <f t="shared" si="103"/>
        <v>4</v>
      </c>
    </row>
    <row r="151" spans="1:36" ht="12.95" customHeight="1" x14ac:dyDescent="0.25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9">
        <v>0.15</v>
      </c>
      <c r="H151" s="111">
        <v>0.06</v>
      </c>
      <c r="I151" s="14" t="s">
        <v>66</v>
      </c>
      <c r="J151" s="19"/>
      <c r="K151" s="18"/>
      <c r="L151" s="20"/>
      <c r="M151" s="19"/>
      <c r="N151" s="18"/>
      <c r="O151" s="14"/>
      <c r="Q151" s="2" t="str">
        <f t="shared" si="104"/>
        <v>ELSA_Women_Word_De_FEV1</v>
      </c>
      <c r="S151" s="75">
        <f t="shared" si="109"/>
        <v>0.01</v>
      </c>
      <c r="T151" s="74">
        <v>35</v>
      </c>
      <c r="U151" s="102">
        <f t="shared" si="105"/>
        <v>3.0001000060004154E-2</v>
      </c>
      <c r="W151" s="74">
        <f t="shared" si="91"/>
        <v>1.0000333353334718E-2</v>
      </c>
      <c r="X151" s="74">
        <f t="shared" si="92"/>
        <v>5.8762921671019042E-2</v>
      </c>
      <c r="Y151" s="74">
        <f t="shared" si="93"/>
        <v>5.8693934231079235E-2</v>
      </c>
      <c r="Z151" s="74">
        <f t="shared" si="94"/>
        <v>-4.8801626764273423E-2</v>
      </c>
      <c r="AA151" s="74">
        <f t="shared" si="95"/>
        <v>6.8802293470942855E-2</v>
      </c>
      <c r="AB151" s="74">
        <f t="shared" si="96"/>
        <v>5.8801960117608139E-2</v>
      </c>
      <c r="AC151" s="78">
        <f t="shared" si="97"/>
        <v>11.110740730863728</v>
      </c>
      <c r="AD151" s="78"/>
      <c r="AE151" s="78">
        <f t="shared" si="98"/>
        <v>1111.0370362962683</v>
      </c>
      <c r="AF151" s="79" t="str">
        <f t="shared" si="99"/>
        <v>0.01, (-0.05, 0.07)</v>
      </c>
      <c r="AG151" s="78">
        <f t="shared" si="100"/>
        <v>17.006235812546524</v>
      </c>
      <c r="AH151" s="78">
        <f t="shared" si="101"/>
        <v>-0.82993197278911568</v>
      </c>
      <c r="AI151" s="78">
        <f t="shared" si="102"/>
        <v>4.0502030375791552E-2</v>
      </c>
      <c r="AJ151" s="85">
        <f t="shared" si="103"/>
        <v>4</v>
      </c>
    </row>
    <row r="152" spans="1:36" ht="12.95" customHeight="1" x14ac:dyDescent="0.25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0.1</v>
      </c>
      <c r="H152" s="15">
        <v>0.14000000000000001</v>
      </c>
      <c r="I152" s="14" t="s">
        <v>86</v>
      </c>
      <c r="J152" s="12"/>
      <c r="K152" s="15"/>
      <c r="L152" s="14"/>
      <c r="M152" s="12"/>
      <c r="N152" s="16"/>
      <c r="O152" s="14"/>
      <c r="Q152" s="2" t="str">
        <f>CONCATENATE(B163,"_",E163,"_",D163,"_",C163)</f>
        <v>ELSA_Men_Word_Im_FEV1</v>
      </c>
      <c r="S152" s="75">
        <f>G163</f>
        <v>0.05</v>
      </c>
      <c r="T152" s="2">
        <v>34</v>
      </c>
      <c r="U152" s="102">
        <f>W152/G163*H163</f>
        <v>2.0016691711396525E-2</v>
      </c>
      <c r="W152" s="74">
        <f t="shared" si="91"/>
        <v>5.0041729278491313E-2</v>
      </c>
      <c r="X152" s="74">
        <f t="shared" si="92"/>
        <v>3.9191407412388975E-2</v>
      </c>
      <c r="Y152" s="74">
        <f t="shared" si="93"/>
        <v>3.9038028437245201E-2</v>
      </c>
      <c r="Z152" s="74">
        <f t="shared" si="94"/>
        <v>1.0809013524154129E-2</v>
      </c>
      <c r="AA152" s="74">
        <f t="shared" si="95"/>
        <v>8.9274445032828498E-2</v>
      </c>
      <c r="AB152" s="74">
        <f t="shared" si="96"/>
        <v>3.9232715754337184E-2</v>
      </c>
      <c r="AC152" s="78">
        <f t="shared" si="97"/>
        <v>124.89576379780193</v>
      </c>
      <c r="AD152" s="78"/>
      <c r="AE152" s="78">
        <f t="shared" si="98"/>
        <v>2495.8322903418129</v>
      </c>
      <c r="AF152" s="79" t="str">
        <f t="shared" si="99"/>
        <v>0.05, (0.01, 0.09)</v>
      </c>
      <c r="AG152" s="78">
        <f t="shared" si="100"/>
        <v>25.488931387306518</v>
      </c>
      <c r="AH152" s="78">
        <f t="shared" si="101"/>
        <v>0.27551020408163285</v>
      </c>
      <c r="AI152" s="78">
        <f t="shared" si="102"/>
        <v>2.977993521960833E-3</v>
      </c>
      <c r="AJ152" s="85">
        <f t="shared" si="103"/>
        <v>6</v>
      </c>
    </row>
    <row r="153" spans="1:36" ht="12.95" customHeight="1" x14ac:dyDescent="0.25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30">
        <v>7.0000000000000007E-2</v>
      </c>
      <c r="H153" s="112">
        <v>0.06</v>
      </c>
      <c r="I153" s="25" t="s">
        <v>48</v>
      </c>
      <c r="J153" s="30"/>
      <c r="K153" s="29"/>
      <c r="L153" s="31"/>
      <c r="M153" s="30"/>
      <c r="N153" s="29"/>
      <c r="O153" s="25"/>
      <c r="Q153" s="2" t="str">
        <f>CONCATENATE(B164,"_",E164,"_",D164,"_",C164)</f>
        <v>ELSA_Women_Word_Im_FEV1</v>
      </c>
      <c r="S153" s="75">
        <f>G164</f>
        <v>0.02</v>
      </c>
      <c r="T153" s="74">
        <v>33</v>
      </c>
      <c r="U153" s="102">
        <f>W153/G164*H164</f>
        <v>2.0002667306849603E-2</v>
      </c>
      <c r="W153" s="74">
        <f t="shared" si="91"/>
        <v>2.0002667306849603E-2</v>
      </c>
      <c r="X153" s="74">
        <f t="shared" si="92"/>
        <v>3.9200200722577225E-2</v>
      </c>
      <c r="Y153" s="74">
        <f t="shared" si="93"/>
        <v>3.9138806202402149E-2</v>
      </c>
      <c r="Z153" s="74">
        <f t="shared" si="94"/>
        <v>-1.920256061457562E-2</v>
      </c>
      <c r="AA153" s="74">
        <f t="shared" si="95"/>
        <v>5.9207895228274826E-2</v>
      </c>
      <c r="AB153" s="74">
        <f t="shared" si="96"/>
        <v>3.9205227921425223E-2</v>
      </c>
      <c r="AC153" s="78">
        <f t="shared" si="97"/>
        <v>49.993332622073133</v>
      </c>
      <c r="AD153" s="78"/>
      <c r="AE153" s="78">
        <f t="shared" si="98"/>
        <v>2499.3333066612417</v>
      </c>
      <c r="AF153" s="79" t="str">
        <f t="shared" si="99"/>
        <v>0.02, (-0.02, 0.06)</v>
      </c>
      <c r="AG153" s="78">
        <f t="shared" si="100"/>
        <v>25.506802358200577</v>
      </c>
      <c r="AH153" s="78">
        <f t="shared" si="101"/>
        <v>-0.48979591836734693</v>
      </c>
      <c r="AI153" s="78">
        <f t="shared" si="102"/>
        <v>9.4053358112207112E-3</v>
      </c>
      <c r="AJ153" s="85">
        <f t="shared" si="103"/>
        <v>6</v>
      </c>
    </row>
    <row r="154" spans="1:36" ht="12.95" customHeight="1" x14ac:dyDescent="0.25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0.03</v>
      </c>
      <c r="H154" s="15">
        <v>0.03</v>
      </c>
      <c r="I154" s="14" t="s">
        <v>92</v>
      </c>
      <c r="J154" s="12"/>
      <c r="K154" s="15"/>
      <c r="L154" s="14"/>
      <c r="M154" s="12"/>
      <c r="N154" s="16"/>
      <c r="O154" s="14"/>
      <c r="Q154" s="2" t="str">
        <f>CONCATENATE(B165,"_",E165,"_",D165,"_",C165)</f>
        <v>HRS_Men_Word_Im_PEF</v>
      </c>
      <c r="S154" s="75">
        <f>G165</f>
        <v>0.04</v>
      </c>
      <c r="T154" s="2">
        <v>32</v>
      </c>
      <c r="U154" s="102">
        <f>W154/G165*H165</f>
        <v>2.0010676918384141E-2</v>
      </c>
      <c r="W154" s="74">
        <f t="shared" si="91"/>
        <v>4.0021353836768282E-2</v>
      </c>
      <c r="X154" s="74">
        <f t="shared" si="92"/>
        <v>3.9199573094204757E-2</v>
      </c>
      <c r="Y154" s="74">
        <f t="shared" si="93"/>
        <v>3.9076833096188528E-2</v>
      </c>
      <c r="Z154" s="74">
        <f t="shared" si="94"/>
        <v>8.0042707673536745E-4</v>
      </c>
      <c r="AA154" s="74">
        <f t="shared" si="95"/>
        <v>7.924228059680119E-2</v>
      </c>
      <c r="AB154" s="74">
        <f t="shared" si="96"/>
        <v>3.9220926760032915E-2</v>
      </c>
      <c r="AC154" s="78">
        <f t="shared" si="97"/>
        <v>99.946643892019793</v>
      </c>
      <c r="AD154" s="78"/>
      <c r="AE154" s="78">
        <f t="shared" si="98"/>
        <v>2497.3329063195547</v>
      </c>
      <c r="AF154" s="79" t="str">
        <f t="shared" si="99"/>
        <v>0.04, (0, 0.08)</v>
      </c>
      <c r="AG154" s="78">
        <f t="shared" si="100"/>
        <v>25.496592829596889</v>
      </c>
      <c r="AH154" s="78">
        <f t="shared" si="101"/>
        <v>2.0408163265306169E-2</v>
      </c>
      <c r="AI154" s="78">
        <f t="shared" si="102"/>
        <v>1.6335246463987127E-5</v>
      </c>
      <c r="AJ154" s="85">
        <f t="shared" si="103"/>
        <v>6</v>
      </c>
    </row>
    <row r="155" spans="1:36" ht="12.95" customHeight="1" x14ac:dyDescent="0.25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9">
        <v>0.01</v>
      </c>
      <c r="H155" s="111">
        <v>0.03</v>
      </c>
      <c r="I155" s="14" t="s">
        <v>93</v>
      </c>
      <c r="J155" s="19"/>
      <c r="K155" s="18"/>
      <c r="L155" s="20"/>
      <c r="M155" s="19"/>
      <c r="N155" s="18"/>
      <c r="O155" s="14"/>
      <c r="Q155" s="2" t="str">
        <f>CONCATENATE(B166,"_",E166,"_",D166,"_",C166)</f>
        <v>HRS_Women_Word_Im_PEF</v>
      </c>
      <c r="S155" s="75">
        <f>G166</f>
        <v>0.04</v>
      </c>
      <c r="T155" s="74">
        <v>31</v>
      </c>
      <c r="U155" s="102">
        <f>W155/G166*H166</f>
        <v>2.0010676918384141E-2</v>
      </c>
      <c r="W155" s="74">
        <f t="shared" si="91"/>
        <v>4.0021353836768282E-2</v>
      </c>
      <c r="X155" s="74">
        <f t="shared" si="92"/>
        <v>3.9199573094204757E-2</v>
      </c>
      <c r="Y155" s="74">
        <f t="shared" si="93"/>
        <v>3.9076833096188528E-2</v>
      </c>
      <c r="Z155" s="74">
        <f t="shared" si="94"/>
        <v>8.0042707673536745E-4</v>
      </c>
      <c r="AA155" s="74">
        <f t="shared" si="95"/>
        <v>7.924228059680119E-2</v>
      </c>
      <c r="AB155" s="74">
        <f t="shared" si="96"/>
        <v>3.9220926760032915E-2</v>
      </c>
      <c r="AC155" s="78">
        <f t="shared" si="97"/>
        <v>99.946643892019793</v>
      </c>
      <c r="AD155" s="78"/>
      <c r="AE155" s="78">
        <f t="shared" si="98"/>
        <v>2497.3329063195547</v>
      </c>
      <c r="AF155" s="79" t="str">
        <f t="shared" si="99"/>
        <v>0.04, (0, 0.08)</v>
      </c>
      <c r="AG155" s="78">
        <f t="shared" si="100"/>
        <v>25.496592829596889</v>
      </c>
      <c r="AH155" s="78">
        <f t="shared" si="101"/>
        <v>2.0408163265306169E-2</v>
      </c>
      <c r="AI155" s="78">
        <f t="shared" si="102"/>
        <v>1.6335246463987127E-5</v>
      </c>
      <c r="AJ155" s="85">
        <f t="shared" si="103"/>
        <v>6</v>
      </c>
    </row>
    <row r="156" spans="1:36" ht="12.95" customHeight="1" x14ac:dyDescent="0.25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0.03</v>
      </c>
      <c r="H156" s="15">
        <v>0.02</v>
      </c>
      <c r="I156" s="14" t="s">
        <v>49</v>
      </c>
      <c r="J156" s="12"/>
      <c r="K156" s="15"/>
      <c r="L156" s="14"/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14">G136</f>
        <v>-0.02</v>
      </c>
      <c r="T156" s="2">
        <v>30</v>
      </c>
      <c r="U156" s="102">
        <f>W156/G136*H136</f>
        <v>5.0006668267124056E-2</v>
      </c>
      <c r="W156" s="74">
        <f t="shared" ref="W156:W171" si="115">0.5*LN((1+S156)/(1-S156))</f>
        <v>-2.0002667306849624E-2</v>
      </c>
      <c r="X156" s="74">
        <f t="shared" ref="X156:X171" si="116">S156-(EXP(2*Z156)-1)/(EXP(2*Z156)+1)</f>
        <v>9.7470875891668696E-2</v>
      </c>
      <c r="Y156" s="74">
        <f t="shared" ref="Y156:Y171" si="117">(EXP(2*AA156)-1)/(EXP(2*AA156)+1)-S156</f>
        <v>9.7852539466298627E-2</v>
      </c>
      <c r="Z156" s="74">
        <f t="shared" ref="Z156:Z171" si="118">W156-AB156</f>
        <v>-0.11801573711041277</v>
      </c>
      <c r="AA156" s="74">
        <f t="shared" ref="AA156:AA171" si="119">W156+AB156</f>
        <v>7.8010402496713538E-2</v>
      </c>
      <c r="AB156" s="74">
        <f t="shared" ref="AB156:AB171" si="120">1.96*U156</f>
        <v>9.8013069803563155E-2</v>
      </c>
      <c r="AC156" s="78">
        <f t="shared" ref="AC156:AC171" si="121">IF(W156&lt;&gt;"",ABS(W156/U156^2),"")</f>
        <v>7.9989332195316942</v>
      </c>
      <c r="AD156" s="78"/>
      <c r="AE156" s="78">
        <f t="shared" ref="AE156:AE171" si="122">U156^-2</f>
        <v>399.8933290657979</v>
      </c>
      <c r="AF156" s="79" t="str">
        <f t="shared" ref="AF156:AF171" si="123">CONCATENATE(ROUND(S156,2),", (",ROUND(-(X156-S156),2),", ",ROUND(Y156+S156,2),")")</f>
        <v>-0.02, (-0.12, 0.08)</v>
      </c>
      <c r="AG156" s="78">
        <f t="shared" ref="AG156:AG171" si="124">1/AB156</f>
        <v>10.202720943280221</v>
      </c>
      <c r="AH156" s="78">
        <f t="shared" ref="AH156:AH171" si="125">AG156*Z156</f>
        <v>-1.2040816326530612</v>
      </c>
      <c r="AI156" s="78">
        <f t="shared" ref="AI156:AI171" si="126">Z156^2*AG156</f>
        <v>0.14210058141866028</v>
      </c>
      <c r="AJ156" s="85">
        <f t="shared" si="103"/>
        <v>3</v>
      </c>
    </row>
    <row r="157" spans="1:36" ht="12.95" customHeight="1" x14ac:dyDescent="0.25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9">
        <v>0.04</v>
      </c>
      <c r="H157" s="111">
        <v>0.02</v>
      </c>
      <c r="I157" s="14" t="s">
        <v>180</v>
      </c>
      <c r="J157" s="19"/>
      <c r="K157" s="18"/>
      <c r="L157" s="20"/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14"/>
        <v>-0.04</v>
      </c>
      <c r="T157" s="74">
        <v>29</v>
      </c>
      <c r="U157" s="102">
        <f>W157/G137*H137</f>
        <v>3.0016015377576182E-2</v>
      </c>
      <c r="W157" s="74">
        <f t="shared" si="115"/>
        <v>-4.0021353836768248E-2</v>
      </c>
      <c r="X157" s="74">
        <f t="shared" si="116"/>
        <v>5.8532005713506564E-2</v>
      </c>
      <c r="Y157" s="74">
        <f t="shared" si="117"/>
        <v>5.880781817741354E-2</v>
      </c>
      <c r="Z157" s="74">
        <f t="shared" si="118"/>
        <v>-9.8852743976817564E-2</v>
      </c>
      <c r="AA157" s="74">
        <f t="shared" si="119"/>
        <v>1.8810036303281069E-2</v>
      </c>
      <c r="AB157" s="74">
        <f t="shared" si="120"/>
        <v>5.8831390140049317E-2</v>
      </c>
      <c r="AC157" s="78">
        <f t="shared" si="121"/>
        <v>44.420730618675513</v>
      </c>
      <c r="AD157" s="78"/>
      <c r="AE157" s="78">
        <f t="shared" si="122"/>
        <v>1109.9257361420266</v>
      </c>
      <c r="AF157" s="79" t="str">
        <f t="shared" si="123"/>
        <v>-0.04, (-0.1, 0.02)</v>
      </c>
      <c r="AG157" s="78">
        <f t="shared" si="124"/>
        <v>16.997728553064608</v>
      </c>
      <c r="AH157" s="78">
        <f t="shared" si="125"/>
        <v>-1.6802721088435373</v>
      </c>
      <c r="AI157" s="78">
        <f t="shared" si="126"/>
        <v>0.16609950858689751</v>
      </c>
      <c r="AJ157" s="85">
        <f t="shared" si="103"/>
        <v>4</v>
      </c>
    </row>
    <row r="158" spans="1:36" ht="12.95" customHeight="1" x14ac:dyDescent="0.25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9.9999999999999995E-8</v>
      </c>
      <c r="H158" s="15">
        <v>0.05</v>
      </c>
      <c r="I158" s="14" t="s">
        <v>35</v>
      </c>
      <c r="J158" s="12"/>
      <c r="K158" s="15"/>
      <c r="L158" s="14"/>
      <c r="M158" s="12"/>
      <c r="N158" s="16"/>
      <c r="O158" s="14"/>
      <c r="Q158" s="2" t="str">
        <f>CONCATENATE(B138,"_",E138,"_",D138,"_",C138)</f>
        <v>MAP_Men_Bstory_Im_FEV1</v>
      </c>
      <c r="S158" s="75">
        <f t="shared" si="114"/>
        <v>-0.05</v>
      </c>
      <c r="T158" s="2">
        <v>28</v>
      </c>
      <c r="U158" s="102">
        <f>W158/G138*H138</f>
        <v>5.004172927849132E-2</v>
      </c>
      <c r="W158" s="74">
        <f t="shared" si="115"/>
        <v>-5.0041729278491327E-2</v>
      </c>
      <c r="X158" s="74">
        <f t="shared" si="116"/>
        <v>9.7049637167590977E-2</v>
      </c>
      <c r="Y158" s="74">
        <f t="shared" si="117"/>
        <v>9.8003137815842772E-2</v>
      </c>
      <c r="Z158" s="74">
        <f t="shared" si="118"/>
        <v>-0.14812351866433432</v>
      </c>
      <c r="AA158" s="74">
        <f t="shared" si="119"/>
        <v>4.8040060107351658E-2</v>
      </c>
      <c r="AB158" s="74">
        <f t="shared" si="120"/>
        <v>9.8081789385842985E-2</v>
      </c>
      <c r="AC158" s="78">
        <f t="shared" si="121"/>
        <v>19.983322207648307</v>
      </c>
      <c r="AD158" s="78"/>
      <c r="AE158" s="78">
        <f t="shared" si="122"/>
        <v>399.33316645468994</v>
      </c>
      <c r="AF158" s="79" t="str">
        <f t="shared" si="123"/>
        <v>-0.05, (-0.15, 0.05)</v>
      </c>
      <c r="AG158" s="78">
        <f t="shared" si="124"/>
        <v>10.195572554922604</v>
      </c>
      <c r="AH158" s="78">
        <f t="shared" si="125"/>
        <v>-1.5102040816326532</v>
      </c>
      <c r="AI158" s="78">
        <f t="shared" si="126"/>
        <v>0.22369674247266816</v>
      </c>
      <c r="AJ158" s="85">
        <f t="shared" si="103"/>
        <v>3</v>
      </c>
    </row>
    <row r="159" spans="1:36" ht="12.95" customHeight="1" x14ac:dyDescent="0.25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9">
        <v>0.02</v>
      </c>
      <c r="H159" s="111">
        <v>0.03</v>
      </c>
      <c r="I159" s="14" t="s">
        <v>143</v>
      </c>
      <c r="J159" s="19"/>
      <c r="K159" s="18"/>
      <c r="L159" s="20"/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14"/>
        <v>-0.03</v>
      </c>
      <c r="T159" s="74">
        <v>27</v>
      </c>
      <c r="U159" s="102">
        <f>W159/G139*H139</f>
        <v>3.000900486312652E-2</v>
      </c>
      <c r="W159" s="74">
        <f t="shared" si="115"/>
        <v>-3.000900486312652E-2</v>
      </c>
      <c r="X159" s="74">
        <f t="shared" si="116"/>
        <v>5.8593770097622663E-2</v>
      </c>
      <c r="Y159" s="74">
        <f t="shared" si="117"/>
        <v>5.880067751710133E-2</v>
      </c>
      <c r="Z159" s="74">
        <f t="shared" si="118"/>
        <v>-8.8826654394854501E-2</v>
      </c>
      <c r="AA159" s="74">
        <f t="shared" si="119"/>
        <v>2.880864466860146E-2</v>
      </c>
      <c r="AB159" s="74">
        <f t="shared" si="120"/>
        <v>5.8817649531727981E-2</v>
      </c>
      <c r="AC159" s="78">
        <f t="shared" si="121"/>
        <v>33.323330932201195</v>
      </c>
      <c r="AD159" s="78"/>
      <c r="AE159" s="78">
        <f t="shared" si="122"/>
        <v>1110.4443844169969</v>
      </c>
      <c r="AF159" s="79" t="str">
        <f t="shared" si="123"/>
        <v>-0.03, (-0.09, 0.03)</v>
      </c>
      <c r="AG159" s="78">
        <f t="shared" si="124"/>
        <v>17.00169945520469</v>
      </c>
      <c r="AH159" s="78">
        <f t="shared" si="125"/>
        <v>-1.5102040816326532</v>
      </c>
      <c r="AI159" s="78">
        <f t="shared" si="126"/>
        <v>0.1341463760248823</v>
      </c>
      <c r="AJ159" s="85">
        <f t="shared" si="103"/>
        <v>4</v>
      </c>
    </row>
    <row r="160" spans="1:36" ht="12.95" customHeight="1" x14ac:dyDescent="0.25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0.02</v>
      </c>
      <c r="H160" s="15">
        <v>0.03</v>
      </c>
      <c r="I160" s="14" t="s">
        <v>181</v>
      </c>
      <c r="J160" s="12"/>
      <c r="K160" s="15"/>
      <c r="L160" s="14"/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-0.01</v>
      </c>
      <c r="T160" s="2">
        <v>26</v>
      </c>
      <c r="U160" s="102">
        <f>W160/G142*H142</f>
        <v>4.0001333413339085E-2</v>
      </c>
      <c r="W160" s="74">
        <f t="shared" si="115"/>
        <v>-1.0000333353334771E-2</v>
      </c>
      <c r="X160" s="74">
        <f t="shared" si="116"/>
        <v>7.8173372410179465E-2</v>
      </c>
      <c r="Y160" s="74">
        <f t="shared" si="117"/>
        <v>7.8295797583549792E-2</v>
      </c>
      <c r="Z160" s="74">
        <f t="shared" si="118"/>
        <v>-8.840294684347938E-2</v>
      </c>
      <c r="AA160" s="74">
        <f t="shared" si="119"/>
        <v>6.8402280136809823E-2</v>
      </c>
      <c r="AB160" s="74">
        <f t="shared" si="120"/>
        <v>7.8402613490144601E-2</v>
      </c>
      <c r="AC160" s="78">
        <f t="shared" si="121"/>
        <v>6.2497916611108142</v>
      </c>
      <c r="AD160" s="78"/>
      <c r="AE160" s="78">
        <f t="shared" si="122"/>
        <v>624.95833291664439</v>
      </c>
      <c r="AF160" s="79" t="str">
        <f t="shared" si="123"/>
        <v>-0.01, (-0.09, 0.07)</v>
      </c>
      <c r="AG160" s="78">
        <f t="shared" si="124"/>
        <v>12.754676859409827</v>
      </c>
      <c r="AH160" s="78">
        <f t="shared" si="125"/>
        <v>-1.1275510204081634</v>
      </c>
      <c r="AI160" s="78">
        <f t="shared" si="126"/>
        <v>9.9678832920453805E-2</v>
      </c>
      <c r="AJ160" s="85">
        <f t="shared" si="103"/>
        <v>3</v>
      </c>
    </row>
    <row r="161" spans="1:42" ht="12.95" customHeight="1" x14ac:dyDescent="0.25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0.03</v>
      </c>
      <c r="H161" s="15">
        <v>0.08</v>
      </c>
      <c r="I161" s="14" t="s">
        <v>124</v>
      </c>
      <c r="J161" s="12"/>
      <c r="K161" s="15"/>
      <c r="L161" s="14"/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0.01</v>
      </c>
      <c r="T161" s="74">
        <v>25</v>
      </c>
      <c r="U161" s="102">
        <f>W161/G143*H143</f>
        <v>3.0001000060004154E-2</v>
      </c>
      <c r="W161" s="74">
        <f t="shared" si="115"/>
        <v>1.0000333353334718E-2</v>
      </c>
      <c r="X161" s="74">
        <f t="shared" si="116"/>
        <v>5.8762921671019042E-2</v>
      </c>
      <c r="Y161" s="74">
        <f t="shared" si="117"/>
        <v>5.8693934231079235E-2</v>
      </c>
      <c r="Z161" s="74">
        <f t="shared" si="118"/>
        <v>-4.8801626764273423E-2</v>
      </c>
      <c r="AA161" s="74">
        <f t="shared" si="119"/>
        <v>6.8802293470942855E-2</v>
      </c>
      <c r="AB161" s="74">
        <f t="shared" si="120"/>
        <v>5.8801960117608139E-2</v>
      </c>
      <c r="AC161" s="78">
        <f t="shared" si="121"/>
        <v>11.110740730863728</v>
      </c>
      <c r="AD161" s="78"/>
      <c r="AE161" s="78">
        <f t="shared" si="122"/>
        <v>1111.0370362962683</v>
      </c>
      <c r="AF161" s="79" t="str">
        <f t="shared" si="123"/>
        <v>0.01, (-0.05, 0.07)</v>
      </c>
      <c r="AG161" s="78">
        <f t="shared" si="124"/>
        <v>17.006235812546524</v>
      </c>
      <c r="AH161" s="78">
        <f t="shared" si="125"/>
        <v>-0.82993197278911568</v>
      </c>
      <c r="AI161" s="78">
        <f t="shared" si="126"/>
        <v>4.0502030375791552E-2</v>
      </c>
      <c r="AJ161" s="85">
        <f t="shared" si="103"/>
        <v>4</v>
      </c>
    </row>
    <row r="162" spans="1:42" ht="12.95" customHeight="1" x14ac:dyDescent="0.25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9">
        <v>-0.04</v>
      </c>
      <c r="H162" s="111">
        <v>0.05</v>
      </c>
      <c r="I162" s="14" t="s">
        <v>161</v>
      </c>
      <c r="J162" s="19"/>
      <c r="K162" s="18"/>
      <c r="L162" s="20"/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-0.01</v>
      </c>
      <c r="T162" s="2">
        <v>24</v>
      </c>
      <c r="U162" s="102">
        <f>W162/G144*H144</f>
        <v>4.0001333413339085E-2</v>
      </c>
      <c r="W162" s="74">
        <f t="shared" si="115"/>
        <v>-1.0000333353334771E-2</v>
      </c>
      <c r="X162" s="74">
        <f t="shared" si="116"/>
        <v>7.8173372410179465E-2</v>
      </c>
      <c r="Y162" s="74">
        <f t="shared" si="117"/>
        <v>7.8295797583549792E-2</v>
      </c>
      <c r="Z162" s="74">
        <f t="shared" si="118"/>
        <v>-8.840294684347938E-2</v>
      </c>
      <c r="AA162" s="74">
        <f t="shared" si="119"/>
        <v>6.8402280136809823E-2</v>
      </c>
      <c r="AB162" s="74">
        <f t="shared" si="120"/>
        <v>7.8402613490144601E-2</v>
      </c>
      <c r="AC162" s="78">
        <f t="shared" si="121"/>
        <v>6.2497916611108142</v>
      </c>
      <c r="AD162" s="78"/>
      <c r="AE162" s="78">
        <f t="shared" si="122"/>
        <v>624.95833291664439</v>
      </c>
      <c r="AF162" s="79" t="str">
        <f t="shared" si="123"/>
        <v>-0.01, (-0.09, 0.07)</v>
      </c>
      <c r="AG162" s="78">
        <f t="shared" si="124"/>
        <v>12.754676859409827</v>
      </c>
      <c r="AH162" s="78">
        <f t="shared" si="125"/>
        <v>-1.1275510204081634</v>
      </c>
      <c r="AI162" s="78">
        <f t="shared" si="126"/>
        <v>9.9678832920453805E-2</v>
      </c>
      <c r="AJ162" s="85">
        <f t="shared" si="103"/>
        <v>3</v>
      </c>
    </row>
    <row r="163" spans="1:42" ht="12.95" customHeight="1" x14ac:dyDescent="0.25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0.05</v>
      </c>
      <c r="H163" s="15">
        <v>0.02</v>
      </c>
      <c r="I163" s="14" t="s">
        <v>15</v>
      </c>
      <c r="J163" s="12"/>
      <c r="K163" s="15"/>
      <c r="L163" s="14"/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9.9999999999999995E-8</v>
      </c>
      <c r="T163" s="74">
        <v>23</v>
      </c>
      <c r="U163" s="102">
        <f>W163/G145*H145</f>
        <v>3.0000000015117979E-2</v>
      </c>
      <c r="W163" s="74">
        <f t="shared" si="115"/>
        <v>1.0000000005039327E-7</v>
      </c>
      <c r="X163" s="74">
        <f t="shared" si="116"/>
        <v>5.873232813801528E-2</v>
      </c>
      <c r="Y163" s="74">
        <f t="shared" si="117"/>
        <v>5.8732327448118168E-2</v>
      </c>
      <c r="Z163" s="74">
        <f t="shared" si="118"/>
        <v>-5.8799900029631189E-2</v>
      </c>
      <c r="AA163" s="74">
        <f t="shared" si="119"/>
        <v>5.8800100029631291E-2</v>
      </c>
      <c r="AB163" s="74">
        <f t="shared" si="120"/>
        <v>5.880000002963124E-2</v>
      </c>
      <c r="AC163" s="78">
        <f t="shared" si="121"/>
        <v>1.1111111105511861E-4</v>
      </c>
      <c r="AD163" s="78"/>
      <c r="AE163" s="78">
        <f t="shared" si="122"/>
        <v>1111.1111099912607</v>
      </c>
      <c r="AF163" s="79" t="str">
        <f t="shared" si="123"/>
        <v>0, (-0.06, 0.06)</v>
      </c>
      <c r="AG163" s="78">
        <f t="shared" si="124"/>
        <v>17.006802712518152</v>
      </c>
      <c r="AH163" s="78">
        <f t="shared" si="125"/>
        <v>-0.99999829931972783</v>
      </c>
      <c r="AI163" s="78">
        <f t="shared" si="126"/>
        <v>5.8799800029801202E-2</v>
      </c>
      <c r="AJ163" s="85">
        <f t="shared" si="103"/>
        <v>4</v>
      </c>
    </row>
    <row r="164" spans="1:42" ht="12.95" customHeight="1" x14ac:dyDescent="0.25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9">
        <v>0.02</v>
      </c>
      <c r="H164" s="111">
        <v>0.02</v>
      </c>
      <c r="I164" s="14" t="s">
        <v>49</v>
      </c>
      <c r="J164" s="19"/>
      <c r="K164" s="18"/>
      <c r="L164" s="20"/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9.9999999999999995E-8</v>
      </c>
      <c r="T164" s="2">
        <v>22</v>
      </c>
      <c r="U164" s="102">
        <f>W164/G158*H158</f>
        <v>5.0000000025196639E-2</v>
      </c>
      <c r="W164" s="74">
        <f>0.5*LN((1+S164)/(1-S164))</f>
        <v>1.0000000005039327E-7</v>
      </c>
      <c r="X164" s="74">
        <f>S164-(EXP(2*Z164)-1)/(EXP(2*Z164)+1)</f>
        <v>9.7687470897300691E-2</v>
      </c>
      <c r="Y164" s="74">
        <f>(EXP(2*AA164)-1)/(EXP(2*AA164)+1)-S164</f>
        <v>9.7687468988732484E-2</v>
      </c>
      <c r="Z164" s="74">
        <f>W164-AB164</f>
        <v>-9.7999900049385372E-2</v>
      </c>
      <c r="AA164" s="74">
        <f>W164+AB164</f>
        <v>9.8000100049385461E-2</v>
      </c>
      <c r="AB164" s="74">
        <f>1.96*U164</f>
        <v>9.8000000049385416E-2</v>
      </c>
      <c r="AC164" s="78">
        <f>IF(W164&lt;&gt;"",ABS(W164/U164^2),"")</f>
        <v>3.9999999979842686E-5</v>
      </c>
      <c r="AD164" s="78"/>
      <c r="AE164" s="78">
        <f>U164^-2</f>
        <v>399.9999995968538</v>
      </c>
      <c r="AF164" s="79" t="str">
        <f>CONCATENATE(ROUND(S164,2),", (",ROUND(-(X164-S164),2),", ",ROUND(Y164+S164,2),")")</f>
        <v>0, (-0.1, 0.1)</v>
      </c>
      <c r="AG164" s="78">
        <f>1/AB164</f>
        <v>10.20408162751089</v>
      </c>
      <c r="AH164" s="78">
        <f>AG164*Z164</f>
        <v>-0.99999897959183681</v>
      </c>
      <c r="AI164" s="78">
        <f>Z164^2*AG164</f>
        <v>9.7999800049487371E-2</v>
      </c>
      <c r="AJ164" s="85">
        <f t="shared" si="103"/>
        <v>3</v>
      </c>
    </row>
    <row r="165" spans="1:42" ht="12.95" customHeight="1" x14ac:dyDescent="0.25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0.04</v>
      </c>
      <c r="H165" s="15">
        <v>0.02</v>
      </c>
      <c r="I165" s="14" t="s">
        <v>70</v>
      </c>
      <c r="J165" s="12"/>
      <c r="K165" s="15"/>
      <c r="L165" s="14"/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0.02</v>
      </c>
      <c r="T165" s="74">
        <v>21</v>
      </c>
      <c r="U165" s="102">
        <f>W165/G159*H159</f>
        <v>3.0004000960274405E-2</v>
      </c>
      <c r="W165" s="74">
        <f>0.5*LN((1+S165)/(1-S165))</f>
        <v>2.0002667306849603E-2</v>
      </c>
      <c r="X165" s="74">
        <f>S165-(EXP(2*Z165)-1)/(EXP(2*Z165)+1)</f>
        <v>5.8785708152158944E-2</v>
      </c>
      <c r="Y165" s="74">
        <f>(EXP(2*AA165)-1)/(EXP(2*AA165)+1)-S165</f>
        <v>5.8647746994152566E-2</v>
      </c>
      <c r="Z165" s="74">
        <f>W165-AB165</f>
        <v>-3.8805174575288232E-2</v>
      </c>
      <c r="AA165" s="74">
        <f>W165+AB165</f>
        <v>7.8810509188987438E-2</v>
      </c>
      <c r="AB165" s="74">
        <f>1.96*U165</f>
        <v>5.8807841882137835E-2</v>
      </c>
      <c r="AC165" s="78">
        <f>IF(W165&lt;&gt;"",ABS(W165/U165^2),"")</f>
        <v>22.219258943143615</v>
      </c>
      <c r="AD165" s="78"/>
      <c r="AE165" s="78">
        <f>U165^-2</f>
        <v>1110.8148029605518</v>
      </c>
      <c r="AF165" s="79" t="str">
        <f>CONCATENATE(ROUND(S165,2),", (",ROUND(-(X165-S165),2),", ",ROUND(Y165+S165,2),")")</f>
        <v>0.02, (-0.04, 0.08)</v>
      </c>
      <c r="AG165" s="78">
        <f>1/AB165</f>
        <v>17.00453490546705</v>
      </c>
      <c r="AH165" s="78">
        <f>AG165*Z165</f>
        <v>-0.65986394557823125</v>
      </c>
      <c r="AI165" s="78">
        <f>Z165^2*AG165</f>
        <v>2.5606135604101757E-2</v>
      </c>
      <c r="AJ165" s="85">
        <f t="shared" si="103"/>
        <v>4</v>
      </c>
    </row>
    <row r="166" spans="1:42" ht="12.95" customHeight="1" x14ac:dyDescent="0.25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9">
        <v>0.04</v>
      </c>
      <c r="H166" s="111">
        <v>0.02</v>
      </c>
      <c r="I166" s="14" t="s">
        <v>65</v>
      </c>
      <c r="J166" s="19"/>
      <c r="K166" s="18"/>
      <c r="L166" s="20"/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0.1</v>
      </c>
      <c r="T166" s="2">
        <v>20</v>
      </c>
      <c r="U166" s="102">
        <f>W166/G169*H169</f>
        <v>5.0167673865537811E-2</v>
      </c>
      <c r="W166" s="74">
        <f t="shared" si="115"/>
        <v>0.10033534773107562</v>
      </c>
      <c r="X166" s="74">
        <f t="shared" si="116"/>
        <v>9.799329573895868E-2</v>
      </c>
      <c r="Y166" s="74">
        <f t="shared" si="117"/>
        <v>9.6091017854024047E-2</v>
      </c>
      <c r="Z166" s="74">
        <f t="shared" si="118"/>
        <v>2.0067069546215177E-3</v>
      </c>
      <c r="AA166" s="74">
        <f t="shared" si="119"/>
        <v>0.19866398850752973</v>
      </c>
      <c r="AB166" s="74">
        <f t="shared" si="120"/>
        <v>9.8328640776454104E-2</v>
      </c>
      <c r="AC166" s="78">
        <f t="shared" si="121"/>
        <v>39.866309236511761</v>
      </c>
      <c r="AD166" s="78"/>
      <c r="AE166" s="78">
        <f t="shared" si="122"/>
        <v>397.33065303529582</v>
      </c>
      <c r="AF166" s="79" t="str">
        <f t="shared" si="123"/>
        <v>0.1, (0, 0.2)</v>
      </c>
      <c r="AG166" s="78">
        <f t="shared" si="124"/>
        <v>10.16997684604892</v>
      </c>
      <c r="AH166" s="78">
        <f t="shared" si="125"/>
        <v>2.0408163265306176E-2</v>
      </c>
      <c r="AI166" s="78">
        <f t="shared" si="126"/>
        <v>4.0953203155541285E-5</v>
      </c>
      <c r="AJ166" s="85">
        <f t="shared" si="103"/>
        <v>3</v>
      </c>
    </row>
    <row r="167" spans="1:42" ht="12.95" customHeight="1" x14ac:dyDescent="0.25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</v>
      </c>
      <c r="H167" s="15">
        <v>0.03</v>
      </c>
      <c r="I167" s="14" t="s">
        <v>27</v>
      </c>
      <c r="J167" s="12"/>
      <c r="K167" s="15"/>
      <c r="L167" s="14"/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0.03</v>
      </c>
      <c r="T167" s="74">
        <v>19</v>
      </c>
      <c r="U167" s="102">
        <f>W167/G170*H170</f>
        <v>3.0009004863126472E-2</v>
      </c>
      <c r="W167" s="74">
        <f t="shared" si="115"/>
        <v>3.0009004863126475E-2</v>
      </c>
      <c r="X167" s="74">
        <f t="shared" si="116"/>
        <v>5.8800677517101309E-2</v>
      </c>
      <c r="Y167" s="74">
        <f t="shared" si="117"/>
        <v>5.8593770097622483E-2</v>
      </c>
      <c r="Z167" s="74">
        <f t="shared" si="118"/>
        <v>-2.8808644668601408E-2</v>
      </c>
      <c r="AA167" s="74">
        <f t="shared" si="119"/>
        <v>8.8826654394854362E-2</v>
      </c>
      <c r="AB167" s="74">
        <f t="shared" si="120"/>
        <v>5.8817649531727884E-2</v>
      </c>
      <c r="AC167" s="78">
        <f t="shared" si="121"/>
        <v>33.323330932201252</v>
      </c>
      <c r="AD167" s="78"/>
      <c r="AE167" s="78">
        <f t="shared" si="122"/>
        <v>1110.4443844170005</v>
      </c>
      <c r="AF167" s="79" t="str">
        <f t="shared" si="123"/>
        <v>0.03, (-0.03, 0.09)</v>
      </c>
      <c r="AG167" s="78">
        <f t="shared" si="124"/>
        <v>17.001699455204719</v>
      </c>
      <c r="AH167" s="78">
        <f t="shared" si="125"/>
        <v>-0.48979591836734687</v>
      </c>
      <c r="AI167" s="78">
        <f t="shared" si="126"/>
        <v>1.4110356572376198E-2</v>
      </c>
      <c r="AJ167" s="85">
        <f t="shared" si="103"/>
        <v>4</v>
      </c>
    </row>
    <row r="168" spans="1:42" ht="12.95" customHeight="1" x14ac:dyDescent="0.25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9">
        <v>0.14000000000000001</v>
      </c>
      <c r="H168" s="111">
        <v>0.02</v>
      </c>
      <c r="I168" s="14" t="s">
        <v>27</v>
      </c>
      <c r="J168" s="19"/>
      <c r="K168" s="18"/>
      <c r="L168" s="20"/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0.06</v>
      </c>
      <c r="T168" s="2">
        <v>18</v>
      </c>
      <c r="U168" s="102">
        <f>W168/G172*H172</f>
        <v>5.0060129934193093E-2</v>
      </c>
      <c r="W168" s="74">
        <f>0.5*LN((1+S168)/(1-S168))</f>
        <v>6.0072155921031704E-2</v>
      </c>
      <c r="X168" s="74">
        <f>S168-(EXP(2*Z168)-1)/(EXP(2*Z168)+1)</f>
        <v>9.8027352637079124E-2</v>
      </c>
      <c r="Y168" s="74">
        <f>(EXP(2*AA168)-1)/(EXP(2*AA168)+1)-S168</f>
        <v>9.6883566264345522E-2</v>
      </c>
      <c r="Z168" s="74">
        <f>W168-AB168</f>
        <v>-3.8045698749986749E-2</v>
      </c>
      <c r="AA168" s="74">
        <f>W168+AB168</f>
        <v>0.15819001059205015</v>
      </c>
      <c r="AB168" s="74">
        <f>1.96*U168</f>
        <v>9.8117854671018453E-2</v>
      </c>
      <c r="AC168" s="78">
        <f>IF(W168&lt;&gt;"",ABS(W168/U168^2),"")</f>
        <v>23.971172299741699</v>
      </c>
      <c r="AD168" s="78"/>
      <c r="AE168" s="78">
        <f>U168^-2</f>
        <v>399.0396537666</v>
      </c>
      <c r="AF168" s="79" t="str">
        <f>CONCATENATE(ROUND(S168,2),", (",ROUND(-(X168-S168),2),", ",ROUND(Y168+S168,2),")")</f>
        <v>0.06, (-0.04, 0.16)</v>
      </c>
      <c r="AG168" s="78">
        <f>1/AB168</f>
        <v>10.191824957373175</v>
      </c>
      <c r="AH168" s="78">
        <f>AG168*Z168</f>
        <v>-0.38775510204081637</v>
      </c>
      <c r="AI168" s="78">
        <f>Z168^2*AG168</f>
        <v>1.475241380101527E-2</v>
      </c>
      <c r="AJ168" s="85">
        <f t="shared" si="103"/>
        <v>3</v>
      </c>
    </row>
    <row r="169" spans="1:42" ht="12.95" customHeight="1" x14ac:dyDescent="0.25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0.1</v>
      </c>
      <c r="H169" s="15">
        <v>0.05</v>
      </c>
      <c r="I169" s="14" t="s">
        <v>65</v>
      </c>
      <c r="J169" s="12"/>
      <c r="K169" s="15"/>
      <c r="L169" s="14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9.9999999999999995E-8</v>
      </c>
      <c r="T169" s="74">
        <v>17</v>
      </c>
      <c r="U169" s="102">
        <f>W169/G173*H173</f>
        <v>3.0000000015117979E-2</v>
      </c>
      <c r="W169" s="74">
        <f>0.5*LN((1+S169)/(1-S169))</f>
        <v>1.0000000005039327E-7</v>
      </c>
      <c r="X169" s="74">
        <f>S169-(EXP(2*Z169)-1)/(EXP(2*Z169)+1)</f>
        <v>5.873232813801528E-2</v>
      </c>
      <c r="Y169" s="74">
        <f>(EXP(2*AA169)-1)/(EXP(2*AA169)+1)-S169</f>
        <v>5.8732327448118168E-2</v>
      </c>
      <c r="Z169" s="74">
        <f>W169-AB169</f>
        <v>-5.8799900029631189E-2</v>
      </c>
      <c r="AA169" s="74">
        <f>W169+AB169</f>
        <v>5.8800100029631291E-2</v>
      </c>
      <c r="AB169" s="74">
        <f>1.96*U169</f>
        <v>5.880000002963124E-2</v>
      </c>
      <c r="AC169" s="78">
        <f>IF(W169&lt;&gt;"",ABS(W169/U169^2),"")</f>
        <v>1.1111111105511861E-4</v>
      </c>
      <c r="AD169" s="78"/>
      <c r="AE169" s="78">
        <f>U169^-2</f>
        <v>1111.1111099912607</v>
      </c>
      <c r="AF169" s="79" t="str">
        <f>CONCATENATE(ROUND(S169,2),", (",ROUND(-(X169-S169),2),", ",ROUND(Y169+S169,2),")")</f>
        <v>0, (-0.06, 0.06)</v>
      </c>
      <c r="AG169" s="78">
        <f>1/AB169</f>
        <v>17.006802712518152</v>
      </c>
      <c r="AH169" s="78">
        <f>AG169*Z169</f>
        <v>-0.99999829931972783</v>
      </c>
      <c r="AI169" s="78">
        <f>Z169^2*AG169</f>
        <v>5.8799800029801202E-2</v>
      </c>
      <c r="AJ169" s="85">
        <f t="shared" si="103"/>
        <v>4</v>
      </c>
    </row>
    <row r="170" spans="1:42" ht="12.95" customHeight="1" x14ac:dyDescent="0.25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9">
        <v>0.03</v>
      </c>
      <c r="H170" s="111">
        <v>0.03</v>
      </c>
      <c r="I170" s="14" t="s">
        <v>151</v>
      </c>
      <c r="J170" s="19"/>
      <c r="K170" s="18"/>
      <c r="L170" s="20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0.02</v>
      </c>
      <c r="T170" s="2">
        <v>16</v>
      </c>
      <c r="U170" s="102">
        <f>W170/G160*H160</f>
        <v>3.0004000960274405E-2</v>
      </c>
      <c r="W170" s="74">
        <f>0.5*LN((1+S170)/(1-S170))</f>
        <v>2.0002667306849603E-2</v>
      </c>
      <c r="X170" s="74">
        <f>S170-(EXP(2*Z170)-1)/(EXP(2*Z170)+1)</f>
        <v>5.8785708152158944E-2</v>
      </c>
      <c r="Y170" s="74">
        <f>(EXP(2*AA170)-1)/(EXP(2*AA170)+1)-S170</f>
        <v>5.8647746994152566E-2</v>
      </c>
      <c r="Z170" s="74">
        <f>W170-AB170</f>
        <v>-3.8805174575288232E-2</v>
      </c>
      <c r="AA170" s="74">
        <f>W170+AB170</f>
        <v>7.8810509188987438E-2</v>
      </c>
      <c r="AB170" s="74">
        <f>1.96*U170</f>
        <v>5.8807841882137835E-2</v>
      </c>
      <c r="AC170" s="78">
        <f>IF(W170&lt;&gt;"",ABS(W170/U170^2),"")</f>
        <v>22.219258943143615</v>
      </c>
      <c r="AD170" s="78"/>
      <c r="AE170" s="78">
        <f>U170^-2</f>
        <v>1110.8148029605518</v>
      </c>
      <c r="AF170" s="79" t="str">
        <f>CONCATENATE(ROUND(S170,2),", (",ROUND(-(X170-S170),2),", ",ROUND(Y170+S170,2),")")</f>
        <v>0.02, (-0.04, 0.08)</v>
      </c>
      <c r="AG170" s="78">
        <f>1/AB170</f>
        <v>17.00453490546705</v>
      </c>
      <c r="AH170" s="78">
        <f>AG170*Z170</f>
        <v>-0.65986394557823125</v>
      </c>
      <c r="AI170" s="78">
        <f>Z170^2*AG170</f>
        <v>2.5606135604101757E-2</v>
      </c>
      <c r="AJ170" s="85">
        <f t="shared" si="103"/>
        <v>4</v>
      </c>
    </row>
    <row r="171" spans="1:42" ht="12.95" customHeight="1" x14ac:dyDescent="0.25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-0.03</v>
      </c>
      <c r="H171" s="26">
        <v>0.03</v>
      </c>
      <c r="I171" s="25" t="s">
        <v>83</v>
      </c>
      <c r="J171" s="23"/>
      <c r="K171" s="26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-0.03</v>
      </c>
      <c r="T171" s="74">
        <v>15</v>
      </c>
      <c r="U171" s="102">
        <f>W171/G171*H171</f>
        <v>3.000900486312652E-2</v>
      </c>
      <c r="W171" s="74">
        <f t="shared" si="115"/>
        <v>-3.000900486312652E-2</v>
      </c>
      <c r="X171" s="74">
        <f t="shared" si="116"/>
        <v>5.8593770097622663E-2</v>
      </c>
      <c r="Y171" s="74">
        <f t="shared" si="117"/>
        <v>5.880067751710133E-2</v>
      </c>
      <c r="Z171" s="74">
        <f t="shared" si="118"/>
        <v>-8.8826654394854501E-2</v>
      </c>
      <c r="AA171" s="74">
        <f t="shared" si="119"/>
        <v>2.880864466860146E-2</v>
      </c>
      <c r="AB171" s="74">
        <f t="shared" si="120"/>
        <v>5.8817649531727981E-2</v>
      </c>
      <c r="AC171" s="78">
        <f t="shared" si="121"/>
        <v>33.323330932201195</v>
      </c>
      <c r="AD171" s="78"/>
      <c r="AE171" s="78">
        <f t="shared" si="122"/>
        <v>1110.4443844169969</v>
      </c>
      <c r="AF171" s="79" t="str">
        <f t="shared" si="123"/>
        <v>-0.03, (-0.09, 0.03)</v>
      </c>
      <c r="AG171" s="78">
        <f t="shared" si="124"/>
        <v>17.00169945520469</v>
      </c>
      <c r="AH171" s="78">
        <f t="shared" si="125"/>
        <v>-1.5102040816326532</v>
      </c>
      <c r="AI171" s="78">
        <f t="shared" si="126"/>
        <v>0.1341463760248823</v>
      </c>
      <c r="AJ171" s="85">
        <f t="shared" si="103"/>
        <v>4</v>
      </c>
    </row>
    <row r="172" spans="1:42" ht="12.95" customHeight="1" x14ac:dyDescent="0.25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0.06</v>
      </c>
      <c r="H172" s="15">
        <v>0.05</v>
      </c>
      <c r="I172" s="14" t="s">
        <v>68</v>
      </c>
      <c r="J172" s="12"/>
      <c r="K172" s="15"/>
      <c r="L172" s="14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0.01</v>
      </c>
      <c r="T172" s="2">
        <v>14</v>
      </c>
      <c r="U172" s="102">
        <f>W172/G140*H140</f>
        <v>4.0001333413338877E-2</v>
      </c>
      <c r="W172" s="74">
        <f>0.5*LN((1+S172)/(1-S172))</f>
        <v>1.0000333353334718E-2</v>
      </c>
      <c r="X172" s="74">
        <f>S172-(EXP(2*Z172)-1)/(EXP(2*Z172)+1)</f>
        <v>7.8295797583549431E-2</v>
      </c>
      <c r="Y172" s="74">
        <f>(EXP(2*AA172)-1)/(EXP(2*AA172)+1)-S172</f>
        <v>7.8173372410179021E-2</v>
      </c>
      <c r="Z172" s="74">
        <f>W172-AB172</f>
        <v>-6.8402280136809476E-2</v>
      </c>
      <c r="AA172" s="74">
        <f>W172+AB172</f>
        <v>8.8402946843478922E-2</v>
      </c>
      <c r="AB172" s="74">
        <f>1.96*U172</f>
        <v>7.8402613490144199E-2</v>
      </c>
      <c r="AC172" s="78">
        <f>IF(W172&lt;&gt;"",ABS(W172/U172^2),"")</f>
        <v>6.2497916611108462</v>
      </c>
      <c r="AD172" s="78"/>
      <c r="AE172" s="78">
        <f>U172^-2</f>
        <v>624.95833291665087</v>
      </c>
      <c r="AF172" s="79" t="str">
        <f>CONCATENATE(ROUND(S172,2),", (",ROUND(-(X172-S172),2),", ",ROUND(Y172+S172,2),")")</f>
        <v>0.01, (-0.07, 0.09)</v>
      </c>
      <c r="AG172" s="78">
        <f>1/AB172</f>
        <v>12.754676859409891</v>
      </c>
      <c r="AH172" s="78">
        <f>AG172*Z172</f>
        <v>-0.87244897959183665</v>
      </c>
      <c r="AI172" s="78">
        <f>Z172^2*AG172</f>
        <v>5.9677499507114387E-2</v>
      </c>
      <c r="AJ172" s="85">
        <f t="shared" si="103"/>
        <v>3</v>
      </c>
    </row>
    <row r="173" spans="1:42" ht="12.95" customHeight="1" x14ac:dyDescent="0.25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12">
        <v>9.9999999999999995E-8</v>
      </c>
      <c r="H173" s="113">
        <v>0.03</v>
      </c>
      <c r="I173" s="38" t="s">
        <v>115</v>
      </c>
      <c r="J173" s="39"/>
      <c r="K173" s="37"/>
      <c r="L173" s="40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0.06</v>
      </c>
      <c r="T173" s="74">
        <v>13</v>
      </c>
      <c r="U173" s="102">
        <f>W173/G141*H141</f>
        <v>4.0048103947354467E-2</v>
      </c>
      <c r="W173" s="74">
        <f>0.5*LN((1+S173)/(1-S173))</f>
        <v>6.0072155921031704E-2</v>
      </c>
      <c r="X173" s="74">
        <f>S173-(EXP(2*Z173)-1)/(EXP(2*Z173)+1)</f>
        <v>7.8420044096707664E-2</v>
      </c>
      <c r="Y173" s="74">
        <f>(EXP(2*AA173)-1)/(EXP(2*AA173)+1)-S173</f>
        <v>7.7686342800665276E-2</v>
      </c>
      <c r="Z173" s="74">
        <f>W173-AB173</f>
        <v>-1.8422127815783056E-2</v>
      </c>
      <c r="AA173" s="74">
        <f>W173+AB173</f>
        <v>0.13856643965784646</v>
      </c>
      <c r="AB173" s="74">
        <f>1.96*U173</f>
        <v>7.849428373681476E-2</v>
      </c>
      <c r="AC173" s="78">
        <f>IF(W173&lt;&gt;"",ABS(W173/U173^2),"")</f>
        <v>37.454956718346423</v>
      </c>
      <c r="AD173" s="78"/>
      <c r="AE173" s="78">
        <f>U173^-2</f>
        <v>623.49945901031265</v>
      </c>
      <c r="AF173" s="79" t="str">
        <f>CONCATENATE(ROUND(S173,2),", (",ROUND(-(X173-S173),2),", ",ROUND(Y173+S173,2),")")</f>
        <v>0.06, (-0.02, 0.14)</v>
      </c>
      <c r="AG173" s="78">
        <f>1/AB173</f>
        <v>12.73978119671647</v>
      </c>
      <c r="AH173" s="78">
        <f>AG173*Z173</f>
        <v>-0.23469387755102042</v>
      </c>
      <c r="AI173" s="78">
        <f>Z173^2*AG173</f>
        <v>4.3235606098266351E-3</v>
      </c>
      <c r="AJ173" s="85">
        <f t="shared" si="103"/>
        <v>3</v>
      </c>
    </row>
    <row r="174" spans="1:42" ht="12.95" customHeight="1" x14ac:dyDescent="0.25">
      <c r="A174" s="22"/>
      <c r="B174" s="21"/>
      <c r="C174" s="21"/>
      <c r="D174" s="21"/>
      <c r="E174" s="21"/>
      <c r="F174" s="21"/>
      <c r="G174" s="30"/>
      <c r="H174" s="112"/>
      <c r="I174" s="25"/>
      <c r="J174" s="30"/>
      <c r="K174" s="29"/>
      <c r="L174" s="31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78"/>
      <c r="AI174" s="78"/>
      <c r="AJ174" s="85"/>
    </row>
    <row r="175" spans="1:42" ht="12.95" customHeight="1" x14ac:dyDescent="0.25">
      <c r="A175" s="22"/>
      <c r="B175" s="21"/>
      <c r="C175" s="21"/>
      <c r="D175" s="21"/>
      <c r="E175" s="21"/>
      <c r="F175" s="21"/>
      <c r="G175" s="30"/>
      <c r="H175" s="112"/>
      <c r="I175" s="25"/>
      <c r="J175" s="30"/>
      <c r="K175" s="29"/>
      <c r="L175" s="31"/>
      <c r="M175" s="30"/>
      <c r="N175" s="29"/>
      <c r="O175" s="25"/>
      <c r="Q175" s="2" t="s">
        <v>323</v>
      </c>
      <c r="S175" s="84">
        <f>(EXP(2*AD175)-1)/(EXP(2*AD175)+1)</f>
        <v>4.9522635428320479E-2</v>
      </c>
      <c r="T175" s="74">
        <v>11</v>
      </c>
      <c r="U175" s="103">
        <f>1/SQRT(AD175*AE175)</f>
        <v>3.2296232526458656E-2</v>
      </c>
      <c r="V175" s="80">
        <f>1/SQRT(AE175)</f>
        <v>7.1900422700681152E-3</v>
      </c>
      <c r="W175" s="74">
        <f>0.5*LN((1+S175)/(1-S175))</f>
        <v>4.9563179718601948E-2</v>
      </c>
      <c r="X175" s="74">
        <f>S175-(EXP(2*Z175)-1)/(EXP(2*Z175)+1)</f>
        <v>6.3259207363552297E-2</v>
      </c>
      <c r="Y175" s="74">
        <f>(EXP(2*AA175)-1)/(EXP(2*AA175)+1)-S175</f>
        <v>6.2864360761101884E-2</v>
      </c>
      <c r="Z175" s="74">
        <f>W175-AB175</f>
        <v>-1.3737436033257021E-2</v>
      </c>
      <c r="AA175" s="74">
        <f>W175+AB175</f>
        <v>0.11286379547046091</v>
      </c>
      <c r="AB175" s="74">
        <f>1.96*U175</f>
        <v>6.3300615751858968E-2</v>
      </c>
      <c r="AC175" s="78">
        <f>SUM(AC152,AC154,AC142,AC143,AC168,AC167,AC139,AC170,AC164,AC140,AC150,AC148,AC146,AC144,AC136,AC162,AC160,AC172,AC158,AC156)</f>
        <v>958.72990339837429</v>
      </c>
      <c r="AD175" s="78">
        <f>AC175/AE175</f>
        <v>4.9563179718601962E-2</v>
      </c>
      <c r="AE175" s="78">
        <f>SUM(AE152,AE154,AE142,AE143,AE168,AE167,AE139,AE170,AE164,AE140,AE150,AE148,AE146,AE144,AE136,AE162,AE160,AE172,AE158,AE156)</f>
        <v>19343.591529874051</v>
      </c>
      <c r="AF175" s="79" t="str">
        <f>CONCATENATE(ROUND(S175,2),", (",ROUND(-(X175-S175),2),", ",ROUND(Y175+S175,2),")")</f>
        <v>0.05, (-0.01, 0.11)</v>
      </c>
      <c r="AG175" s="78">
        <f>SUM(AG152,AG154,AG142,AG143,AG168,AG167,AG139,AG170,AG164,AG140,AG150,AG148,AG146,AG144,AG136,AG162,AG160,AG172,AG158,AG156)</f>
        <v>289.59934768960369</v>
      </c>
      <c r="AH175" s="78">
        <f>SUM(AH152,AH154,AH142,AH143,AH168,AH167,AH139,AH170,AH164,AH140,AH150,AH148,AH146,AH144,AH136,AH162,AH160,AH172,AH158,AH156)</f>
        <v>-10.480238694525429</v>
      </c>
      <c r="AI175" s="78">
        <f>SUM(AI152,AI154,AI142,AI143,AI168,AI167,AI139,AI170,AI164,AI140,AI150,AI148,AI146,AI144,AI136,AI162,AI160,AI172,AI158,AI156)</f>
        <v>1.761697662848305</v>
      </c>
      <c r="AJ175"/>
      <c r="AK175" s="81">
        <f>AK179-AK177</f>
        <v>20</v>
      </c>
      <c r="AL175">
        <f>CHIDIST(AI175,AK175-1)</f>
        <v>0.99999988048457356</v>
      </c>
      <c r="AM175" s="82">
        <f>IF((AI175-AK175+1)/AI175&lt;0,0,(AI175-AK175+1)/AI175)</f>
        <v>0</v>
      </c>
      <c r="AN175" s="74" t="str">
        <f>CONCATENATE(ROUND(S175,2)," (",ROUND(AO175,2),", ",ROUND(AP175,2),")")</f>
        <v>0.05 (-0.01, 0.04)</v>
      </c>
      <c r="AO175" s="77">
        <f>S175-Y175</f>
        <v>-1.3341725332781405E-2</v>
      </c>
      <c r="AP175">
        <f>S175+Z175</f>
        <v>3.5785199395063458E-2</v>
      </c>
    </row>
    <row r="176" spans="1:42" ht="12.95" customHeight="1" x14ac:dyDescent="0.25">
      <c r="A176" s="22"/>
      <c r="B176" s="21"/>
      <c r="C176" s="21"/>
      <c r="D176" s="21"/>
      <c r="E176" s="21"/>
      <c r="F176" s="21"/>
      <c r="G176" s="30"/>
      <c r="H176" s="112"/>
      <c r="I176" s="25"/>
      <c r="J176" s="30"/>
      <c r="K176" s="29"/>
      <c r="L176" s="31"/>
      <c r="M176" s="30"/>
      <c r="N176" s="29"/>
      <c r="O176" s="25"/>
      <c r="T176" s="2">
        <v>10</v>
      </c>
      <c r="U176" s="75"/>
    </row>
    <row r="177" spans="1:42" ht="12.95" customHeight="1" x14ac:dyDescent="0.25">
      <c r="A177" s="22"/>
      <c r="B177" s="21"/>
      <c r="C177" s="21"/>
      <c r="D177" s="21"/>
      <c r="E177" s="21"/>
      <c r="F177" s="21"/>
      <c r="G177" s="30"/>
      <c r="H177" s="112"/>
      <c r="I177" s="25"/>
      <c r="J177" s="30"/>
      <c r="K177" s="29"/>
      <c r="L177" s="31"/>
      <c r="M177" s="30"/>
      <c r="N177" s="29"/>
      <c r="O177" s="25"/>
      <c r="Q177" s="2" t="s">
        <v>322</v>
      </c>
      <c r="S177" s="84">
        <f>(EXP(2*AD177)-1)/(EXP(2*AD177)+1)</f>
        <v>3.0704817070936304E-2</v>
      </c>
      <c r="T177" s="74">
        <v>9</v>
      </c>
      <c r="U177" s="103">
        <f>1/SQRT(AD177*AE177)</f>
        <v>4.1851097737770682E-2</v>
      </c>
      <c r="V177" s="80">
        <f>1/SQRT(AE177)</f>
        <v>7.3346328635504228E-3</v>
      </c>
      <c r="W177" s="74">
        <f>0.5*LN((1+S177)/(1-S177))</f>
        <v>3.071447188806661E-2</v>
      </c>
      <c r="X177" s="74">
        <f>S177-(EXP(2*Z177)-1)/(EXP(2*Z177)+1)</f>
        <v>8.1973506224740339E-2</v>
      </c>
      <c r="Y177" s="74">
        <f>(EXP(2*AA177)-1)/(EXP(2*AA177)+1)-S177</f>
        <v>8.1562535977365666E-2</v>
      </c>
      <c r="Z177" s="74">
        <f>W177-AB177</f>
        <v>-5.1313679677963922E-2</v>
      </c>
      <c r="AA177" s="74">
        <f>W177+AB177</f>
        <v>0.11274262345409715</v>
      </c>
      <c r="AB177" s="74">
        <f>1.96*U177</f>
        <v>8.2028151566030535E-2</v>
      </c>
      <c r="AC177" s="78">
        <f>SUM(AC153,AC155,AC166,AC171,AC169,AC138,AC141,AC165,AC151,AC149,AC147,AC145,AC137,AC163,AC161,AC173,AC159,AC157)</f>
        <v>570.934506937989</v>
      </c>
      <c r="AD177" s="78">
        <f>AC177/AE177</f>
        <v>3.0714471888066641E-2</v>
      </c>
      <c r="AE177" s="78">
        <f>SUM(AE153,AE155,AE166,AE171,AE169,AE138,AE141,AE165,AE151,AE149,AE147,AE145,AE137,AE163,AE161,AE173,AE159,AE157)</f>
        <v>18588.452668782877</v>
      </c>
      <c r="AF177" s="79" t="str">
        <f>CONCATENATE(ROUND(S177,2),", (",ROUND(-(X177-S177),2),", ",ROUND(Y177+S177,2),")")</f>
        <v>0.03, (-0.05, 0.11)</v>
      </c>
      <c r="AG177" s="78">
        <f>SUM(AG153,AG155,AG166,AG171,AG169,AG138,AG141,AG165,AG151,AG149,AG147,AG145,AG137,AG163,AG161,AG173,AG159,AG157)</f>
        <v>274.52548576039607</v>
      </c>
      <c r="AH177" s="78">
        <f>SUM(AH153,AH155,AH166,AH171,AH169,AH138,AH141,AH165,AH151,AH149,AH147,AH145,AH137,AH163,AH161,AH173,AH159,AH157)</f>
        <v>-12.330050048590863</v>
      </c>
      <c r="AI177" s="78">
        <f>SUM(AI153,AI155,AI166,AI171,AI169,AI138,AI141,AI165,AI151,AI149,AI147,AI145,AI137,AI163,AI161,AI173,AI159,AI157)</f>
        <v>1.0353348788658026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0.99999998040257709</v>
      </c>
      <c r="AM177" s="82">
        <f>IF((AI177-AK177+1)/AI177&lt;0,0,(AI177-AK177+1)/AI177)</f>
        <v>0</v>
      </c>
      <c r="AN177" s="74" t="str">
        <f>CONCATENATE(ROUND(S177,2)," (",ROUND(AO177,2),", ",ROUND(AP177,2),")")</f>
        <v>0.03 (-0.05, -0.02)</v>
      </c>
      <c r="AO177" s="77">
        <f>S177-Y177</f>
        <v>-5.0857718906429358E-2</v>
      </c>
      <c r="AP177">
        <f>S177+Z177</f>
        <v>-2.0608862607027618E-2</v>
      </c>
    </row>
    <row r="178" spans="1:42" ht="12.95" customHeight="1" x14ac:dyDescent="0.25">
      <c r="A178" s="41"/>
      <c r="B178" s="42"/>
      <c r="C178" s="43"/>
      <c r="D178" s="43"/>
      <c r="E178" s="42"/>
      <c r="F178" s="44"/>
      <c r="G178" s="48"/>
      <c r="H178" s="114"/>
      <c r="J178" s="45"/>
      <c r="K178" s="47"/>
      <c r="L178" s="46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78"/>
      <c r="AI178" s="78"/>
      <c r="AJ178" s="85"/>
    </row>
    <row r="179" spans="1:42" ht="12.95" customHeight="1" x14ac:dyDescent="0.25">
      <c r="A179" s="50"/>
      <c r="B179" s="51"/>
      <c r="C179" s="52"/>
      <c r="D179" s="52"/>
      <c r="E179" s="51"/>
      <c r="F179" s="53"/>
      <c r="G179" s="57"/>
      <c r="H179" s="115"/>
      <c r="J179" s="54"/>
      <c r="K179" s="56"/>
      <c r="L179" s="55"/>
      <c r="M179" s="57"/>
      <c r="N179" s="58"/>
      <c r="Q179" s="2" t="s">
        <v>185</v>
      </c>
      <c r="S179" s="84">
        <f>(EXP(2*AD179)-1)/(EXP(2*AD179)+1)</f>
        <v>4.0304597085642629E-2</v>
      </c>
      <c r="T179" s="74">
        <v>7</v>
      </c>
      <c r="U179" s="103">
        <f>1/SQRT(AD179*AE179)</f>
        <v>2.5568303853425501E-2</v>
      </c>
      <c r="V179" s="80">
        <f>1/SQRT(AE179)</f>
        <v>5.1344848415439256E-3</v>
      </c>
      <c r="W179" s="74">
        <f>0.5*LN((1+S179)/(1-S179))</f>
        <v>4.0326442791356998E-2</v>
      </c>
      <c r="X179" s="74">
        <f>S179-(EXP(2*Z179)-1)/(EXP(2*Z179)+1)</f>
        <v>5.0091717333718151E-2</v>
      </c>
      <c r="Y179" s="74">
        <f>(EXP(2*AA179)-1)/(EXP(2*AA179)+1)-S179</f>
        <v>4.9889941308892932E-2</v>
      </c>
      <c r="Z179" s="74">
        <f>W179-AB179</f>
        <v>-9.7874327613569831E-3</v>
      </c>
      <c r="AA179" s="74">
        <f>W179+AB179</f>
        <v>9.0440318344070986E-2</v>
      </c>
      <c r="AB179" s="74">
        <f>1.96*U179</f>
        <v>5.0113875552713981E-2</v>
      </c>
      <c r="AC179" s="78">
        <f>SUM(AC136:AC173)</f>
        <v>1529.6644103363626</v>
      </c>
      <c r="AD179" s="78">
        <f>AC179/AE179</f>
        <v>4.0326442791356963E-2</v>
      </c>
      <c r="AE179" s="78">
        <f>SUM(AE136:AE173)</f>
        <v>37932.044198656935</v>
      </c>
      <c r="AF179" s="79" t="str">
        <f>CONCATENATE(ROUND(S179,2),", (",ROUND(-(X179-S179),2),", ",ROUND(Y179+S179,2),")")</f>
        <v>0.04, (-0.01, 0.09)</v>
      </c>
      <c r="AG179" s="78">
        <f>SUM(AG136:AG173)</f>
        <v>564.12483344999976</v>
      </c>
      <c r="AH179" s="78">
        <f>SUM(AH136:AH173)</f>
        <v>-22.810288743116292</v>
      </c>
      <c r="AI179" s="78">
        <f>SUM(AI136:AI173)</f>
        <v>2.7970325417141066</v>
      </c>
      <c r="AJ179"/>
      <c r="AK179" s="81">
        <f>COUNT(AI136:AI173)</f>
        <v>38</v>
      </c>
      <c r="AL179">
        <f>CHIDIST(AI179,AK179-1)</f>
        <v>0.99999999999999523</v>
      </c>
      <c r="AM179" s="82">
        <f>IF((AI179-AK179+1)/AI179&lt;0,0,(AI179-AK179+1)/AI179)</f>
        <v>0</v>
      </c>
    </row>
    <row r="180" spans="1:42" ht="12.95" customHeight="1" x14ac:dyDescent="0.25">
      <c r="A180" s="50"/>
      <c r="B180" s="51"/>
      <c r="C180" s="52"/>
      <c r="D180" s="52"/>
      <c r="E180" s="51"/>
      <c r="F180" s="53"/>
      <c r="G180" s="57"/>
      <c r="H180" s="115"/>
      <c r="J180" s="54"/>
      <c r="K180" s="56"/>
      <c r="L180" s="55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78"/>
      <c r="AI180" s="78"/>
      <c r="AJ180"/>
      <c r="AK180" s="81"/>
      <c r="AL180"/>
      <c r="AM180" s="82"/>
    </row>
    <row r="181" spans="1:42" ht="12.95" customHeight="1" x14ac:dyDescent="0.25">
      <c r="A181" s="50"/>
      <c r="B181" s="51"/>
      <c r="C181" s="52"/>
      <c r="D181" s="52"/>
      <c r="E181" s="51"/>
      <c r="F181" s="53"/>
      <c r="G181" s="57"/>
      <c r="H181" s="115"/>
      <c r="J181" s="54"/>
      <c r="K181" s="56"/>
      <c r="L181" s="55"/>
      <c r="M181" s="57"/>
      <c r="N181" s="58"/>
      <c r="Q181" s="2" t="s">
        <v>327</v>
      </c>
      <c r="S181" s="84">
        <f>(EXP(2*AD181)-1)/(EXP(2*AD181)+1)</f>
        <v>4.475402778138883E-2</v>
      </c>
      <c r="T181" s="74">
        <v>5</v>
      </c>
      <c r="U181" s="103">
        <f>1/SQRT(AD181*AE181)</f>
        <v>2.2944261673569399E-2</v>
      </c>
      <c r="V181" s="80">
        <f>1/SQRT(AE181)</f>
        <v>4.85551447309596E-3</v>
      </c>
      <c r="W181" s="74">
        <f>0.5*LN((1+S181)/(1-S181))</f>
        <v>4.4783943364694281E-2</v>
      </c>
      <c r="X181" s="74">
        <f>S181-(EXP(2*Z181)-1)/(EXP(2*Z181)+1)</f>
        <v>4.4940837294717491E-2</v>
      </c>
      <c r="Y181" s="74">
        <f>(EXP(2*AA181)-1)/(EXP(2*AA181)+1)-S181</f>
        <v>4.4760424137731153E-2</v>
      </c>
      <c r="Z181" s="74">
        <f>W181-AB181</f>
        <v>-1.8680951550174157E-4</v>
      </c>
      <c r="AA181" s="74">
        <f>W181+AB181</f>
        <v>8.9754696244890297E-2</v>
      </c>
      <c r="AB181" s="74">
        <f>1.96*U181</f>
        <v>4.4970752880196023E-2</v>
      </c>
      <c r="AC181" s="78">
        <f>SUM(AC175,AC129,AC96,AC70,AC40,AC18)</f>
        <v>1899.5547954237193</v>
      </c>
      <c r="AD181" s="78">
        <f>AC181/AE181</f>
        <v>4.4783943364694274E-2</v>
      </c>
      <c r="AE181" s="78">
        <f>SUM(AE175,AE129,AE96,AE70,AE40,AE18)</f>
        <v>42415.978868918588</v>
      </c>
      <c r="AF181" s="79" t="str">
        <f>CONCATENATE(ROUND(S181,2),", (",ROUND(-(X181-S181),2),", ",ROUND(Y181+S181,2),")")</f>
        <v>0.04, (0, 0.09)</v>
      </c>
      <c r="AG181" s="78">
        <f>SUM(AG175,AG129,AG96,AG70,AG40,AG18)</f>
        <v>860.41442110427727</v>
      </c>
      <c r="AH181" s="78">
        <f>SUM(AH175,AH129,AH96,AH70,AH40,AH18)</f>
        <v>-58.953048589392466</v>
      </c>
      <c r="AI181" s="78">
        <f>SUM(AI175,AI129,AI96,AI70,AI40,AI18)</f>
        <v>8.2427434101492665</v>
      </c>
      <c r="AJ181"/>
      <c r="AK181" s="81">
        <f>AK185-AK183</f>
        <v>70</v>
      </c>
      <c r="AL181">
        <f>CHIDIST(AI181,AK181)</f>
        <v>1</v>
      </c>
      <c r="AM181" s="82">
        <f>IF((AI181-AK181+1)/AI181&lt;0,0,(AI181-AK181+1)/AI181)</f>
        <v>0</v>
      </c>
      <c r="AN181" s="74" t="str">
        <f>CONCATENATE(ROUND(S181,2)," (",ROUND(AO181,2),", ",ROUND(AP181,2),")")</f>
        <v>0.04 (0, 0.04)</v>
      </c>
      <c r="AO181" s="77">
        <f>S181-Y181</f>
        <v>-6.3963563423224956E-6</v>
      </c>
      <c r="AP181">
        <f>S181+Z181</f>
        <v>4.4567218265887089E-2</v>
      </c>
    </row>
    <row r="182" spans="1:42" ht="12.95" customHeight="1" x14ac:dyDescent="0.25">
      <c r="A182" s="50"/>
      <c r="B182" s="51"/>
      <c r="C182" s="52"/>
      <c r="D182" s="52"/>
      <c r="E182" s="51"/>
      <c r="F182" s="53"/>
      <c r="G182" s="57"/>
      <c r="H182" s="115"/>
      <c r="J182" s="54"/>
      <c r="K182" s="56"/>
      <c r="L182" s="55"/>
      <c r="M182" s="57"/>
      <c r="N182" s="58"/>
      <c r="T182" s="2">
        <v>4</v>
      </c>
      <c r="U182" s="75"/>
    </row>
    <row r="183" spans="1:42" ht="12.95" customHeight="1" x14ac:dyDescent="0.25">
      <c r="A183" s="50"/>
      <c r="B183" s="51"/>
      <c r="C183" s="52"/>
      <c r="D183" s="52"/>
      <c r="E183" s="51"/>
      <c r="F183" s="53"/>
      <c r="G183" s="57"/>
      <c r="H183" s="115"/>
      <c r="J183" s="54"/>
      <c r="K183" s="56"/>
      <c r="L183" s="55"/>
      <c r="M183" s="57"/>
      <c r="N183" s="58"/>
      <c r="Q183" s="2" t="s">
        <v>328</v>
      </c>
      <c r="S183" s="84">
        <f>(EXP(2*AD183)-1)/(EXP(2*AD183)+1)</f>
        <v>3.7139971509182204E-2</v>
      </c>
      <c r="T183" s="74">
        <v>3</v>
      </c>
      <c r="U183" s="103">
        <f>1/SQRT(AD183*AE183)</f>
        <v>2.4063912155875417E-2</v>
      </c>
      <c r="V183" s="80">
        <f>1/SQRT(AE183)</f>
        <v>4.6385999510252006E-3</v>
      </c>
      <c r="W183" s="74">
        <f>0.5*LN((1+S183)/(1-S183))</f>
        <v>3.7157062336383315E-2</v>
      </c>
      <c r="X183" s="74">
        <f>S183-(EXP(2*Z183)-1)/(EXP(2*Z183)+1)</f>
        <v>4.714784285714653E-2</v>
      </c>
      <c r="Y183" s="74">
        <f>(EXP(2*AA183)-1)/(EXP(2*AA183)+1)-S183</f>
        <v>4.6983074318424384E-2</v>
      </c>
      <c r="Z183" s="74">
        <f>W183-AB183</f>
        <v>-1.0008205489132498E-2</v>
      </c>
      <c r="AA183" s="74">
        <f>W183+AB183</f>
        <v>8.4322330161899134E-2</v>
      </c>
      <c r="AB183" s="74">
        <f>1.96*U183</f>
        <v>4.7165267825515812E-2</v>
      </c>
      <c r="AC183" s="78">
        <f>SUM(AC177,AC131,AC98,AC72,AC42,AC20)</f>
        <v>1726.9013655067076</v>
      </c>
      <c r="AD183" s="78">
        <f>AC183/AE183</f>
        <v>3.7157062336383308E-2</v>
      </c>
      <c r="AE183" s="78">
        <f>SUM(AE177,AE131,AE98,AE72,AE42,AE20)</f>
        <v>46475.723776897379</v>
      </c>
      <c r="AF183" s="79" t="str">
        <f>CONCATENATE(ROUND(S183,2),", (",ROUND(-(X183-S183),2),", ",ROUND(Y183+S183,2),")")</f>
        <v>0.04, (-0.01, 0.08)</v>
      </c>
      <c r="AG183" s="78">
        <f>SUM(AG177,AG131,AG98,AG72,AG42,AG20)</f>
        <v>863.68737912981942</v>
      </c>
      <c r="AH183" s="78">
        <f>SUM(AH177,AH131,AH98,AH72,AH42,AH20)</f>
        <v>-47.47729324586976</v>
      </c>
      <c r="AI183" s="78">
        <f>SUM(AI177,AI131,AI98,AI72,AI42,AI20)</f>
        <v>5.1621174229285005</v>
      </c>
      <c r="AJ183"/>
      <c r="AK183" s="78">
        <f>SUM(AK177,AK131,AK98,AK72,AK42,AK20)</f>
        <v>60</v>
      </c>
      <c r="AL183">
        <f>CHIDIST(AI183,AK183)</f>
        <v>1</v>
      </c>
      <c r="AM183" s="82">
        <f>IF((AI183-AK183+1)/AI183&lt;0,0,(AI183-AK183+1)/AI183)</f>
        <v>0</v>
      </c>
      <c r="AN183" s="74" t="str">
        <f>CONCATENATE(ROUND(S183,2)," (",ROUND(AO183,2),", ",ROUND(AP183,2),")")</f>
        <v>0.04 (-0.01, 0.03)</v>
      </c>
      <c r="AO183" s="77">
        <f>S183-Y183</f>
        <v>-9.8431028092421796E-3</v>
      </c>
      <c r="AP183">
        <f>S183+Z183</f>
        <v>2.7131766020049707E-2</v>
      </c>
    </row>
    <row r="184" spans="1:42" ht="12.95" customHeight="1" x14ac:dyDescent="0.25">
      <c r="A184" s="59"/>
      <c r="B184" s="60"/>
      <c r="C184" s="61"/>
      <c r="D184" s="61"/>
      <c r="E184" s="60"/>
      <c r="F184" s="62"/>
      <c r="G184" s="66"/>
      <c r="H184" s="116"/>
      <c r="I184" s="68"/>
      <c r="J184" s="63"/>
      <c r="K184" s="65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78"/>
      <c r="AI184" s="78"/>
      <c r="AJ184" s="85"/>
    </row>
    <row r="185" spans="1:42" x14ac:dyDescent="0.25">
      <c r="A185" s="69"/>
      <c r="B185" s="42"/>
      <c r="C185" s="43"/>
      <c r="D185" s="43"/>
      <c r="E185" s="42"/>
      <c r="F185" s="44"/>
      <c r="G185" s="48"/>
      <c r="H185" s="114"/>
      <c r="J185" s="45"/>
      <c r="K185" s="47"/>
      <c r="L185" s="46"/>
      <c r="M185" s="48"/>
      <c r="N185" s="49"/>
      <c r="Q185" s="2" t="s">
        <v>329</v>
      </c>
      <c r="S185" s="84">
        <f>(EXP(2*AD185)-1)/(EXP(2*AD185)+1)</f>
        <v>4.0718168552287298E-2</v>
      </c>
      <c r="T185" s="74">
        <v>1</v>
      </c>
      <c r="U185" s="103">
        <f>1/SQRT(AD185*AE185)</f>
        <v>1.6505011260786379E-2</v>
      </c>
      <c r="V185" s="80">
        <f>1/SQRT(AE185)</f>
        <v>3.3314249731539519E-3</v>
      </c>
      <c r="W185" s="74">
        <f>0.5*LN((1+S185)/(1-S185))</f>
        <v>4.0740694121686433E-2</v>
      </c>
      <c r="X185" s="74">
        <f>S185-(EXP(2*Z185)-1)/(EXP(2*Z185)+1)</f>
        <v>3.2327493420827878E-2</v>
      </c>
      <c r="Y185" s="74">
        <f>(EXP(2*AA185)-1)/(EXP(2*AA185)+1)-S185</f>
        <v>3.2242469875430113E-2</v>
      </c>
      <c r="Z185" s="74">
        <f>W185-AB185</f>
        <v>8.3908720505451312E-3</v>
      </c>
      <c r="AA185" s="74">
        <f>W185+AB185</f>
        <v>7.3090516192827734E-2</v>
      </c>
      <c r="AB185" s="74">
        <f>1.96*U185</f>
        <v>3.2349822071141301E-2</v>
      </c>
      <c r="AC185" s="78">
        <f>SUM(AC179,AC133,AC100,AC74,AC44,AC22)</f>
        <v>3670.8644667124613</v>
      </c>
      <c r="AD185" s="78">
        <f>AC185/AE185</f>
        <v>4.0740694121686405E-2</v>
      </c>
      <c r="AE185" s="78">
        <f>SUM(AE179,AE133,AE100,AE74,AE44,AE22)</f>
        <v>90103.140013965749</v>
      </c>
      <c r="AF185" s="79" t="str">
        <f>CONCATENATE(ROUND(S185,2),", (",ROUND(-(X185-S185),2),", ",ROUND(Y185+S185,2),")")</f>
        <v>0.04, (0.01, 0.07)</v>
      </c>
      <c r="AG185" s="78">
        <f>SUM(AG179,AG133,AG100,AG74,AG44,AG22)</f>
        <v>1741.939200448724</v>
      </c>
      <c r="AH185" s="78">
        <f>SUM(AH179,AH133,AH100,AH74,AH44,AH22)</f>
        <v>-85.69649829784727</v>
      </c>
      <c r="AI185" s="78">
        <f>SUM(AI179,AI133,AI100,AI74,AI44,AI22)</f>
        <v>13.3428215796553</v>
      </c>
      <c r="AJ185"/>
      <c r="AK185" s="78">
        <f>SUM(AK179,AK133,AK100,AK74,AK44,AK22)</f>
        <v>130</v>
      </c>
      <c r="AL185">
        <f>CHIDIST(AI185,AK185)</f>
        <v>1</v>
      </c>
      <c r="AM185" s="82">
        <f>IF((AI185-AK185+1)/AI185&lt;0,0,(AI185-AK185+1)/AI185)</f>
        <v>0</v>
      </c>
    </row>
    <row r="186" spans="1:42" x14ac:dyDescent="0.25">
      <c r="A186" s="70"/>
      <c r="B186" s="42"/>
      <c r="C186" s="43"/>
      <c r="D186" s="43"/>
      <c r="E186" s="42"/>
      <c r="F186" s="44"/>
      <c r="G186" s="48"/>
      <c r="H186" s="114"/>
      <c r="J186" s="45"/>
      <c r="K186" s="47"/>
      <c r="L186" s="46"/>
      <c r="M186" s="48"/>
      <c r="N186" s="49"/>
      <c r="T186" s="2">
        <v>0</v>
      </c>
    </row>
    <row r="187" spans="1:42" x14ac:dyDescent="0.25">
      <c r="A187" s="71"/>
      <c r="B187" s="51"/>
      <c r="C187" s="52"/>
      <c r="D187" s="52"/>
      <c r="E187" s="51"/>
      <c r="F187" s="53"/>
      <c r="G187" s="57"/>
      <c r="H187" s="115"/>
      <c r="J187" s="54"/>
      <c r="K187" s="56"/>
      <c r="L187" s="55"/>
      <c r="M187" s="57"/>
      <c r="N187" s="58"/>
    </row>
    <row r="188" spans="1:42" x14ac:dyDescent="0.25">
      <c r="A188" s="71"/>
      <c r="B188" s="51"/>
      <c r="C188" s="52"/>
      <c r="D188" s="52"/>
      <c r="E188" s="51"/>
      <c r="F188" s="53"/>
      <c r="G188" s="57"/>
      <c r="H188" s="115"/>
      <c r="J188" s="54"/>
      <c r="K188" s="56"/>
      <c r="L188" s="55"/>
      <c r="M188" s="57"/>
      <c r="N188" s="58"/>
    </row>
    <row r="189" spans="1:42" x14ac:dyDescent="0.25">
      <c r="A189" s="72"/>
      <c r="B189" s="60"/>
      <c r="C189" s="61"/>
      <c r="D189" s="61"/>
      <c r="E189" s="60"/>
      <c r="F189" s="62"/>
      <c r="G189" s="66"/>
      <c r="H189" s="116"/>
      <c r="I189" s="68"/>
      <c r="J189" s="63"/>
      <c r="K189" s="65"/>
      <c r="L189" s="64"/>
      <c r="M189" s="66"/>
      <c r="N189" s="67"/>
      <c r="O189" s="68"/>
    </row>
  </sheetData>
  <mergeCells count="6">
    <mergeCell ref="G1:I1"/>
    <mergeCell ref="J1:L1"/>
    <mergeCell ref="M1:O1"/>
    <mergeCell ref="G2:I2"/>
    <mergeCell ref="J2:L2"/>
    <mergeCell ref="M2:O2"/>
  </mergeCells>
  <phoneticPr fontId="17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5"/>
  <sheetViews>
    <sheetView workbookViewId="0">
      <selection activeCell="C1" sqref="C1:C1048576"/>
    </sheetView>
  </sheetViews>
  <sheetFormatPr defaultColWidth="10.875" defaultRowHeight="15.75" x14ac:dyDescent="0.25"/>
  <cols>
    <col min="1" max="1" width="35.125" style="2" customWidth="1"/>
    <col min="2" max="2" width="41.875" style="2" customWidth="1"/>
    <col min="3" max="3" width="16.875" style="32" bestFit="1" customWidth="1"/>
    <col min="4" max="16384" width="10.875" style="2"/>
  </cols>
  <sheetData>
    <row r="2" spans="1:3" x14ac:dyDescent="0.25">
      <c r="A2" s="118" t="s">
        <v>335</v>
      </c>
      <c r="C2" s="101" t="s">
        <v>330</v>
      </c>
    </row>
    <row r="3" spans="1:3" x14ac:dyDescent="0.25">
      <c r="A3" s="119" t="s">
        <v>10</v>
      </c>
      <c r="C3" s="101"/>
    </row>
    <row r="4" spans="1:3" x14ac:dyDescent="0.25">
      <c r="A4" s="120" t="s">
        <v>337</v>
      </c>
      <c r="C4" s="32" t="str">
        <f>'Calc-R'!AF4</f>
        <v>-0.05, (-0.17, 0.07)</v>
      </c>
    </row>
    <row r="5" spans="1:3" x14ac:dyDescent="0.25">
      <c r="A5" s="120" t="s">
        <v>338</v>
      </c>
      <c r="C5" s="32" t="str">
        <f>'Calc-R'!AF5</f>
        <v>-0.01, (-0.11, 0.09)</v>
      </c>
    </row>
    <row r="6" spans="1:3" x14ac:dyDescent="0.25">
      <c r="A6" s="120" t="s">
        <v>339</v>
      </c>
      <c r="C6" s="32" t="str">
        <f>'Calc-R'!AF6</f>
        <v>0.04, (-0.17, 0.25)</v>
      </c>
    </row>
    <row r="7" spans="1:3" x14ac:dyDescent="0.25">
      <c r="A7" s="120" t="s">
        <v>340</v>
      </c>
      <c r="C7" s="32" t="str">
        <f>'Calc-R'!AF7</f>
        <v>0.09, (-0.09, 0.26)</v>
      </c>
    </row>
    <row r="8" spans="1:3" x14ac:dyDescent="0.25">
      <c r="A8" s="120" t="s">
        <v>341</v>
      </c>
      <c r="C8" s="32" t="str">
        <f>'Calc-R'!AF8</f>
        <v>0.14, (-0.17, 0.43)</v>
      </c>
    </row>
    <row r="9" spans="1:3" x14ac:dyDescent="0.25">
      <c r="A9" s="120" t="s">
        <v>342</v>
      </c>
      <c r="C9" s="32" t="str">
        <f>'Calc-R'!AF9</f>
        <v>0.2, (0.06, 0.33)</v>
      </c>
    </row>
    <row r="10" spans="1:3" x14ac:dyDescent="0.25">
      <c r="A10" s="120" t="s">
        <v>343</v>
      </c>
      <c r="C10" s="32" t="str">
        <f>'Calc-R'!AF10</f>
        <v>0.04, (-0.06, 0.14)</v>
      </c>
    </row>
    <row r="11" spans="1:3" x14ac:dyDescent="0.25">
      <c r="A11" s="120" t="s">
        <v>344</v>
      </c>
      <c r="C11" s="32" t="str">
        <f>'Calc-R'!AF11</f>
        <v>0.02, (-0.04, 0.08)</v>
      </c>
    </row>
    <row r="12" spans="1:3" x14ac:dyDescent="0.25">
      <c r="A12" s="120" t="s">
        <v>345</v>
      </c>
      <c r="C12" s="32" t="str">
        <f>'Calc-R'!AF12</f>
        <v>0.02, (-0.08, 0.12)</v>
      </c>
    </row>
    <row r="13" spans="1:3" x14ac:dyDescent="0.25">
      <c r="A13" s="120" t="s">
        <v>346</v>
      </c>
      <c r="C13" s="32" t="str">
        <f>'Calc-R'!AF13</f>
        <v>0.05, (-0.01, 0.11)</v>
      </c>
    </row>
    <row r="14" spans="1:3" x14ac:dyDescent="0.25">
      <c r="A14" s="120" t="s">
        <v>347</v>
      </c>
      <c r="C14" s="32" t="str">
        <f>'Calc-R'!AF14</f>
        <v>-0.02, (-0.08, 0.04)</v>
      </c>
    </row>
    <row r="15" spans="1:3" x14ac:dyDescent="0.25">
      <c r="A15" s="120" t="s">
        <v>348</v>
      </c>
      <c r="C15" s="32" t="str">
        <f>'Calc-R'!AF15</f>
        <v>0.05, (-0.05, 0.15)</v>
      </c>
    </row>
    <row r="16" spans="1:3" x14ac:dyDescent="0.25">
      <c r="A16" s="120" t="s">
        <v>349</v>
      </c>
      <c r="C16" s="32" t="str">
        <f>'Calc-R'!AF16</f>
        <v>0.14, (0.04, 0.24)</v>
      </c>
    </row>
    <row r="17" spans="1:3" x14ac:dyDescent="0.25">
      <c r="A17" s="121"/>
    </row>
    <row r="18" spans="1:3" x14ac:dyDescent="0.25">
      <c r="A18" s="120" t="s">
        <v>323</v>
      </c>
      <c r="C18" s="32" t="str">
        <f>'Calc-R'!AF18</f>
        <v>0.03, (-0.17, 0.24)</v>
      </c>
    </row>
    <row r="19" spans="1:3" x14ac:dyDescent="0.25">
      <c r="A19" s="120"/>
    </row>
    <row r="20" spans="1:3" x14ac:dyDescent="0.25">
      <c r="A20" s="120" t="s">
        <v>322</v>
      </c>
      <c r="C20" s="32" t="str">
        <f>'Calc-R'!AF20</f>
        <v>0.06, (-0.09, 0.2)</v>
      </c>
    </row>
    <row r="21" spans="1:3" x14ac:dyDescent="0.25">
      <c r="A21" s="121"/>
    </row>
    <row r="22" spans="1:3" x14ac:dyDescent="0.25">
      <c r="A22" s="121" t="s">
        <v>324</v>
      </c>
      <c r="C22" s="32" t="str">
        <f>'Calc-R'!AF22</f>
        <v>0.05, (-0.07, 0.16)</v>
      </c>
    </row>
    <row r="23" spans="1:3" x14ac:dyDescent="0.25">
      <c r="A23" s="121"/>
    </row>
    <row r="24" spans="1:3" x14ac:dyDescent="0.25">
      <c r="A24" s="119" t="s">
        <v>50</v>
      </c>
    </row>
    <row r="25" spans="1:3" x14ac:dyDescent="0.25">
      <c r="A25" s="120" t="s">
        <v>350</v>
      </c>
      <c r="C25" s="32" t="str">
        <f>'Calc-R'!AF25</f>
        <v>-0.13, (-0.26, 0.01)</v>
      </c>
    </row>
    <row r="26" spans="1:3" x14ac:dyDescent="0.25">
      <c r="A26" s="120" t="s">
        <v>351</v>
      </c>
      <c r="C26" s="32" t="str">
        <f>'Calc-R'!AF26</f>
        <v>0.02, (-0.08, 0.12)</v>
      </c>
    </row>
    <row r="27" spans="1:3" x14ac:dyDescent="0.25">
      <c r="A27" s="120" t="s">
        <v>352</v>
      </c>
      <c r="C27" s="32" t="str">
        <f>'Calc-R'!AF27</f>
        <v>0.12, (0.06, 0.18)</v>
      </c>
    </row>
    <row r="28" spans="1:3" x14ac:dyDescent="0.25">
      <c r="A28" s="120" t="s">
        <v>353</v>
      </c>
      <c r="C28" s="32" t="str">
        <f>'Calc-R'!AF28</f>
        <v>0.11, (0.05, 0.17)</v>
      </c>
    </row>
    <row r="29" spans="1:3" x14ac:dyDescent="0.25">
      <c r="A29" s="120" t="s">
        <v>354</v>
      </c>
      <c r="C29" s="32" t="str">
        <f>'Calc-R'!AF29</f>
        <v>-0.09, (-0.28, 0.11)</v>
      </c>
    </row>
    <row r="30" spans="1:3" x14ac:dyDescent="0.25">
      <c r="A30" s="120" t="s">
        <v>355</v>
      </c>
      <c r="C30" s="32" t="str">
        <f>'Calc-R'!AF30</f>
        <v>0.03, (-0.13, 0.18)</v>
      </c>
    </row>
    <row r="31" spans="1:3" x14ac:dyDescent="0.25">
      <c r="A31" s="120" t="s">
        <v>356</v>
      </c>
      <c r="C31" s="32" t="str">
        <f>'Calc-R'!AF31</f>
        <v>-0.04, (-0.18, 0.1)</v>
      </c>
    </row>
    <row r="32" spans="1:3" x14ac:dyDescent="0.25">
      <c r="A32" s="120" t="s">
        <v>357</v>
      </c>
      <c r="C32" s="32" t="str">
        <f>'Calc-R'!AF32</f>
        <v>0.03, (-0.09, 0.15)</v>
      </c>
    </row>
    <row r="33" spans="1:3" x14ac:dyDescent="0.25">
      <c r="A33" s="120" t="s">
        <v>358</v>
      </c>
      <c r="C33" s="32" t="str">
        <f>'Calc-R'!AF33</f>
        <v>0.02, (-0.06, 0.1)</v>
      </c>
    </row>
    <row r="34" spans="1:3" x14ac:dyDescent="0.25">
      <c r="A34" s="120" t="s">
        <v>359</v>
      </c>
      <c r="C34" s="32" t="str">
        <f>'Calc-R'!AF34</f>
        <v>-0.01, (-0.07, 0.05)</v>
      </c>
    </row>
    <row r="35" spans="1:3" x14ac:dyDescent="0.25">
      <c r="A35" s="120" t="s">
        <v>360</v>
      </c>
      <c r="C35" s="32" t="str">
        <f>'Calc-R'!AF35</f>
        <v>0.06, (-0.04, 0.16)</v>
      </c>
    </row>
    <row r="36" spans="1:3" x14ac:dyDescent="0.25">
      <c r="A36" s="120" t="s">
        <v>361</v>
      </c>
      <c r="C36" s="32" t="str">
        <f>'Calc-R'!AF36</f>
        <v>0.05, (-0.01, 0.11)</v>
      </c>
    </row>
    <row r="37" spans="1:3" x14ac:dyDescent="0.25">
      <c r="A37" s="120" t="s">
        <v>362</v>
      </c>
      <c r="C37" s="32" t="str">
        <f>'Calc-R'!AF37</f>
        <v>0.01, (-0.11, 0.13)</v>
      </c>
    </row>
    <row r="38" spans="1:3" x14ac:dyDescent="0.25">
      <c r="A38" s="120" t="s">
        <v>363</v>
      </c>
      <c r="C38" s="32" t="str">
        <f>'Calc-R'!AF38</f>
        <v>0.04, (-0.06, 0.14)</v>
      </c>
    </row>
    <row r="39" spans="1:3" x14ac:dyDescent="0.25">
      <c r="A39" s="121"/>
    </row>
    <row r="40" spans="1:3" x14ac:dyDescent="0.25">
      <c r="A40" s="120" t="s">
        <v>323</v>
      </c>
      <c r="C40" s="32" t="str">
        <f>'Calc-R'!AF40</f>
        <v>0.07, (-0.06, 0.2)</v>
      </c>
    </row>
    <row r="41" spans="1:3" x14ac:dyDescent="0.25">
      <c r="A41" s="120"/>
    </row>
    <row r="42" spans="1:3" x14ac:dyDescent="0.25">
      <c r="A42" s="120" t="s">
        <v>322</v>
      </c>
      <c r="C42" s="32" t="str">
        <f>'Calc-R'!AF42</f>
        <v>0.05, (-0.08, 0.18)</v>
      </c>
    </row>
    <row r="43" spans="1:3" x14ac:dyDescent="0.25">
      <c r="A43" s="121"/>
    </row>
    <row r="44" spans="1:3" x14ac:dyDescent="0.25">
      <c r="A44" s="121" t="s">
        <v>185</v>
      </c>
      <c r="C44" s="32" t="str">
        <f>'Calc-R'!AF44</f>
        <v>0.06, (-0.03, 0.15)</v>
      </c>
    </row>
    <row r="45" spans="1:3" x14ac:dyDescent="0.25">
      <c r="A45" s="121"/>
    </row>
    <row r="46" spans="1:3" x14ac:dyDescent="0.25">
      <c r="A46" s="119" t="s">
        <v>78</v>
      </c>
    </row>
    <row r="47" spans="1:3" x14ac:dyDescent="0.25">
      <c r="A47" s="120" t="s">
        <v>364</v>
      </c>
      <c r="C47" s="32" t="str">
        <f>'Calc-R'!AF47</f>
        <v>0.07, (-0.05, 0.19)</v>
      </c>
    </row>
    <row r="48" spans="1:3" x14ac:dyDescent="0.25">
      <c r="A48" s="120" t="s">
        <v>365</v>
      </c>
      <c r="C48" s="32" t="str">
        <f>'Calc-R'!AF48</f>
        <v>-0.03, (-0.13, 0.07)</v>
      </c>
    </row>
    <row r="49" spans="1:3" x14ac:dyDescent="0.25">
      <c r="A49" s="120" t="s">
        <v>366</v>
      </c>
      <c r="C49" s="32" t="str">
        <f>'Calc-R'!AF49</f>
        <v>0, (-0.14, 0.14)</v>
      </c>
    </row>
    <row r="50" spans="1:3" x14ac:dyDescent="0.25">
      <c r="A50" s="120" t="s">
        <v>367</v>
      </c>
      <c r="C50" s="32" t="str">
        <f>'Calc-R'!AF50</f>
        <v>-0.02, (-0.12, 0.08)</v>
      </c>
    </row>
    <row r="51" spans="1:3" x14ac:dyDescent="0.25">
      <c r="A51" s="120" t="s">
        <v>368</v>
      </c>
      <c r="C51" s="32" t="str">
        <f>'Calc-R'!AF51</f>
        <v>0.03, (-0.03, 0.09)</v>
      </c>
    </row>
    <row r="52" spans="1:3" x14ac:dyDescent="0.25">
      <c r="A52" s="120" t="s">
        <v>369</v>
      </c>
      <c r="C52" s="32" t="str">
        <f>'Calc-R'!AF52</f>
        <v>-0.02, (-0.06, 0.02)</v>
      </c>
    </row>
    <row r="53" spans="1:3" x14ac:dyDescent="0.25">
      <c r="A53" s="120" t="s">
        <v>370</v>
      </c>
      <c r="C53" s="32" t="str">
        <f>'Calc-R'!AF53</f>
        <v>-0.1, (-0.25, 0.06)</v>
      </c>
    </row>
    <row r="54" spans="1:3" x14ac:dyDescent="0.25">
      <c r="A54" s="120" t="s">
        <v>371</v>
      </c>
      <c r="C54" s="32" t="str">
        <f>'Calc-R'!AF54</f>
        <v>0.02, (-0.08, 0.12)</v>
      </c>
    </row>
    <row r="55" spans="1:3" x14ac:dyDescent="0.25">
      <c r="A55" s="120" t="s">
        <v>372</v>
      </c>
      <c r="C55" s="32" t="str">
        <f>'Calc-R'!AF55</f>
        <v>0.01, (-0.11, 0.13)</v>
      </c>
    </row>
    <row r="56" spans="1:3" x14ac:dyDescent="0.25">
      <c r="A56" s="120" t="s">
        <v>373</v>
      </c>
      <c r="C56" s="32" t="str">
        <f>'Calc-R'!AF56</f>
        <v>0.01, (-0.09, 0.11)</v>
      </c>
    </row>
    <row r="57" spans="1:3" x14ac:dyDescent="0.25">
      <c r="A57" s="120" t="s">
        <v>374</v>
      </c>
      <c r="C57" s="32" t="str">
        <f>'Calc-R'!AF57</f>
        <v>-0.01, (-0.09, 0.07)</v>
      </c>
    </row>
    <row r="58" spans="1:3" x14ac:dyDescent="0.25">
      <c r="A58" s="120" t="s">
        <v>375</v>
      </c>
      <c r="C58" s="32" t="str">
        <f>'Calc-R'!AF58</f>
        <v>-0.04, (-0.1, 0.02)</v>
      </c>
    </row>
    <row r="59" spans="1:3" x14ac:dyDescent="0.25">
      <c r="A59" s="120" t="s">
        <v>376</v>
      </c>
      <c r="C59" s="32" t="str">
        <f>'Calc-R'!AF59</f>
        <v>-0.02, (-0.1, 0.06)</v>
      </c>
    </row>
    <row r="60" spans="1:3" x14ac:dyDescent="0.25">
      <c r="A60" s="120" t="s">
        <v>377</v>
      </c>
      <c r="C60" s="32" t="str">
        <f>'Calc-R'!AF60</f>
        <v>0.02, (-0.04, 0.08)</v>
      </c>
    </row>
    <row r="61" spans="1:3" x14ac:dyDescent="0.25">
      <c r="A61" s="120" t="s">
        <v>378</v>
      </c>
      <c r="C61" s="32" t="str">
        <f>'Calc-R'!AF61</f>
        <v>0, (-0.1, 0.1)</v>
      </c>
    </row>
    <row r="62" spans="1:3" x14ac:dyDescent="0.25">
      <c r="A62" s="120" t="s">
        <v>379</v>
      </c>
      <c r="C62" s="32" t="str">
        <f>'Calc-R'!AF62</f>
        <v>0.03, (-0.03, 0.09)</v>
      </c>
    </row>
    <row r="63" spans="1:3" x14ac:dyDescent="0.25">
      <c r="A63" s="120" t="s">
        <v>380</v>
      </c>
      <c r="C63" s="32" t="str">
        <f>'Calc-R'!AF63</f>
        <v>0.04, (-0.02, 0.1)</v>
      </c>
    </row>
    <row r="64" spans="1:3" x14ac:dyDescent="0.25">
      <c r="A64" s="120" t="s">
        <v>381</v>
      </c>
      <c r="C64" s="32" t="str">
        <f>'Calc-R'!AF64</f>
        <v>0.03, (-0.03, 0.09)</v>
      </c>
    </row>
    <row r="65" spans="1:3" x14ac:dyDescent="0.25">
      <c r="A65" s="120" t="s">
        <v>382</v>
      </c>
      <c r="C65" s="32" t="str">
        <f>'Calc-R'!AF65</f>
        <v>-0.03, (-0.11, 0.05)</v>
      </c>
    </row>
    <row r="66" spans="1:3" x14ac:dyDescent="0.25">
      <c r="A66" s="120" t="s">
        <v>383</v>
      </c>
      <c r="C66" s="32" t="str">
        <f>'Calc-R'!AF66</f>
        <v>0.11, (0.03, 0.19)</v>
      </c>
    </row>
    <row r="67" spans="1:3" x14ac:dyDescent="0.25">
      <c r="A67" s="120" t="s">
        <v>384</v>
      </c>
      <c r="C67" s="32" t="str">
        <f>'Calc-R'!AF67</f>
        <v>0.05, (-0.05, 0.15)</v>
      </c>
    </row>
    <row r="68" spans="1:3" x14ac:dyDescent="0.25">
      <c r="A68" s="120" t="s">
        <v>385</v>
      </c>
      <c r="C68" s="32" t="str">
        <f>'Calc-R'!AF68</f>
        <v>-0.03, (-0.13, 0.07)</v>
      </c>
    </row>
    <row r="69" spans="1:3" x14ac:dyDescent="0.25">
      <c r="A69" s="121"/>
    </row>
    <row r="70" spans="1:3" x14ac:dyDescent="0.25">
      <c r="A70" s="120" t="s">
        <v>323</v>
      </c>
      <c r="C70" s="32" t="str">
        <f>'Calc-R'!AF70</f>
        <v>0.03, (-0.11, 0.16)</v>
      </c>
    </row>
    <row r="71" spans="1:3" x14ac:dyDescent="0.25">
      <c r="A71" s="120"/>
    </row>
    <row r="72" spans="1:3" x14ac:dyDescent="0.25">
      <c r="A72" s="120" t="s">
        <v>322</v>
      </c>
      <c r="C72" s="32" t="str">
        <f>'Calc-R'!AF72</f>
        <v>0.03, (-0.09, 0.15)</v>
      </c>
    </row>
    <row r="73" spans="1:3" x14ac:dyDescent="0.25">
      <c r="A73" s="121"/>
    </row>
    <row r="74" spans="1:3" x14ac:dyDescent="0.25">
      <c r="A74" s="121" t="s">
        <v>185</v>
      </c>
      <c r="C74" s="32" t="str">
        <f>'Calc-R'!AF74</f>
        <v>0.03, (-0.06, 0.12)</v>
      </c>
    </row>
    <row r="75" spans="1:3" x14ac:dyDescent="0.25">
      <c r="A75" s="121"/>
    </row>
    <row r="76" spans="1:3" x14ac:dyDescent="0.25">
      <c r="A76" s="119" t="s">
        <v>110</v>
      </c>
    </row>
    <row r="77" spans="1:3" x14ac:dyDescent="0.25">
      <c r="A77" s="120" t="s">
        <v>386</v>
      </c>
      <c r="C77" s="32" t="str">
        <f>'Calc-R'!AF77</f>
        <v>-0.11, (-0.24, 0.03)</v>
      </c>
    </row>
    <row r="78" spans="1:3" x14ac:dyDescent="0.25">
      <c r="A78" s="120" t="s">
        <v>387</v>
      </c>
      <c r="C78" s="32" t="str">
        <f>'Calc-R'!AF78</f>
        <v>-0.01, (-0.11, 0.09)</v>
      </c>
    </row>
    <row r="79" spans="1:3" x14ac:dyDescent="0.25">
      <c r="A79" s="120" t="s">
        <v>388</v>
      </c>
      <c r="C79" s="32" t="str">
        <f>'Calc-R'!AF79</f>
        <v>0.03, (-0.03, 0.09)</v>
      </c>
    </row>
    <row r="80" spans="1:3" x14ac:dyDescent="0.25">
      <c r="A80" s="120" t="s">
        <v>389</v>
      </c>
      <c r="C80" s="32" t="str">
        <f>'Calc-R'!AF80</f>
        <v>0, (-0.06, 0.06)</v>
      </c>
    </row>
    <row r="81" spans="1:3" x14ac:dyDescent="0.25">
      <c r="A81" s="120" t="s">
        <v>390</v>
      </c>
      <c r="C81" s="32" t="str">
        <f>'Calc-R'!AF81</f>
        <v>0.11, (-0.03, 0.24)</v>
      </c>
    </row>
    <row r="82" spans="1:3" x14ac:dyDescent="0.25">
      <c r="A82" s="120" t="s">
        <v>391</v>
      </c>
      <c r="C82" s="32" t="str">
        <f>'Calc-R'!AF82</f>
        <v>0.15, (0.03, 0.26)</v>
      </c>
    </row>
    <row r="83" spans="1:3" x14ac:dyDescent="0.25">
      <c r="A83" s="120" t="s">
        <v>392</v>
      </c>
      <c r="C83" s="32" t="str">
        <f>'Calc-R'!AF83</f>
        <v>0.01, (-0.15, 0.17)</v>
      </c>
    </row>
    <row r="84" spans="1:3" x14ac:dyDescent="0.25">
      <c r="A84" s="120" t="s">
        <v>393</v>
      </c>
      <c r="C84" s="32" t="str">
        <f>'Calc-R'!AF84</f>
        <v>0.01, (-0.11, 0.13)</v>
      </c>
    </row>
    <row r="85" spans="1:3" x14ac:dyDescent="0.25">
      <c r="A85" s="120" t="s">
        <v>394</v>
      </c>
      <c r="C85" s="32" t="str">
        <f>'Calc-R'!AF85</f>
        <v>0.01, (-0.09, 0.11)</v>
      </c>
    </row>
    <row r="86" spans="1:3" x14ac:dyDescent="0.25">
      <c r="A86" s="120" t="s">
        <v>395</v>
      </c>
      <c r="C86" s="32" t="str">
        <f>'Calc-R'!AF86</f>
        <v>0.07, (-0.01, 0.15)</v>
      </c>
    </row>
    <row r="87" spans="1:3" x14ac:dyDescent="0.25">
      <c r="A87" s="120" t="s">
        <v>396</v>
      </c>
      <c r="C87" s="32" t="str">
        <f>'Calc-R'!AF87</f>
        <v>-0.09, (-0.15, -0.03)</v>
      </c>
    </row>
    <row r="88" spans="1:3" x14ac:dyDescent="0.25">
      <c r="A88" s="120" t="s">
        <v>397</v>
      </c>
      <c r="C88" s="32" t="str">
        <f>'Calc-R'!AF88</f>
        <v>0.03, (-0.03, 0.09)</v>
      </c>
    </row>
    <row r="89" spans="1:3" x14ac:dyDescent="0.25">
      <c r="A89" s="120" t="s">
        <v>398</v>
      </c>
      <c r="C89" s="32" t="str">
        <f>'Calc-R'!AF89</f>
        <v>-0.02, (-0.1, 0.06)</v>
      </c>
    </row>
    <row r="90" spans="1:3" x14ac:dyDescent="0.25">
      <c r="A90" s="120" t="s">
        <v>399</v>
      </c>
      <c r="C90" s="32" t="str">
        <f>'Calc-R'!AF90</f>
        <v>-0.04, (-0.1, 0.02)</v>
      </c>
    </row>
    <row r="91" spans="1:3" x14ac:dyDescent="0.25">
      <c r="A91" s="120" t="s">
        <v>400</v>
      </c>
      <c r="C91" s="32" t="str">
        <f>'Calc-R'!AF91</f>
        <v>-0.02, (-0.1, 0.06)</v>
      </c>
    </row>
    <row r="92" spans="1:3" x14ac:dyDescent="0.25">
      <c r="A92" s="120" t="s">
        <v>401</v>
      </c>
      <c r="C92" s="32" t="str">
        <f>'Calc-R'!AF92</f>
        <v>-0.05, (-0.11, 0.01)</v>
      </c>
    </row>
    <row r="93" spans="1:3" x14ac:dyDescent="0.25">
      <c r="A93" s="120" t="s">
        <v>402</v>
      </c>
      <c r="C93" s="32" t="str">
        <f>'Calc-R'!AF93</f>
        <v>0.02, (-0.08, 0.12)</v>
      </c>
    </row>
    <row r="94" spans="1:3" x14ac:dyDescent="0.25">
      <c r="A94" s="120" t="s">
        <v>403</v>
      </c>
      <c r="C94" s="32" t="str">
        <f>'Calc-R'!AF94</f>
        <v>0.01, (-0.07, 0.09)</v>
      </c>
    </row>
    <row r="95" spans="1:3" x14ac:dyDescent="0.25">
      <c r="A95" s="121"/>
    </row>
    <row r="96" spans="1:3" x14ac:dyDescent="0.25">
      <c r="A96" s="120" t="s">
        <v>323</v>
      </c>
      <c r="C96" s="32" t="str">
        <f>'Calc-R'!AF96</f>
        <v>0.04, (-0.08, 0.16)</v>
      </c>
    </row>
    <row r="97" spans="1:3" x14ac:dyDescent="0.25">
      <c r="A97" s="120"/>
    </row>
    <row r="98" spans="1:3" x14ac:dyDescent="0.25">
      <c r="A98" s="120" t="s">
        <v>322</v>
      </c>
      <c r="C98" s="32" t="str">
        <f>'Calc-R'!AF98</f>
        <v>0.04, (-0.1, 0.17)</v>
      </c>
    </row>
    <row r="99" spans="1:3" x14ac:dyDescent="0.25">
      <c r="A99" s="121"/>
    </row>
    <row r="100" spans="1:3" x14ac:dyDescent="0.25">
      <c r="A100" s="121" t="s">
        <v>185</v>
      </c>
      <c r="C100" s="32" t="str">
        <f>'Calc-R'!AF100</f>
        <v>0.04, (-0.05, 0.13)</v>
      </c>
    </row>
    <row r="101" spans="1:3" x14ac:dyDescent="0.25">
      <c r="A101" s="121"/>
    </row>
    <row r="102" spans="1:3" x14ac:dyDescent="0.25">
      <c r="A102" s="119" t="s">
        <v>326</v>
      </c>
    </row>
    <row r="103" spans="1:3" x14ac:dyDescent="0.25">
      <c r="A103" s="120" t="s">
        <v>404</v>
      </c>
      <c r="C103" s="32" t="str">
        <f>'Calc-R'!AF103</f>
        <v>0.05, (-0.07, 0.17)</v>
      </c>
    </row>
    <row r="104" spans="1:3" x14ac:dyDescent="0.25">
      <c r="A104" s="120" t="s">
        <v>405</v>
      </c>
      <c r="C104" s="32" t="str">
        <f>'Calc-R'!AF104</f>
        <v>-0.06, (-0.16, 0.04)</v>
      </c>
    </row>
    <row r="105" spans="1:3" x14ac:dyDescent="0.25">
      <c r="A105" s="120" t="s">
        <v>406</v>
      </c>
      <c r="C105" s="32" t="str">
        <f>'Calc-R'!AF105</f>
        <v>0.02, (-0.1, 0.14)</v>
      </c>
    </row>
    <row r="106" spans="1:3" x14ac:dyDescent="0.25">
      <c r="A106" s="120" t="s">
        <v>407</v>
      </c>
      <c r="C106" s="32" t="str">
        <f>'Calc-R'!AF106</f>
        <v>-0.09, (-0.21, 0.03)</v>
      </c>
    </row>
    <row r="107" spans="1:3" x14ac:dyDescent="0.25">
      <c r="A107" s="120" t="s">
        <v>408</v>
      </c>
      <c r="C107" s="32" t="str">
        <f>'Calc-R'!AF107</f>
        <v>0.02, (-0.12, 0.16)</v>
      </c>
    </row>
    <row r="108" spans="1:3" x14ac:dyDescent="0.25">
      <c r="A108" s="120" t="s">
        <v>409</v>
      </c>
      <c r="C108" s="32" t="str">
        <f>'Calc-R'!AF108</f>
        <v>0.02, (-0.08, 0.12)</v>
      </c>
    </row>
    <row r="109" spans="1:3" x14ac:dyDescent="0.25">
      <c r="A109" s="120" t="s">
        <v>410</v>
      </c>
      <c r="C109" s="32" t="str">
        <f>'Calc-R'!AF109</f>
        <v>-0.02, (-0.16, 0.12)</v>
      </c>
    </row>
    <row r="110" spans="1:3" x14ac:dyDescent="0.25">
      <c r="A110" s="120" t="s">
        <v>411</v>
      </c>
      <c r="C110" s="32" t="str">
        <f>'Calc-R'!AF110</f>
        <v>-0.04, (-0.14, 0.06)</v>
      </c>
    </row>
    <row r="111" spans="1:3" x14ac:dyDescent="0.25">
      <c r="A111" s="120" t="s">
        <v>412</v>
      </c>
      <c r="C111" s="32" t="str">
        <f>'Calc-R'!AF111</f>
        <v>0.05, (-0.11, 0.2)</v>
      </c>
    </row>
    <row r="112" spans="1:3" x14ac:dyDescent="0.25">
      <c r="A112" s="120" t="s">
        <v>413</v>
      </c>
      <c r="C112" s="32" t="str">
        <f>'Calc-R'!AF112</f>
        <v>0.06, (-0.06, 0.18)</v>
      </c>
    </row>
    <row r="113" spans="1:3" x14ac:dyDescent="0.25">
      <c r="A113" s="120" t="s">
        <v>414</v>
      </c>
      <c r="C113" s="32" t="str">
        <f>'Calc-R'!AF113</f>
        <v>0.05, (-0.15, 0.24)</v>
      </c>
    </row>
    <row r="114" spans="1:3" x14ac:dyDescent="0.25">
      <c r="A114" s="120" t="s">
        <v>415</v>
      </c>
      <c r="C114" s="32" t="str">
        <f>'Calc-R'!AF114</f>
        <v>-0.06, (-0.18, 0.06)</v>
      </c>
    </row>
    <row r="115" spans="1:3" x14ac:dyDescent="0.25">
      <c r="A115" s="120" t="s">
        <v>416</v>
      </c>
      <c r="C115" s="32" t="str">
        <f>'Calc-R'!AF115</f>
        <v>-0.04, (-0.16, 0.08)</v>
      </c>
    </row>
    <row r="116" spans="1:3" x14ac:dyDescent="0.25">
      <c r="A116" s="120" t="s">
        <v>417</v>
      </c>
      <c r="C116" s="32" t="str">
        <f>'Calc-R'!AF116</f>
        <v>-0.03, (-0.09, 0.03)</v>
      </c>
    </row>
    <row r="117" spans="1:3" x14ac:dyDescent="0.25">
      <c r="A117" s="120" t="s">
        <v>418</v>
      </c>
      <c r="C117" s="32" t="str">
        <f>'Calc-R'!AF117</f>
        <v>-0.01, (-0.11, 0.09)</v>
      </c>
    </row>
    <row r="118" spans="1:3" x14ac:dyDescent="0.25">
      <c r="A118" s="120" t="s">
        <v>419</v>
      </c>
      <c r="C118" s="32" t="str">
        <f>'Calc-R'!AF118</f>
        <v>-0.04, (-0.1, 0.02)</v>
      </c>
    </row>
    <row r="119" spans="1:3" x14ac:dyDescent="0.25">
      <c r="A119" s="120" t="s">
        <v>420</v>
      </c>
      <c r="C119" s="32" t="str">
        <f>'Calc-R'!AF119</f>
        <v>-0.02, (-0.12, 0.08)</v>
      </c>
    </row>
    <row r="120" spans="1:3" x14ac:dyDescent="0.25">
      <c r="A120" s="120" t="s">
        <v>421</v>
      </c>
      <c r="C120" s="32" t="str">
        <f>'Calc-R'!AF120</f>
        <v>0.01, (-0.05, 0.07)</v>
      </c>
    </row>
    <row r="121" spans="1:3" x14ac:dyDescent="0.25">
      <c r="A121" s="120" t="s">
        <v>422</v>
      </c>
      <c r="C121" s="32" t="str">
        <f>'Calc-R'!AF121</f>
        <v>0.03, (-0.03, 0.09)</v>
      </c>
    </row>
    <row r="122" spans="1:3" x14ac:dyDescent="0.25">
      <c r="A122" s="120" t="s">
        <v>423</v>
      </c>
      <c r="C122" s="32" t="str">
        <f>'Calc-R'!AF122</f>
        <v>0.06, (-0.04, 0.16)</v>
      </c>
    </row>
    <row r="123" spans="1:3" x14ac:dyDescent="0.25">
      <c r="A123" s="120" t="s">
        <v>424</v>
      </c>
      <c r="C123" s="32" t="str">
        <f>'Calc-R'!AF123</f>
        <v>0.02, (-0.06, 0.1)</v>
      </c>
    </row>
    <row r="124" spans="1:3" x14ac:dyDescent="0.25">
      <c r="A124" s="120" t="s">
        <v>425</v>
      </c>
      <c r="C124" s="32" t="str">
        <f>'Calc-R'!AF124</f>
        <v>0.11, (0.01, 0.21)</v>
      </c>
    </row>
    <row r="125" spans="1:3" x14ac:dyDescent="0.25">
      <c r="A125" s="120" t="s">
        <v>426</v>
      </c>
      <c r="C125" s="32" t="str">
        <f>'Calc-R'!AF125</f>
        <v>0.11, (0.03, 0.19)</v>
      </c>
    </row>
    <row r="126" spans="1:3" x14ac:dyDescent="0.25">
      <c r="A126" s="120" t="s">
        <v>427</v>
      </c>
      <c r="C126" s="32" t="str">
        <f>'Calc-R'!AF126</f>
        <v>0.04, (-0.06, 0.14)</v>
      </c>
    </row>
    <row r="127" spans="1:3" x14ac:dyDescent="0.25">
      <c r="A127" s="120" t="s">
        <v>428</v>
      </c>
      <c r="C127" s="32" t="str">
        <f>'Calc-R'!AF127</f>
        <v>0.08, (0, 0.16)</v>
      </c>
    </row>
    <row r="128" spans="1:3" x14ac:dyDescent="0.25">
      <c r="A128" s="121"/>
    </row>
    <row r="129" spans="1:3" x14ac:dyDescent="0.25">
      <c r="A129" s="120" t="s">
        <v>323</v>
      </c>
      <c r="C129" s="32" t="str">
        <f>'Calc-R'!AF129</f>
        <v>0.04, (-0.11, 0.18)</v>
      </c>
    </row>
    <row r="130" spans="1:3" x14ac:dyDescent="0.25">
      <c r="A130" s="120"/>
    </row>
    <row r="131" spans="1:3" x14ac:dyDescent="0.25">
      <c r="A131" s="120" t="s">
        <v>322</v>
      </c>
      <c r="C131" s="32" t="str">
        <f>'Calc-R'!AF131</f>
        <v>0.05, (-0.07, 0.16)</v>
      </c>
    </row>
    <row r="132" spans="1:3" x14ac:dyDescent="0.25">
      <c r="A132" s="121"/>
    </row>
    <row r="133" spans="1:3" x14ac:dyDescent="0.25">
      <c r="A133" s="121" t="s">
        <v>185</v>
      </c>
      <c r="C133" s="32" t="str">
        <f>'Calc-R'!AF133</f>
        <v>0.04, (-0.04, 0.13)</v>
      </c>
    </row>
    <row r="134" spans="1:3" x14ac:dyDescent="0.25">
      <c r="A134" s="121"/>
    </row>
    <row r="135" spans="1:3" x14ac:dyDescent="0.25">
      <c r="A135" s="119" t="s">
        <v>304</v>
      </c>
    </row>
    <row r="136" spans="1:3" x14ac:dyDescent="0.25">
      <c r="A136" s="120" t="s">
        <v>429</v>
      </c>
      <c r="C136" s="32" t="str">
        <f>'Calc-R'!AF136</f>
        <v>-0.01, (-0.09, 0.07)</v>
      </c>
    </row>
    <row r="137" spans="1:3" x14ac:dyDescent="0.25">
      <c r="A137" s="120" t="s">
        <v>430</v>
      </c>
      <c r="C137" s="32" t="str">
        <f>'Calc-R'!AF137</f>
        <v>-0.03, (-0.17, 0.11)</v>
      </c>
    </row>
    <row r="138" spans="1:3" x14ac:dyDescent="0.25">
      <c r="A138" s="120" t="s">
        <v>431</v>
      </c>
      <c r="C138" s="32" t="str">
        <f>'Calc-R'!AF138</f>
        <v>0.03, (-0.13, 0.18)</v>
      </c>
    </row>
    <row r="139" spans="1:3" x14ac:dyDescent="0.25">
      <c r="A139" s="120" t="s">
        <v>432</v>
      </c>
      <c r="C139" s="32" t="str">
        <f>'Calc-R'!AF139</f>
        <v>-0.04, (-0.14, 0.06)</v>
      </c>
    </row>
    <row r="140" spans="1:3" x14ac:dyDescent="0.25">
      <c r="A140" s="120" t="s">
        <v>433</v>
      </c>
      <c r="C140" s="32" t="str">
        <f>'Calc-R'!AF140</f>
        <v>0.03, (-0.01, 0.07)</v>
      </c>
    </row>
    <row r="141" spans="1:3" x14ac:dyDescent="0.25">
      <c r="A141" s="120" t="s">
        <v>434</v>
      </c>
      <c r="C141" s="32" t="str">
        <f>'Calc-R'!AF141</f>
        <v>0.04, (0, 0.08)</v>
      </c>
    </row>
    <row r="142" spans="1:3" x14ac:dyDescent="0.25">
      <c r="A142" s="120" t="s">
        <v>437</v>
      </c>
      <c r="C142" s="32" t="str">
        <f>'Calc-R'!AF142</f>
        <v>0.1, (0.04, 0.16)</v>
      </c>
    </row>
    <row r="143" spans="1:3" x14ac:dyDescent="0.25">
      <c r="A143" s="120" t="s">
        <v>438</v>
      </c>
      <c r="C143" s="32" t="str">
        <f>'Calc-R'!AF143</f>
        <v>0.14, (0.1, 0.18)</v>
      </c>
    </row>
    <row r="144" spans="1:3" x14ac:dyDescent="0.25">
      <c r="A144" s="120" t="s">
        <v>439</v>
      </c>
      <c r="C144" s="32" t="str">
        <f>'Calc-R'!AF144</f>
        <v>-0.02, (-0.19, 0.16)</v>
      </c>
    </row>
    <row r="145" spans="1:3" x14ac:dyDescent="0.25">
      <c r="A145" s="120" t="s">
        <v>440</v>
      </c>
      <c r="C145" s="32" t="str">
        <f>'Calc-R'!AF145</f>
        <v>0.06, (-0.06, 0.18)</v>
      </c>
    </row>
    <row r="146" spans="1:3" x14ac:dyDescent="0.25">
      <c r="A146" s="120" t="s">
        <v>441</v>
      </c>
      <c r="C146" s="32" t="str">
        <f>'Calc-R'!AF146</f>
        <v>0.04, (-0.08, 0.16)</v>
      </c>
    </row>
    <row r="147" spans="1:3" x14ac:dyDescent="0.25">
      <c r="A147" s="120" t="s">
        <v>442</v>
      </c>
      <c r="C147" s="32" t="str">
        <f>'Calc-R'!AF147</f>
        <v>0.15, (0.03, 0.26)</v>
      </c>
    </row>
    <row r="148" spans="1:3" x14ac:dyDescent="0.25">
      <c r="A148" s="120" t="s">
        <v>443</v>
      </c>
      <c r="C148" s="32" t="str">
        <f>'Calc-R'!AF148</f>
        <v>0.1, (-0.17, 0.36)</v>
      </c>
    </row>
    <row r="149" spans="1:3" x14ac:dyDescent="0.25">
      <c r="A149" s="120" t="s">
        <v>444</v>
      </c>
      <c r="C149" s="32" t="str">
        <f>'Calc-R'!AF149</f>
        <v>0.07, (-0.05, 0.19)</v>
      </c>
    </row>
    <row r="150" spans="1:3" x14ac:dyDescent="0.25">
      <c r="A150" s="120" t="s">
        <v>445</v>
      </c>
      <c r="C150" s="32" t="str">
        <f>'Calc-R'!AF150</f>
        <v>0.03, (-0.03, 0.09)</v>
      </c>
    </row>
    <row r="151" spans="1:3" x14ac:dyDescent="0.25">
      <c r="A151" s="120" t="s">
        <v>446</v>
      </c>
      <c r="C151" s="32" t="str">
        <f>'Calc-R'!AF151</f>
        <v>0.01, (-0.05, 0.07)</v>
      </c>
    </row>
    <row r="152" spans="1:3" x14ac:dyDescent="0.25">
      <c r="A152" s="120" t="s">
        <v>447</v>
      </c>
      <c r="C152" s="32" t="str">
        <f>'Calc-R'!AF152</f>
        <v>0.05, (0.01, 0.09)</v>
      </c>
    </row>
    <row r="153" spans="1:3" x14ac:dyDescent="0.25">
      <c r="A153" s="120" t="s">
        <v>448</v>
      </c>
      <c r="C153" s="32" t="str">
        <f>'Calc-R'!AF153</f>
        <v>0.02, (-0.02, 0.06)</v>
      </c>
    </row>
    <row r="154" spans="1:3" x14ac:dyDescent="0.25">
      <c r="A154" s="120" t="s">
        <v>435</v>
      </c>
      <c r="C154" s="32" t="str">
        <f>'Calc-R'!AF154</f>
        <v>0.04, (0, 0.08)</v>
      </c>
    </row>
    <row r="155" spans="1:3" x14ac:dyDescent="0.25">
      <c r="A155" s="120" t="s">
        <v>436</v>
      </c>
      <c r="C155" s="32" t="str">
        <f>'Calc-R'!AF155</f>
        <v>0.04, (0, 0.08)</v>
      </c>
    </row>
    <row r="156" spans="1:3" x14ac:dyDescent="0.25">
      <c r="A156" s="120" t="s">
        <v>449</v>
      </c>
      <c r="C156" s="32" t="str">
        <f>'Calc-R'!AF156</f>
        <v>-0.02, (-0.12, 0.08)</v>
      </c>
    </row>
    <row r="157" spans="1:3" x14ac:dyDescent="0.25">
      <c r="A157" s="120" t="s">
        <v>450</v>
      </c>
      <c r="C157" s="32" t="str">
        <f>'Calc-R'!AF157</f>
        <v>-0.04, (-0.1, 0.02)</v>
      </c>
    </row>
    <row r="158" spans="1:3" x14ac:dyDescent="0.25">
      <c r="A158" s="120" t="s">
        <v>451</v>
      </c>
      <c r="C158" s="32" t="str">
        <f>'Calc-R'!AF158</f>
        <v>-0.05, (-0.15, 0.05)</v>
      </c>
    </row>
    <row r="159" spans="1:3" x14ac:dyDescent="0.25">
      <c r="A159" s="120" t="s">
        <v>452</v>
      </c>
      <c r="C159" s="32" t="str">
        <f>'Calc-R'!AF159</f>
        <v>-0.03, (-0.09, 0.03)</v>
      </c>
    </row>
    <row r="160" spans="1:3" x14ac:dyDescent="0.25">
      <c r="A160" s="120" t="s">
        <v>453</v>
      </c>
      <c r="C160" s="32" t="str">
        <f>'Calc-R'!AF160</f>
        <v>-0.01, (-0.09, 0.07)</v>
      </c>
    </row>
    <row r="161" spans="1:3" x14ac:dyDescent="0.25">
      <c r="A161" s="120" t="s">
        <v>454</v>
      </c>
      <c r="C161" s="32" t="str">
        <f>'Calc-R'!AF161</f>
        <v>0.01, (-0.05, 0.07)</v>
      </c>
    </row>
    <row r="162" spans="1:3" x14ac:dyDescent="0.25">
      <c r="A162" s="120" t="s">
        <v>455</v>
      </c>
      <c r="C162" s="32" t="str">
        <f>'Calc-R'!AF162</f>
        <v>-0.01, (-0.09, 0.07)</v>
      </c>
    </row>
    <row r="163" spans="1:3" x14ac:dyDescent="0.25">
      <c r="A163" s="120" t="s">
        <v>456</v>
      </c>
      <c r="C163" s="32" t="str">
        <f>'Calc-R'!AF163</f>
        <v>0, (-0.06, 0.06)</v>
      </c>
    </row>
    <row r="164" spans="1:3" x14ac:dyDescent="0.25">
      <c r="A164" s="120" t="s">
        <v>457</v>
      </c>
      <c r="C164" s="32" t="str">
        <f>'Calc-R'!AF164</f>
        <v>0, (-0.1, 0.1)</v>
      </c>
    </row>
    <row r="165" spans="1:3" x14ac:dyDescent="0.25">
      <c r="A165" s="120" t="s">
        <v>458</v>
      </c>
      <c r="C165" s="32" t="str">
        <f>'Calc-R'!AF165</f>
        <v>0.02, (-0.04, 0.08)</v>
      </c>
    </row>
    <row r="166" spans="1:3" x14ac:dyDescent="0.25">
      <c r="A166" s="120" t="s">
        <v>459</v>
      </c>
      <c r="C166" s="32" t="str">
        <f>'Calc-R'!AF166</f>
        <v>0.1, (0, 0.2)</v>
      </c>
    </row>
    <row r="167" spans="1:3" x14ac:dyDescent="0.25">
      <c r="A167" s="120" t="s">
        <v>460</v>
      </c>
      <c r="C167" s="32" t="str">
        <f>'Calc-R'!AF167</f>
        <v>0.03, (-0.03, 0.09)</v>
      </c>
    </row>
    <row r="168" spans="1:3" x14ac:dyDescent="0.25">
      <c r="A168" s="120" t="s">
        <v>461</v>
      </c>
      <c r="C168" s="32" t="str">
        <f>'Calc-R'!AF168</f>
        <v>0.06, (-0.04, 0.16)</v>
      </c>
    </row>
    <row r="169" spans="1:3" x14ac:dyDescent="0.25">
      <c r="A169" s="120" t="s">
        <v>462</v>
      </c>
      <c r="C169" s="32" t="str">
        <f>'Calc-R'!AF169</f>
        <v>0, (-0.06, 0.06)</v>
      </c>
    </row>
    <row r="170" spans="1:3" x14ac:dyDescent="0.25">
      <c r="A170" s="120" t="s">
        <v>463</v>
      </c>
      <c r="C170" s="32" t="str">
        <f>'Calc-R'!AF170</f>
        <v>0.02, (-0.04, 0.08)</v>
      </c>
    </row>
    <row r="171" spans="1:3" x14ac:dyDescent="0.25">
      <c r="A171" s="120" t="s">
        <v>464</v>
      </c>
      <c r="C171" s="32" t="str">
        <f>'Calc-R'!AF171</f>
        <v>-0.03, (-0.09, 0.03)</v>
      </c>
    </row>
    <row r="172" spans="1:3" x14ac:dyDescent="0.25">
      <c r="A172" s="120" t="s">
        <v>465</v>
      </c>
      <c r="C172" s="32" t="str">
        <f>'Calc-R'!AF172</f>
        <v>0.01, (-0.07, 0.09)</v>
      </c>
    </row>
    <row r="173" spans="1:3" x14ac:dyDescent="0.25">
      <c r="A173" s="120" t="s">
        <v>466</v>
      </c>
      <c r="C173" s="32" t="str">
        <f>'Calc-R'!AF173</f>
        <v>0.06, (-0.02, 0.14)</v>
      </c>
    </row>
    <row r="174" spans="1:3" x14ac:dyDescent="0.25">
      <c r="A174" s="122"/>
    </row>
    <row r="175" spans="1:3" x14ac:dyDescent="0.25">
      <c r="A175" s="120" t="s">
        <v>323</v>
      </c>
      <c r="C175" s="32" t="str">
        <f>'Calc-R'!AF175</f>
        <v>0.05, (-0.01, 0.11)</v>
      </c>
    </row>
    <row r="176" spans="1:3" x14ac:dyDescent="0.25">
      <c r="A176" s="120"/>
    </row>
    <row r="177" spans="1:3" x14ac:dyDescent="0.25">
      <c r="A177" s="120" t="s">
        <v>322</v>
      </c>
      <c r="C177" s="32" t="str">
        <f>'Calc-R'!AF177</f>
        <v>0.03, (-0.05, 0.11)</v>
      </c>
    </row>
    <row r="178" spans="1:3" x14ac:dyDescent="0.25">
      <c r="A178" s="121"/>
    </row>
    <row r="179" spans="1:3" x14ac:dyDescent="0.25">
      <c r="A179" s="121" t="s">
        <v>185</v>
      </c>
      <c r="C179" s="32" t="str">
        <f>'Calc-R'!AF179</f>
        <v>0.04, (-0.01, 0.09)</v>
      </c>
    </row>
    <row r="180" spans="1:3" x14ac:dyDescent="0.25">
      <c r="A180" s="121"/>
    </row>
    <row r="181" spans="1:3" x14ac:dyDescent="0.25">
      <c r="A181" s="119" t="s">
        <v>327</v>
      </c>
      <c r="C181" s="32" t="str">
        <f>'Calc-R'!AF181</f>
        <v>0.04, (0, 0.09)</v>
      </c>
    </row>
    <row r="182" spans="1:3" x14ac:dyDescent="0.25">
      <c r="A182" s="119"/>
    </row>
    <row r="183" spans="1:3" x14ac:dyDescent="0.25">
      <c r="A183" s="119" t="s">
        <v>328</v>
      </c>
      <c r="C183" s="32" t="str">
        <f>'Calc-R'!AF183</f>
        <v>0.04, (-0.01, 0.08)</v>
      </c>
    </row>
    <row r="184" spans="1:3" x14ac:dyDescent="0.25">
      <c r="A184" s="119"/>
    </row>
    <row r="185" spans="1:3" x14ac:dyDescent="0.25">
      <c r="A185" s="119" t="s">
        <v>467</v>
      </c>
      <c r="C185" s="32" t="str">
        <f>'Calc-R'!AF185</f>
        <v>0.04, (0.01, 0.07)</v>
      </c>
    </row>
  </sheetData>
  <phoneticPr fontId="17" type="noConversion"/>
  <pageMargins left="0.75" right="0.75" top="1" bottom="1" header="0.5" footer="0.5"/>
  <pageSetup scale="87" orientation="portrait" horizontalDpi="4294967292" verticalDpi="4294967292"/>
  <colBreaks count="1" manualBreakCount="1">
    <brk id="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0"/>
  <sheetViews>
    <sheetView workbookViewId="0">
      <selection activeCell="A13" sqref="A13"/>
    </sheetView>
  </sheetViews>
  <sheetFormatPr defaultColWidth="10.875" defaultRowHeight="15.75" x14ac:dyDescent="0.25"/>
  <cols>
    <col min="2" max="2" width="24.625" customWidth="1"/>
    <col min="3" max="3" width="13.5" bestFit="1" customWidth="1"/>
    <col min="4" max="4" width="14" bestFit="1" customWidth="1"/>
    <col min="5" max="5" width="14.125" bestFit="1" customWidth="1"/>
  </cols>
  <sheetData>
    <row r="2" spans="1:5" x14ac:dyDescent="0.25">
      <c r="B2" s="92"/>
      <c r="C2" s="92" t="s">
        <v>306</v>
      </c>
      <c r="D2" s="92" t="s">
        <v>307</v>
      </c>
      <c r="E2" s="92" t="s">
        <v>305</v>
      </c>
    </row>
    <row r="3" spans="1:5" x14ac:dyDescent="0.25">
      <c r="B3" s="89" t="s">
        <v>10</v>
      </c>
      <c r="C3" s="88" t="str">
        <f>CONCATENATE(ROUND(AH31,2)," (",ROUND(AI31,2),", ",ROUND(AJ31,2),")")</f>
        <v>0.17 (0.08, 0.26)</v>
      </c>
      <c r="D3" s="88" t="str">
        <f>CONCATENATE(ROUND(V31,2)," (",ROUND(W31,2),", ",ROUND(X31,2),")")</f>
        <v>0.1 (-0.09, 0.29)</v>
      </c>
      <c r="E3" s="88" t="str">
        <f t="shared" ref="E3:E8" si="0">CONCATENATE(ROUND(J31,2)," (",ROUND(K31,2),", ",ROUND(L31,2),")")</f>
        <v>0.04 (0, 0.07)</v>
      </c>
    </row>
    <row r="4" spans="1:5" x14ac:dyDescent="0.25">
      <c r="A4" s="10"/>
      <c r="B4" s="90" t="s">
        <v>50</v>
      </c>
      <c r="C4" s="88" t="str">
        <f>CONCATENATE(ROUND(AH32,2)," (",ROUND(AI32,2),", ",ROUND(AJ32,2),")")</f>
        <v>0.2 (0.16, 0.25)</v>
      </c>
      <c r="D4" s="88" t="str">
        <f t="shared" ref="D4:D8" si="1">CONCATENATE(ROUND(V32,2)," (",ROUND(W32,2),", ",ROUND(X32,2),")")</f>
        <v>0.27 (0.02, 0.49)</v>
      </c>
      <c r="E4" s="88" t="str">
        <f t="shared" si="0"/>
        <v>0.03 (0, 0.07)</v>
      </c>
    </row>
    <row r="5" spans="1:5" x14ac:dyDescent="0.25">
      <c r="A5" s="10"/>
      <c r="B5" s="90" t="s">
        <v>78</v>
      </c>
      <c r="C5" s="88" t="str">
        <f t="shared" ref="C5:C8" si="2">CONCATENATE(ROUND(AH33,2)," (",ROUND(AI33,2),", ",ROUND(AJ33,2),")")</f>
        <v>0.09 (0.04, 0.14)</v>
      </c>
      <c r="D5" s="88" t="str">
        <f t="shared" si="1"/>
        <v>0.21 (0, 0.39)</v>
      </c>
      <c r="E5" s="88" t="str">
        <f t="shared" si="0"/>
        <v>0.01 (-0.01, 0.02)</v>
      </c>
    </row>
    <row r="6" spans="1:5" x14ac:dyDescent="0.25">
      <c r="A6" s="10"/>
      <c r="B6" s="91" t="s">
        <v>110</v>
      </c>
      <c r="C6" s="88" t="str">
        <f t="shared" si="2"/>
        <v>0.19 (0.15, 0.23)</v>
      </c>
      <c r="D6" s="88" t="str">
        <f t="shared" si="1"/>
        <v>0.36 (0.13, 0.56)</v>
      </c>
      <c r="E6" s="88" t="str">
        <f t="shared" si="0"/>
        <v>0 (-0.03, 0.02)</v>
      </c>
    </row>
    <row r="7" spans="1:5" x14ac:dyDescent="0.25">
      <c r="A7" s="10"/>
      <c r="B7" s="90" t="s">
        <v>131</v>
      </c>
      <c r="C7" s="88" t="str">
        <f t="shared" si="2"/>
        <v>0.12 (0.09, 0.16)</v>
      </c>
      <c r="D7" s="88" t="str">
        <f t="shared" si="1"/>
        <v>0.11 (-0.02, 0.24)</v>
      </c>
      <c r="E7" s="88" t="str">
        <f t="shared" si="0"/>
        <v>0.01 (-0.01, 0.03)</v>
      </c>
    </row>
    <row r="8" spans="1:5" x14ac:dyDescent="0.25">
      <c r="A8" s="10"/>
      <c r="B8" s="90" t="s">
        <v>304</v>
      </c>
      <c r="C8" s="88" t="str">
        <f t="shared" si="2"/>
        <v>0.13 (0.09, 0.17)</v>
      </c>
      <c r="D8" s="88" t="str">
        <f t="shared" si="1"/>
        <v>0.11 (0, 0.22)</v>
      </c>
      <c r="E8" s="88" t="str">
        <f t="shared" si="0"/>
        <v>0.03 (0.01, 0.04)</v>
      </c>
    </row>
    <row r="9" spans="1:5" x14ac:dyDescent="0.25">
      <c r="A9" s="10"/>
      <c r="B9" s="88"/>
      <c r="C9" s="88"/>
      <c r="D9" s="88"/>
      <c r="E9" s="88"/>
    </row>
    <row r="10" spans="1:5" x14ac:dyDescent="0.25">
      <c r="A10" s="10"/>
      <c r="B10" s="92" t="s">
        <v>186</v>
      </c>
      <c r="C10" s="92" t="str">
        <f>CONCATENATE(ROUND(AH39,2)," (",ROUND(AI39,2),", ",ROUND(AJ39,2),")")</f>
        <v>0.14 (0.12, 0.16)</v>
      </c>
      <c r="D10" s="92" t="str">
        <f>CONCATENATE(ROUND(V39,2)," (",ROUND(W39,2),", ",ROUND(X39,2),")")</f>
        <v>0.2 (0.12, 0.27)</v>
      </c>
      <c r="E10" s="92" t="str">
        <f>CONCATENATE(ROUND(J39,2)," (",ROUND(K39,2),", ",ROUND(L39,2),")")</f>
        <v>0.02 (0.01, 0.03)</v>
      </c>
    </row>
    <row r="11" spans="1:5" x14ac:dyDescent="0.25">
      <c r="A11" s="10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36" x14ac:dyDescent="0.25">
      <c r="A17" s="10"/>
    </row>
    <row r="18" spans="1:36" x14ac:dyDescent="0.25">
      <c r="A18" s="10"/>
    </row>
    <row r="20" spans="1:36" x14ac:dyDescent="0.25">
      <c r="A20" s="10"/>
    </row>
    <row r="21" spans="1:36" x14ac:dyDescent="0.25">
      <c r="A21" s="10"/>
    </row>
    <row r="22" spans="1:36" x14ac:dyDescent="0.25">
      <c r="A22" s="10"/>
    </row>
    <row r="23" spans="1:36" x14ac:dyDescent="0.25">
      <c r="A23" s="10"/>
    </row>
    <row r="24" spans="1:36" x14ac:dyDescent="0.25">
      <c r="A24" s="10"/>
    </row>
    <row r="25" spans="1:36" x14ac:dyDescent="0.25">
      <c r="A25" s="10"/>
    </row>
    <row r="26" spans="1:36" x14ac:dyDescent="0.25">
      <c r="A26" s="10"/>
    </row>
    <row r="27" spans="1:36" x14ac:dyDescent="0.25">
      <c r="A27" s="10"/>
    </row>
    <row r="28" spans="1:36" x14ac:dyDescent="0.25">
      <c r="A28" s="10"/>
    </row>
    <row r="29" spans="1:36" x14ac:dyDescent="0.25">
      <c r="A29" s="10"/>
    </row>
    <row r="30" spans="1:36" x14ac:dyDescent="0.25">
      <c r="A30" s="10"/>
      <c r="AH30" t="s">
        <v>301</v>
      </c>
      <c r="AI30" t="s">
        <v>302</v>
      </c>
      <c r="AJ30" t="s">
        <v>303</v>
      </c>
    </row>
    <row r="31" spans="1:36" x14ac:dyDescent="0.25">
      <c r="A31" s="10"/>
      <c r="C31" t="s">
        <v>300</v>
      </c>
      <c r="D31" t="s">
        <v>293</v>
      </c>
      <c r="E31" t="s">
        <v>271</v>
      </c>
      <c r="F31">
        <v>3.7999999999999999E-2</v>
      </c>
      <c r="G31">
        <v>5.0000000000000001E-3</v>
      </c>
      <c r="H31">
        <v>7.0999999999999994E-2</v>
      </c>
      <c r="I31">
        <v>7.86</v>
      </c>
      <c r="J31" s="84">
        <f>(EXP(2*F31)-1)/(EXP(2*F31)+1)</f>
        <v>3.7981719891851208E-2</v>
      </c>
      <c r="K31" s="84">
        <f>(EXP(2*G31)-1)/(EXP(2*G31)+1)</f>
        <v>4.9999583337499423E-3</v>
      </c>
      <c r="L31" s="84">
        <f>(EXP(2*H31)-1)/(EXP(2*H31)+1)</f>
        <v>7.0880936407399689E-2</v>
      </c>
      <c r="M31" s="84"/>
      <c r="O31" t="s">
        <v>300</v>
      </c>
      <c r="P31" t="s">
        <v>293</v>
      </c>
      <c r="Q31" t="s">
        <v>271</v>
      </c>
      <c r="R31">
        <v>0.10299999999999999</v>
      </c>
      <c r="S31">
        <v>-8.8999999999999996E-2</v>
      </c>
      <c r="T31">
        <v>0.29599999999999999</v>
      </c>
      <c r="U31">
        <v>9.64</v>
      </c>
      <c r="V31" s="84">
        <f>(EXP(2*R31)-1)/(EXP(2*R31)+1)</f>
        <v>0.10263729675643044</v>
      </c>
      <c r="W31" s="84">
        <f>(EXP(2*S31)-1)/(EXP(2*S31)+1)</f>
        <v>-8.8765752495142847E-2</v>
      </c>
      <c r="X31" s="84">
        <f>(EXP(2*T31)-1)/(EXP(2*T31)+1)</f>
        <v>0.28764781374151127</v>
      </c>
      <c r="AA31" t="s">
        <v>300</v>
      </c>
      <c r="AB31" t="s">
        <v>293</v>
      </c>
      <c r="AC31" t="s">
        <v>271</v>
      </c>
      <c r="AD31">
        <v>0.17299999999999999</v>
      </c>
      <c r="AE31">
        <v>7.9000000000000001E-2</v>
      </c>
      <c r="AF31">
        <v>0.26700000000000002</v>
      </c>
      <c r="AG31">
        <v>7.6</v>
      </c>
      <c r="AH31" s="84">
        <f>(EXP(2*AD31)-1)/(EXP(2*AD31)+1)</f>
        <v>0.17129450888475709</v>
      </c>
      <c r="AI31" s="84">
        <f>(EXP(2*AE31)-1)/(EXP(2*AE31)+1)</f>
        <v>7.883606290706624E-2</v>
      </c>
      <c r="AJ31" s="84">
        <f>(EXP(2*AF31)-1)/(EXP(2*AF31)+1)</f>
        <v>0.26083112854336393</v>
      </c>
    </row>
    <row r="32" spans="1:36" x14ac:dyDescent="0.25">
      <c r="A32" s="10"/>
      <c r="C32" t="s">
        <v>300</v>
      </c>
      <c r="D32" t="s">
        <v>293</v>
      </c>
      <c r="E32" t="s">
        <v>271</v>
      </c>
      <c r="F32">
        <v>3.3000000000000002E-2</v>
      </c>
      <c r="G32">
        <v>-1E-3</v>
      </c>
      <c r="H32">
        <v>6.7000000000000004E-2</v>
      </c>
      <c r="I32">
        <v>9.44</v>
      </c>
      <c r="J32" s="84">
        <f t="shared" ref="J32:J36" si="3">(EXP(2*F32)-1)/(EXP(2*F32)+1)</f>
        <v>3.2988026215753398E-2</v>
      </c>
      <c r="K32" s="84">
        <f t="shared" ref="K32:K36" si="4">(EXP(2*G32)-1)/(EXP(2*G32)+1)</f>
        <v>-9.9999966666679393E-4</v>
      </c>
      <c r="L32" s="84">
        <f t="shared" ref="L32:L36" si="5">(EXP(2*H32)-1)/(EXP(2*H32)+1)</f>
        <v>6.6899925356855544E-2</v>
      </c>
      <c r="M32" s="84"/>
      <c r="O32" t="s">
        <v>300</v>
      </c>
      <c r="P32" t="s">
        <v>293</v>
      </c>
      <c r="Q32" t="s">
        <v>271</v>
      </c>
      <c r="R32">
        <v>0.27600000000000002</v>
      </c>
      <c r="S32">
        <v>1.7000000000000001E-2</v>
      </c>
      <c r="T32">
        <v>0.53600000000000003</v>
      </c>
      <c r="U32">
        <v>15.94</v>
      </c>
      <c r="V32" s="84">
        <f t="shared" ref="V32:V36" si="6">(EXP(2*R32)-1)/(EXP(2*R32)+1)</f>
        <v>0.26919896338823385</v>
      </c>
      <c r="W32" s="84">
        <f t="shared" ref="W32:W36" si="7">(EXP(2*S32)-1)/(EXP(2*S32)+1)</f>
        <v>1.6998362522625467E-2</v>
      </c>
      <c r="X32" s="84">
        <f t="shared" ref="X32:X36" si="8">(EXP(2*T32)-1)/(EXP(2*T32)+1)</f>
        <v>0.48995414885409971</v>
      </c>
      <c r="AA32" t="s">
        <v>300</v>
      </c>
      <c r="AB32" t="s">
        <v>293</v>
      </c>
      <c r="AC32" t="s">
        <v>271</v>
      </c>
      <c r="AD32">
        <v>0.20699999999999999</v>
      </c>
      <c r="AE32">
        <v>0.158</v>
      </c>
      <c r="AF32">
        <v>0.25600000000000001</v>
      </c>
      <c r="AG32">
        <v>11.33</v>
      </c>
      <c r="AH32" s="84">
        <f t="shared" ref="AH32:AH36" si="9">(EXP(2*AD32)-1)/(EXP(2*AD32)+1)</f>
        <v>0.20409322973338656</v>
      </c>
      <c r="AI32" s="84">
        <f t="shared" ref="AI32:AI36" si="10">(EXP(2*AE32)-1)/(EXP(2*AE32)+1)</f>
        <v>0.15669822677647655</v>
      </c>
      <c r="AJ32" s="84">
        <f t="shared" ref="AJ32:AJ36" si="11">(EXP(2*AF32)-1)/(EXP(2*AF32)+1)</f>
        <v>0.25055040799817452</v>
      </c>
    </row>
    <row r="33" spans="1:36" x14ac:dyDescent="0.25">
      <c r="A33" s="10"/>
      <c r="C33" t="s">
        <v>300</v>
      </c>
      <c r="D33" t="s">
        <v>293</v>
      </c>
      <c r="E33" t="s">
        <v>271</v>
      </c>
      <c r="F33">
        <v>7.0000000000000001E-3</v>
      </c>
      <c r="G33">
        <v>-8.9999999999999993E-3</v>
      </c>
      <c r="H33">
        <v>2.3E-2</v>
      </c>
      <c r="I33">
        <v>17.690000000000001</v>
      </c>
      <c r="J33" s="84">
        <f t="shared" si="3"/>
        <v>6.9998856689075153E-3</v>
      </c>
      <c r="K33" s="84">
        <f t="shared" si="4"/>
        <v>-8.9997570078729165E-3</v>
      </c>
      <c r="L33" s="84">
        <f t="shared" si="5"/>
        <v>2.29959451913287E-2</v>
      </c>
      <c r="M33" s="84"/>
      <c r="O33" t="s">
        <v>300</v>
      </c>
      <c r="P33" t="s">
        <v>293</v>
      </c>
      <c r="Q33" t="s">
        <v>271</v>
      </c>
      <c r="R33">
        <v>0.20799999999999999</v>
      </c>
      <c r="S33">
        <v>5.0000000000000001E-3</v>
      </c>
      <c r="T33">
        <v>0.41099999999999998</v>
      </c>
      <c r="U33">
        <v>16.12</v>
      </c>
      <c r="V33" s="84">
        <f t="shared" si="6"/>
        <v>0.2050513798156354</v>
      </c>
      <c r="W33" s="84">
        <f t="shared" si="7"/>
        <v>4.9999583337499423E-3</v>
      </c>
      <c r="X33" s="84">
        <f t="shared" si="8"/>
        <v>0.38932143919019357</v>
      </c>
      <c r="AA33" t="s">
        <v>300</v>
      </c>
      <c r="AB33" t="s">
        <v>293</v>
      </c>
      <c r="AC33" t="s">
        <v>271</v>
      </c>
      <c r="AD33">
        <v>0.09</v>
      </c>
      <c r="AE33">
        <v>4.2000000000000003E-2</v>
      </c>
      <c r="AF33">
        <v>0.13700000000000001</v>
      </c>
      <c r="AG33">
        <v>16.850000000000001</v>
      </c>
      <c r="AH33" s="84">
        <f t="shared" si="9"/>
        <v>8.9757784747160105E-2</v>
      </c>
      <c r="AI33" s="84">
        <f t="shared" si="10"/>
        <v>4.1975321413064655E-2</v>
      </c>
      <c r="AJ33" s="84">
        <f t="shared" si="11"/>
        <v>0.13614926871317673</v>
      </c>
    </row>
    <row r="34" spans="1:36" x14ac:dyDescent="0.25">
      <c r="A34" s="10"/>
      <c r="C34" t="s">
        <v>300</v>
      </c>
      <c r="D34" t="s">
        <v>293</v>
      </c>
      <c r="E34" t="s">
        <v>271</v>
      </c>
      <c r="F34">
        <v>0</v>
      </c>
      <c r="G34">
        <v>-2.5999999999999999E-2</v>
      </c>
      <c r="H34">
        <v>2.5000000000000001E-2</v>
      </c>
      <c r="I34">
        <v>14.03</v>
      </c>
      <c r="J34" s="84">
        <f t="shared" si="3"/>
        <v>0</v>
      </c>
      <c r="K34" s="84">
        <f t="shared" si="4"/>
        <v>-2.5994142917083487E-2</v>
      </c>
      <c r="L34" s="84">
        <f t="shared" si="5"/>
        <v>2.499479296842072E-2</v>
      </c>
      <c r="M34" s="84"/>
      <c r="O34" t="s">
        <v>300</v>
      </c>
      <c r="P34" t="s">
        <v>293</v>
      </c>
      <c r="Q34" t="s">
        <v>271</v>
      </c>
      <c r="R34">
        <v>0.38</v>
      </c>
      <c r="S34">
        <v>0.13</v>
      </c>
      <c r="T34">
        <v>0.63100000000000001</v>
      </c>
      <c r="U34">
        <v>15.27</v>
      </c>
      <c r="V34" s="84">
        <f t="shared" si="6"/>
        <v>0.36270746757805106</v>
      </c>
      <c r="W34" s="84">
        <f t="shared" si="7"/>
        <v>0.12927258360605831</v>
      </c>
      <c r="X34" s="84">
        <f t="shared" si="8"/>
        <v>0.55874040900705746</v>
      </c>
      <c r="AA34" t="s">
        <v>300</v>
      </c>
      <c r="AB34" t="s">
        <v>293</v>
      </c>
      <c r="AC34" t="s">
        <v>271</v>
      </c>
      <c r="AD34">
        <v>0.19500000000000001</v>
      </c>
      <c r="AE34">
        <v>0.153</v>
      </c>
      <c r="AF34">
        <v>0.23699999999999999</v>
      </c>
      <c r="AG34">
        <v>13.58</v>
      </c>
      <c r="AH34" s="84">
        <f t="shared" si="9"/>
        <v>0.19256539859357574</v>
      </c>
      <c r="AI34" s="84">
        <f t="shared" si="10"/>
        <v>0.15181721489334743</v>
      </c>
      <c r="AJ34" s="84">
        <f t="shared" si="11"/>
        <v>0.23266012946007786</v>
      </c>
    </row>
    <row r="35" spans="1:36" x14ac:dyDescent="0.25">
      <c r="A35" s="10"/>
      <c r="C35" t="s">
        <v>300</v>
      </c>
      <c r="D35" t="s">
        <v>293</v>
      </c>
      <c r="E35" t="s">
        <v>271</v>
      </c>
      <c r="F35">
        <v>1.2E-2</v>
      </c>
      <c r="G35">
        <v>-8.9999999999999993E-3</v>
      </c>
      <c r="H35">
        <v>3.3000000000000002E-2</v>
      </c>
      <c r="I35">
        <v>16.100000000000001</v>
      </c>
      <c r="J35" s="84">
        <f t="shared" si="3"/>
        <v>1.1999424033175663E-2</v>
      </c>
      <c r="K35" s="84">
        <f t="shared" si="4"/>
        <v>-8.9997570078729165E-3</v>
      </c>
      <c r="L35" s="84">
        <f t="shared" si="5"/>
        <v>3.2988026215753398E-2</v>
      </c>
      <c r="M35" s="84"/>
      <c r="O35" t="s">
        <v>300</v>
      </c>
      <c r="P35" t="s">
        <v>293</v>
      </c>
      <c r="Q35" t="s">
        <v>271</v>
      </c>
      <c r="R35">
        <v>0.115</v>
      </c>
      <c r="S35">
        <v>-1.7000000000000001E-2</v>
      </c>
      <c r="T35">
        <v>0.247</v>
      </c>
      <c r="U35">
        <v>18.32</v>
      </c>
      <c r="V35" s="84">
        <f t="shared" si="6"/>
        <v>0.11449570919711113</v>
      </c>
      <c r="W35" s="84">
        <f t="shared" si="7"/>
        <v>-1.699836252262547E-2</v>
      </c>
      <c r="X35" s="84">
        <f t="shared" si="8"/>
        <v>0.24209655276165779</v>
      </c>
      <c r="AA35" t="s">
        <v>300</v>
      </c>
      <c r="AB35" t="s">
        <v>293</v>
      </c>
      <c r="AC35" t="s">
        <v>271</v>
      </c>
      <c r="AD35">
        <v>0.122</v>
      </c>
      <c r="AE35">
        <v>8.5999999999999993E-2</v>
      </c>
      <c r="AF35">
        <v>0.157</v>
      </c>
      <c r="AG35">
        <v>18.010000000000002</v>
      </c>
      <c r="AH35" s="84">
        <f t="shared" si="9"/>
        <v>0.12139829936450593</v>
      </c>
      <c r="AI35" s="84">
        <f t="shared" si="10"/>
        <v>8.5788606697261946E-2</v>
      </c>
      <c r="AJ35" s="84">
        <f t="shared" si="11"/>
        <v>0.15572262856144051</v>
      </c>
    </row>
    <row r="36" spans="1:36" x14ac:dyDescent="0.25">
      <c r="C36" t="s">
        <v>300</v>
      </c>
      <c r="D36" t="s">
        <v>293</v>
      </c>
      <c r="E36" t="s">
        <v>271</v>
      </c>
      <c r="F36">
        <v>2.5999999999999999E-2</v>
      </c>
      <c r="G36">
        <v>1.0999999999999999E-2</v>
      </c>
      <c r="H36">
        <v>4.2000000000000003E-2</v>
      </c>
      <c r="I36">
        <v>34.89</v>
      </c>
      <c r="J36" s="84">
        <f t="shared" si="3"/>
        <v>2.5994142917083449E-2</v>
      </c>
      <c r="K36" s="84">
        <f t="shared" si="4"/>
        <v>1.0999556354805718E-2</v>
      </c>
      <c r="L36" s="84">
        <f t="shared" si="5"/>
        <v>4.1975321413064655E-2</v>
      </c>
      <c r="M36" s="84"/>
      <c r="O36" t="s">
        <v>300</v>
      </c>
      <c r="P36" t="s">
        <v>293</v>
      </c>
      <c r="Q36" t="s">
        <v>271</v>
      </c>
      <c r="R36">
        <v>0.114</v>
      </c>
      <c r="S36">
        <v>4.0000000000000001E-3</v>
      </c>
      <c r="T36">
        <v>0.224</v>
      </c>
      <c r="U36">
        <v>24.72</v>
      </c>
      <c r="V36" s="84">
        <f t="shared" si="6"/>
        <v>0.11350870578588125</v>
      </c>
      <c r="W36" s="84">
        <f t="shared" si="7"/>
        <v>3.9999786668032224E-3</v>
      </c>
      <c r="X36" s="84">
        <f t="shared" si="8"/>
        <v>0.22032722188562109</v>
      </c>
      <c r="AA36" t="s">
        <v>300</v>
      </c>
      <c r="AB36" t="s">
        <v>293</v>
      </c>
      <c r="AC36" t="s">
        <v>271</v>
      </c>
      <c r="AD36">
        <v>0.13400000000000001</v>
      </c>
      <c r="AE36">
        <v>9.5000000000000001E-2</v>
      </c>
      <c r="AF36">
        <v>0.17399999999999999</v>
      </c>
      <c r="AG36">
        <v>32.630000000000003</v>
      </c>
      <c r="AH36" s="84">
        <f t="shared" si="9"/>
        <v>0.13320368430254781</v>
      </c>
      <c r="AI36" s="84">
        <f t="shared" si="10"/>
        <v>9.4715236286178561E-2</v>
      </c>
      <c r="AJ36" s="84">
        <f t="shared" si="11"/>
        <v>0.17226500051259905</v>
      </c>
    </row>
    <row r="37" spans="1:36" x14ac:dyDescent="0.25">
      <c r="A37" s="22"/>
      <c r="B37" t="s">
        <v>294</v>
      </c>
      <c r="N37" t="s">
        <v>294</v>
      </c>
      <c r="Z37" t="s">
        <v>294</v>
      </c>
    </row>
    <row r="38" spans="1:36" x14ac:dyDescent="0.25">
      <c r="A38" s="22"/>
      <c r="B38" t="s">
        <v>186</v>
      </c>
      <c r="N38" t="s">
        <v>186</v>
      </c>
      <c r="Z38" t="s">
        <v>186</v>
      </c>
    </row>
    <row r="39" spans="1:36" x14ac:dyDescent="0.25">
      <c r="A39" s="22"/>
      <c r="C39" t="s">
        <v>300</v>
      </c>
      <c r="D39" t="s">
        <v>293</v>
      </c>
      <c r="E39" t="s">
        <v>271</v>
      </c>
      <c r="F39">
        <v>1.9E-2</v>
      </c>
      <c r="G39">
        <v>0.01</v>
      </c>
      <c r="H39">
        <v>2.8000000000000001E-2</v>
      </c>
      <c r="I39">
        <v>100</v>
      </c>
      <c r="J39" s="84">
        <f t="shared" ref="J39" si="12">(EXP(2*F39)-1)/(EXP(2*F39)+1)</f>
        <v>1.8997713996764934E-2</v>
      </c>
      <c r="K39" s="84">
        <f t="shared" ref="K39" si="13">(EXP(2*G39)-1)/(EXP(2*G39)+1)</f>
        <v>9.999666679999443E-3</v>
      </c>
      <c r="L39" s="84">
        <f t="shared" ref="L39" si="14">(EXP(2*H39)-1)/(EXP(2*H39)+1)</f>
        <v>2.7992684960654431E-2</v>
      </c>
      <c r="M39" s="84"/>
      <c r="O39" t="s">
        <v>300</v>
      </c>
      <c r="P39" t="s">
        <v>293</v>
      </c>
      <c r="Q39" t="s">
        <v>271</v>
      </c>
      <c r="R39">
        <v>0.20200000000000001</v>
      </c>
      <c r="S39">
        <v>0.123</v>
      </c>
      <c r="T39">
        <v>0.28100000000000003</v>
      </c>
      <c r="U39">
        <v>100</v>
      </c>
      <c r="V39" s="84">
        <f t="shared" ref="V39" si="15">(EXP(2*R39)-1)/(EXP(2*R39)+1)</f>
        <v>0.19929664518481185</v>
      </c>
      <c r="W39" s="84">
        <f t="shared" ref="W39" si="16">(EXP(2*S39)-1)/(EXP(2*S39)+1)</f>
        <v>0.12238344189440879</v>
      </c>
      <c r="X39" s="84">
        <f t="shared" ref="X39" si="17">(EXP(2*T39)-1)/(EXP(2*T39)+1)</f>
        <v>0.27383035056082894</v>
      </c>
      <c r="AA39" t="s">
        <v>300</v>
      </c>
      <c r="AB39" t="s">
        <v>293</v>
      </c>
      <c r="AC39" t="s">
        <v>271</v>
      </c>
      <c r="AD39">
        <v>0.14399999999999999</v>
      </c>
      <c r="AE39">
        <v>0.124</v>
      </c>
      <c r="AF39">
        <v>0.16400000000000001</v>
      </c>
      <c r="AG39">
        <v>100</v>
      </c>
      <c r="AH39" s="84">
        <f t="shared" ref="AH39" si="18">(EXP(2*AD39)-1)/(EXP(2*AD39)+1)</f>
        <v>0.14301285893511187</v>
      </c>
      <c r="AI39" s="84">
        <f t="shared" ref="AI39" si="19">(EXP(2*AE39)-1)/(EXP(2*AE39)+1)</f>
        <v>0.12336834332363156</v>
      </c>
      <c r="AJ39" s="84">
        <f t="shared" ref="AJ39" si="20">(EXP(2*AF39)-1)/(EXP(2*AF39)+1)</f>
        <v>0.16254533321845097</v>
      </c>
    </row>
    <row r="40" spans="1:36" x14ac:dyDescent="0.25">
      <c r="A40" s="22"/>
    </row>
    <row r="41" spans="1:36" x14ac:dyDescent="0.25">
      <c r="A41" s="22"/>
    </row>
    <row r="42" spans="1:36" x14ac:dyDescent="0.25">
      <c r="A42" s="22"/>
    </row>
    <row r="43" spans="1:36" x14ac:dyDescent="0.25">
      <c r="A43" s="22"/>
    </row>
    <row r="44" spans="1:36" x14ac:dyDescent="0.25">
      <c r="A44" s="22"/>
    </row>
    <row r="45" spans="1:36" x14ac:dyDescent="0.25">
      <c r="A45" s="22"/>
    </row>
    <row r="46" spans="1:36" x14ac:dyDescent="0.25">
      <c r="A46" s="22"/>
    </row>
    <row r="47" spans="1:36" x14ac:dyDescent="0.25">
      <c r="A47" s="22"/>
    </row>
    <row r="48" spans="1:36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 t="s">
        <v>162</v>
      </c>
    </row>
  </sheetData>
  <phoneticPr fontId="17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4"/>
  <sheetViews>
    <sheetView workbookViewId="0">
      <selection activeCell="F5" sqref="F5"/>
    </sheetView>
  </sheetViews>
  <sheetFormatPr defaultColWidth="10.875" defaultRowHeight="15.75" x14ac:dyDescent="0.25"/>
  <sheetData>
    <row r="1" spans="2:15" x14ac:dyDescent="0.25">
      <c r="B1" s="92"/>
      <c r="C1" s="92" t="s">
        <v>306</v>
      </c>
      <c r="D1" s="92" t="s">
        <v>307</v>
      </c>
      <c r="E1" s="92" t="s">
        <v>305</v>
      </c>
    </row>
    <row r="2" spans="2:15" x14ac:dyDescent="0.25">
      <c r="B2" s="89" t="s">
        <v>10</v>
      </c>
      <c r="C2" s="88" t="str">
        <f t="shared" ref="C2:C7" si="0">CONCATENATE(ROUND(G2,2)," (",ROUND(H2,2),", ",ROUND(I2,2),")")</f>
        <v>0.09 (-0.09, 0.26)</v>
      </c>
      <c r="D2" s="88" t="str">
        <f t="shared" ref="D2:D7" si="1">CONCATENATE(ROUND(J2,2)," (",ROUND(K2,2),", ",ROUND(L2,2),")")</f>
        <v>0.09 (-0.08, 0.26)</v>
      </c>
      <c r="E2" s="88" t="str">
        <f t="shared" ref="E2:E7" si="2">CONCATENATE(ROUND(M2,2)," (",ROUND(N2,2),", ",ROUND(O2,2),")")</f>
        <v>0.02 (-0.15, 0.19)</v>
      </c>
      <c r="G2" s="84">
        <f t="shared" ref="G2:G7" si="3">(EXP(2*B12)-1)/(EXP(2*B12)+1)</f>
        <v>8.7177936862366912E-2</v>
      </c>
      <c r="H2" s="84">
        <f t="shared" ref="H2:O2" si="4">(EXP(2*C12)-1)/(EXP(2*C12)+1)</f>
        <v>-8.6306816972264319E-2</v>
      </c>
      <c r="I2" s="84">
        <f t="shared" si="4"/>
        <v>0.25553132462906364</v>
      </c>
      <c r="J2" s="84">
        <f t="shared" si="4"/>
        <v>9.259043832370692E-2</v>
      </c>
      <c r="K2" s="84">
        <f t="shared" si="4"/>
        <v>-8.0888364459502912E-2</v>
      </c>
      <c r="L2" s="84">
        <f t="shared" si="4"/>
        <v>0.26062447697338298</v>
      </c>
      <c r="M2" s="84">
        <f t="shared" si="4"/>
        <v>1.9332291059224533E-2</v>
      </c>
      <c r="N2" s="84">
        <f t="shared" si="4"/>
        <v>-0.15336743392575572</v>
      </c>
      <c r="O2" s="84">
        <f t="shared" si="4"/>
        <v>0.19088606101357922</v>
      </c>
    </row>
    <row r="3" spans="2:15" x14ac:dyDescent="0.25">
      <c r="B3" s="90" t="s">
        <v>50</v>
      </c>
      <c r="C3" s="88" t="str">
        <f t="shared" si="0"/>
        <v>0.14 (-0.03, 0.3)</v>
      </c>
      <c r="D3" s="88" t="str">
        <f t="shared" si="1"/>
        <v>0.14 (-0.03, 0.31)</v>
      </c>
      <c r="E3" s="88" t="str">
        <f t="shared" si="2"/>
        <v>0.04 (-0.14, 0.21)</v>
      </c>
      <c r="G3" s="84">
        <f t="shared" si="3"/>
        <v>0.14009041517284956</v>
      </c>
      <c r="H3" s="84">
        <f t="shared" ref="H3:O3" si="5">(EXP(2*C13)-1)/(EXP(2*C13)+1)</f>
        <v>-3.2892206144009457E-2</v>
      </c>
      <c r="I3" s="84">
        <f t="shared" si="5"/>
        <v>0.30492421010346127</v>
      </c>
      <c r="J3" s="84">
        <f t="shared" si="5"/>
        <v>0.14297348090639259</v>
      </c>
      <c r="K3" s="84">
        <f t="shared" si="5"/>
        <v>-2.9953113152571455E-2</v>
      </c>
      <c r="L3" s="84">
        <f t="shared" si="5"/>
        <v>0.30759026717352406</v>
      </c>
      <c r="M3" s="84">
        <f t="shared" si="5"/>
        <v>3.5255681925953089E-2</v>
      </c>
      <c r="N3" s="84">
        <f t="shared" si="5"/>
        <v>-0.13776986403738489</v>
      </c>
      <c r="O3" s="84">
        <f t="shared" si="5"/>
        <v>0.20619314969917762</v>
      </c>
    </row>
    <row r="4" spans="2:15" x14ac:dyDescent="0.25">
      <c r="B4" s="90" t="s">
        <v>78</v>
      </c>
      <c r="C4" s="88" t="str">
        <f t="shared" si="0"/>
        <v>0.17 (0, 0.33)</v>
      </c>
      <c r="D4" s="88" t="str">
        <f t="shared" si="1"/>
        <v>0.03 (-0.14, 0.2)</v>
      </c>
      <c r="E4" s="88" t="str">
        <f t="shared" si="2"/>
        <v>0.06 (-0.12, 0.23)</v>
      </c>
      <c r="G4" s="84">
        <f t="shared" si="3"/>
        <v>0.17204385481943466</v>
      </c>
      <c r="H4" s="84">
        <f t="shared" ref="H4:O4" si="6">(EXP(2*C14)-1)/(EXP(2*C14)+1)</f>
        <v>-1.4977584443836864E-4</v>
      </c>
      <c r="I4" s="84">
        <f t="shared" si="6"/>
        <v>0.33432885940629054</v>
      </c>
      <c r="J4" s="84">
        <f t="shared" si="6"/>
        <v>3.0211403356137676E-2</v>
      </c>
      <c r="K4" s="84">
        <f t="shared" si="6"/>
        <v>-0.1427202319968314</v>
      </c>
      <c r="L4" s="84">
        <f t="shared" si="6"/>
        <v>0.20135314245818142</v>
      </c>
      <c r="M4" s="84">
        <f t="shared" si="6"/>
        <v>5.6805579945232672E-2</v>
      </c>
      <c r="N4" s="84">
        <f t="shared" si="6"/>
        <v>-0.1165233645473788</v>
      </c>
      <c r="O4" s="84">
        <f t="shared" si="6"/>
        <v>0.22677660206857719</v>
      </c>
    </row>
    <row r="5" spans="2:15" x14ac:dyDescent="0.25">
      <c r="B5" s="91" t="s">
        <v>110</v>
      </c>
      <c r="C5" s="88" t="str">
        <f t="shared" si="0"/>
        <v>0.2 (0.03, 0.36)</v>
      </c>
      <c r="D5" s="88" t="str">
        <f t="shared" si="1"/>
        <v>0.35 (0.19, 0.49)</v>
      </c>
      <c r="E5" s="88" t="str">
        <f t="shared" si="2"/>
        <v>0 (-0.17, 0.17)</v>
      </c>
      <c r="G5" s="84">
        <f t="shared" si="3"/>
        <v>0.20469805970255806</v>
      </c>
      <c r="H5" s="84">
        <f t="shared" ref="H5:O5" si="7">(EXP(2*C15)-1)/(EXP(2*C15)+1)</f>
        <v>3.3696561778647563E-2</v>
      </c>
      <c r="I5" s="84">
        <f t="shared" si="7"/>
        <v>0.36405546545212181</v>
      </c>
      <c r="J5" s="84">
        <f t="shared" si="7"/>
        <v>0.35250743629145187</v>
      </c>
      <c r="K5" s="84">
        <f t="shared" si="7"/>
        <v>0.19197046006193813</v>
      </c>
      <c r="L5" s="84">
        <f t="shared" si="7"/>
        <v>0.49467109791481623</v>
      </c>
      <c r="M5" s="84">
        <f t="shared" si="7"/>
        <v>-2.3396957306838092E-3</v>
      </c>
      <c r="N5" s="84">
        <f t="shared" si="7"/>
        <v>-0.17445860522671636</v>
      </c>
      <c r="O5" s="84">
        <f t="shared" si="7"/>
        <v>0.16991795285996961</v>
      </c>
    </row>
    <row r="6" spans="2:15" x14ac:dyDescent="0.25">
      <c r="B6" s="90" t="s">
        <v>131</v>
      </c>
      <c r="C6" s="88" t="str">
        <f t="shared" si="0"/>
        <v>0.21 (0.04, 0.37)</v>
      </c>
      <c r="D6" s="88" t="str">
        <f t="shared" si="1"/>
        <v>0.24 (0.07, 0.4)</v>
      </c>
      <c r="E6" s="88" t="str">
        <f t="shared" si="2"/>
        <v>0.03 (-0.15, 0.2)</v>
      </c>
      <c r="G6" s="84">
        <f t="shared" si="3"/>
        <v>0.20694955784922764</v>
      </c>
      <c r="H6" s="84">
        <f t="shared" ref="H6:O6" si="8">(EXP(2*C16)-1)/(EXP(2*C16)+1)</f>
        <v>3.6044801838992245E-2</v>
      </c>
      <c r="I6" s="84">
        <f t="shared" si="8"/>
        <v>0.36609321124052235</v>
      </c>
      <c r="J6" s="84">
        <f t="shared" si="8"/>
        <v>0.24329993402208161</v>
      </c>
      <c r="K6" s="84">
        <f t="shared" si="8"/>
        <v>7.4220088474863735E-2</v>
      </c>
      <c r="L6" s="84">
        <f t="shared" si="8"/>
        <v>0.39878267795337613</v>
      </c>
      <c r="M6" s="84">
        <f t="shared" si="8"/>
        <v>2.713183947687204E-2</v>
      </c>
      <c r="N6" s="84">
        <f t="shared" si="8"/>
        <v>-0.14573821540189857</v>
      </c>
      <c r="O6" s="84">
        <f t="shared" si="8"/>
        <v>0.19839417337088439</v>
      </c>
    </row>
    <row r="7" spans="2:15" x14ac:dyDescent="0.25">
      <c r="B7" s="90" t="s">
        <v>304</v>
      </c>
      <c r="C7" s="88" t="str">
        <f t="shared" si="0"/>
        <v>0.13 (-0.04, 0.3)</v>
      </c>
      <c r="D7" s="88" t="str">
        <f t="shared" si="1"/>
        <v>0.06 (-0.12, 0.23)</v>
      </c>
      <c r="E7" s="88" t="str">
        <f t="shared" si="2"/>
        <v>0.03 (-0.15, 0.2)</v>
      </c>
      <c r="G7" s="84">
        <f t="shared" si="3"/>
        <v>0.13059349994217212</v>
      </c>
      <c r="H7" s="84">
        <f t="shared" ref="H7:O7" si="9">(EXP(2*C17)-1)/(EXP(2*C17)+1)</f>
        <v>-4.2552564302503731E-2</v>
      </c>
      <c r="I7" s="84">
        <f t="shared" si="9"/>
        <v>0.29612381964716838</v>
      </c>
      <c r="J7" s="84">
        <f t="shared" si="9"/>
        <v>5.7491532285965964E-2</v>
      </c>
      <c r="K7" s="84">
        <f t="shared" si="9"/>
        <v>-0.11584445438116255</v>
      </c>
      <c r="L7" s="84">
        <f t="shared" si="9"/>
        <v>0.22742930760623772</v>
      </c>
      <c r="M7" s="84">
        <f t="shared" si="9"/>
        <v>2.6578738678849634E-2</v>
      </c>
      <c r="N7" s="84">
        <f t="shared" si="9"/>
        <v>-0.14627991551596137</v>
      </c>
      <c r="O7" s="84">
        <f t="shared" si="9"/>
        <v>0.19786240092791579</v>
      </c>
    </row>
    <row r="8" spans="2:15" x14ac:dyDescent="0.25">
      <c r="B8" s="88"/>
      <c r="G8" s="84"/>
      <c r="H8" s="84"/>
      <c r="I8" s="84"/>
      <c r="J8" s="84"/>
      <c r="K8" s="84"/>
      <c r="L8" s="84"/>
      <c r="M8" s="84"/>
      <c r="N8" s="84"/>
      <c r="O8" s="84"/>
    </row>
    <row r="9" spans="2:15" x14ac:dyDescent="0.25">
      <c r="B9" s="92" t="s">
        <v>186</v>
      </c>
      <c r="C9" s="92" t="str">
        <f>CONCATENATE(ROUND(G9,2)," (",ROUND(H9,2),", ",ROUND(I9,2),")")</f>
        <v>0.16 (-0.01, 0.32)</v>
      </c>
      <c r="D9" s="92" t="str">
        <f>CONCATENATE(ROUND(J9,2)," (",ROUND(K9,2),", ",ROUND(L9,2),")")</f>
        <v>0.01 (-0.16, 0.18)</v>
      </c>
      <c r="E9" s="92" t="str">
        <f>CONCATENATE(ROUND(M9,2)," (",ROUND(N9,2),", ",ROUND(O9,2),")")</f>
        <v>0.02 (-0.15, 0.2)</v>
      </c>
      <c r="G9" s="84">
        <f>(EXP(2*B19)-1)/(EXP(2*B19)+1)</f>
        <v>0.15981154898047933</v>
      </c>
      <c r="H9" s="84">
        <f t="shared" ref="H9:O9" si="10">(EXP(2*C19)-1)/(EXP(2*C19)+1)</f>
        <v>-1.2727888476394561E-2</v>
      </c>
      <c r="I9" s="84">
        <f t="shared" si="10"/>
        <v>0.32310947376245924</v>
      </c>
      <c r="J9" s="84">
        <f t="shared" si="10"/>
        <v>8.9656597593728467E-3</v>
      </c>
      <c r="K9" s="84">
        <f t="shared" si="10"/>
        <v>-0.16347590635550441</v>
      </c>
      <c r="L9" s="84">
        <f t="shared" si="10"/>
        <v>0.18087561952685008</v>
      </c>
      <c r="M9" s="84">
        <f t="shared" si="10"/>
        <v>2.4938428124340276E-2</v>
      </c>
      <c r="N9" s="84">
        <f t="shared" si="10"/>
        <v>-0.14788580612186566</v>
      </c>
      <c r="O9" s="84">
        <f t="shared" si="10"/>
        <v>0.19628475000698792</v>
      </c>
    </row>
    <row r="11" spans="2:15" x14ac:dyDescent="0.25">
      <c r="B11" t="s">
        <v>320</v>
      </c>
      <c r="E11" t="s">
        <v>321</v>
      </c>
      <c r="H11" t="s">
        <v>301</v>
      </c>
    </row>
    <row r="12" spans="2:15" x14ac:dyDescent="0.25">
      <c r="B12">
        <f>C44</f>
        <v>8.73998E-2</v>
      </c>
      <c r="C12">
        <f>B12-1.96*1/SQRT(130-3)</f>
        <v>-8.6522075845558322E-2</v>
      </c>
      <c r="D12">
        <f>B12+1.96*1/SQRT(130-3)</f>
        <v>0.26132167584555832</v>
      </c>
      <c r="E12">
        <f>Y44</f>
        <v>9.2856400000000006E-2</v>
      </c>
      <c r="F12">
        <f>E12-1.96*1/SQRT(130-3)</f>
        <v>-8.1065475845558316E-2</v>
      </c>
      <c r="G12">
        <f>E12+1.96*1/SQRT(130-3)</f>
        <v>0.26677827584555835</v>
      </c>
      <c r="H12">
        <f>N44</f>
        <v>1.93347E-2</v>
      </c>
      <c r="I12">
        <f>H12-1.96*1/SQRT(130-3)</f>
        <v>-0.15458717584555831</v>
      </c>
      <c r="J12">
        <f>H12+1.96*1/SQRT(130-3)</f>
        <v>0.19325657584555833</v>
      </c>
    </row>
    <row r="13" spans="2:15" x14ac:dyDescent="0.25">
      <c r="B13">
        <f>C$44+C38</f>
        <v>0.1410178</v>
      </c>
      <c r="C13">
        <f t="shared" ref="C13:C19" si="11">B13-1.96*1/SQRT(130-3)</f>
        <v>-3.2904075845558323E-2</v>
      </c>
      <c r="D13">
        <f t="shared" ref="D13:D19" si="12">B13+1.96*1/SQRT(130-3)</f>
        <v>0.31493967584555832</v>
      </c>
      <c r="E13">
        <f>Y$44+Y38</f>
        <v>0.1439598</v>
      </c>
      <c r="F13">
        <f t="shared" ref="F13:F19" si="13">E13-1.96*1/SQRT(130-3)</f>
        <v>-2.9962075845558322E-2</v>
      </c>
      <c r="G13">
        <f t="shared" ref="G13:G17" si="14">E13+1.96*1/SQRT(130-3)</f>
        <v>0.31788167584555832</v>
      </c>
      <c r="H13">
        <f>N$44+N38</f>
        <v>3.5270300000000004E-2</v>
      </c>
      <c r="I13">
        <f t="shared" ref="I13:I19" si="15">H13-1.96*1/SQRT(130-3)</f>
        <v>-0.13865157584555832</v>
      </c>
      <c r="J13">
        <f t="shared" ref="J13:J17" si="16">H13+1.96*1/SQRT(130-3)</f>
        <v>0.20919217584555833</v>
      </c>
    </row>
    <row r="14" spans="2:15" x14ac:dyDescent="0.25">
      <c r="B14">
        <f>C$44+C39</f>
        <v>0.17377209999999998</v>
      </c>
      <c r="C14">
        <f t="shared" si="11"/>
        <v>-1.4977584555833645E-4</v>
      </c>
      <c r="D14">
        <f t="shared" si="12"/>
        <v>0.34769397584555828</v>
      </c>
      <c r="E14">
        <f>Y$44+Y39</f>
        <v>3.02206E-2</v>
      </c>
      <c r="F14">
        <f t="shared" si="13"/>
        <v>-0.14370127584555831</v>
      </c>
      <c r="G14">
        <f t="shared" si="14"/>
        <v>0.20414247584555834</v>
      </c>
      <c r="H14">
        <f>N$44+N39</f>
        <v>5.6866799999999995E-2</v>
      </c>
      <c r="I14">
        <f t="shared" si="15"/>
        <v>-0.11705507584555833</v>
      </c>
      <c r="J14">
        <f t="shared" si="16"/>
        <v>0.23078867584555832</v>
      </c>
    </row>
    <row r="15" spans="2:15" x14ac:dyDescent="0.25">
      <c r="B15">
        <f>C$44+C40</f>
        <v>0.20763120000000002</v>
      </c>
      <c r="C15">
        <f t="shared" si="11"/>
        <v>3.3709324154441694E-2</v>
      </c>
      <c r="D15">
        <f t="shared" si="12"/>
        <v>0.38155307584555831</v>
      </c>
      <c r="E15">
        <f>Y$44+Y40</f>
        <v>0.36830410000000002</v>
      </c>
      <c r="F15">
        <f t="shared" si="13"/>
        <v>0.1943822241544417</v>
      </c>
      <c r="G15">
        <f t="shared" si="14"/>
        <v>0.54222597584555832</v>
      </c>
      <c r="H15">
        <f>N$44+N40</f>
        <v>-2.3397000000000001E-3</v>
      </c>
      <c r="I15">
        <f t="shared" si="15"/>
        <v>-0.17626157584555832</v>
      </c>
      <c r="J15">
        <f t="shared" si="16"/>
        <v>0.17158217584555832</v>
      </c>
    </row>
    <row r="16" spans="2:15" x14ac:dyDescent="0.25">
      <c r="B16">
        <f>C$44+C41</f>
        <v>0.20998230000000001</v>
      </c>
      <c r="C16">
        <f t="shared" si="11"/>
        <v>3.6060424154441689E-2</v>
      </c>
      <c r="D16">
        <f t="shared" si="12"/>
        <v>0.38390417584555836</v>
      </c>
      <c r="E16">
        <f>Y$44+Y41</f>
        <v>0.24827870000000002</v>
      </c>
      <c r="F16">
        <f t="shared" si="13"/>
        <v>7.4356824154441697E-2</v>
      </c>
      <c r="G16">
        <f t="shared" si="14"/>
        <v>0.42220057584555837</v>
      </c>
      <c r="H16">
        <f>N$44+N41</f>
        <v>2.7138499999999999E-2</v>
      </c>
      <c r="I16">
        <f t="shared" si="15"/>
        <v>-0.14678337584555831</v>
      </c>
      <c r="J16">
        <f t="shared" si="16"/>
        <v>0.20106037584555833</v>
      </c>
    </row>
    <row r="17" spans="1:37" x14ac:dyDescent="0.25">
      <c r="B17">
        <f>C$44+C42</f>
        <v>0.1313436</v>
      </c>
      <c r="C17">
        <f t="shared" si="11"/>
        <v>-4.2578275845558317E-2</v>
      </c>
      <c r="D17">
        <f t="shared" si="12"/>
        <v>0.3052654758455583</v>
      </c>
      <c r="E17">
        <f>Y$44+Y42</f>
        <v>5.7555000000000009E-2</v>
      </c>
      <c r="F17">
        <f t="shared" si="13"/>
        <v>-0.11636687584555831</v>
      </c>
      <c r="G17">
        <f t="shared" si="14"/>
        <v>0.23147687584555832</v>
      </c>
      <c r="H17">
        <f>N$44+N42</f>
        <v>2.6585000000000001E-2</v>
      </c>
      <c r="I17">
        <f t="shared" si="15"/>
        <v>-0.14733687584555832</v>
      </c>
      <c r="J17">
        <f t="shared" si="16"/>
        <v>0.20050687584555832</v>
      </c>
    </row>
    <row r="19" spans="1:37" x14ac:dyDescent="0.25">
      <c r="B19">
        <f>C$80</f>
        <v>0.16119330000000001</v>
      </c>
      <c r="C19">
        <f t="shared" si="11"/>
        <v>-1.272857584555831E-2</v>
      </c>
      <c r="D19">
        <f t="shared" si="12"/>
        <v>0.33511517584555833</v>
      </c>
      <c r="E19">
        <f>O$80</f>
        <v>8.9659000000000006E-3</v>
      </c>
      <c r="F19">
        <f t="shared" si="13"/>
        <v>-0.16495597584555832</v>
      </c>
      <c r="G19">
        <f t="shared" ref="G19" si="17">E19+1.96*1/SQRT(130-3)</f>
        <v>0.18288777584555832</v>
      </c>
      <c r="H19">
        <f>D$80</f>
        <v>2.49436E-2</v>
      </c>
      <c r="I19">
        <f t="shared" si="15"/>
        <v>-0.14897827584555831</v>
      </c>
      <c r="J19">
        <f t="shared" ref="J19" si="18">H19+1.96*1/SQRT(130-3)</f>
        <v>0.19886547584555833</v>
      </c>
    </row>
    <row r="21" spans="1:37" x14ac:dyDescent="0.25">
      <c r="A21" s="2" t="s">
        <v>187</v>
      </c>
      <c r="B21" s="2" t="s">
        <v>188</v>
      </c>
      <c r="C21" s="2" t="s">
        <v>189</v>
      </c>
      <c r="D21" s="2" t="s">
        <v>190</v>
      </c>
      <c r="E21" s="2" t="s">
        <v>191</v>
      </c>
      <c r="F21" s="2" t="s">
        <v>192</v>
      </c>
      <c r="G21" s="2">
        <v>130</v>
      </c>
      <c r="H21" s="2"/>
      <c r="I21" s="2"/>
      <c r="J21" s="2"/>
      <c r="K21" s="2"/>
      <c r="L21" s="2" t="s">
        <v>187</v>
      </c>
      <c r="M21" s="2" t="s">
        <v>188</v>
      </c>
      <c r="N21" s="2" t="s">
        <v>189</v>
      </c>
      <c r="O21" s="2" t="s">
        <v>190</v>
      </c>
      <c r="P21" s="2" t="s">
        <v>191</v>
      </c>
      <c r="Q21" s="2" t="s">
        <v>192</v>
      </c>
      <c r="R21" s="2">
        <v>130</v>
      </c>
      <c r="S21" s="2"/>
      <c r="T21" s="2"/>
      <c r="U21" s="2"/>
      <c r="V21" s="2"/>
      <c r="W21" s="2" t="s">
        <v>187</v>
      </c>
      <c r="X21" s="2" t="s">
        <v>188</v>
      </c>
      <c r="Y21" s="2" t="s">
        <v>189</v>
      </c>
      <c r="Z21" s="2" t="s">
        <v>190</v>
      </c>
      <c r="AA21" s="2" t="s">
        <v>191</v>
      </c>
      <c r="AB21" s="2" t="s">
        <v>192</v>
      </c>
      <c r="AC21" s="2">
        <v>130</v>
      </c>
      <c r="AD21" s="2"/>
      <c r="AE21" s="2"/>
      <c r="AF21" s="2"/>
      <c r="AG21" s="2"/>
      <c r="AH21" s="2"/>
      <c r="AI21" s="2"/>
      <c r="AJ21" s="2"/>
      <c r="AK21" s="2"/>
    </row>
    <row r="22" spans="1:37" x14ac:dyDescent="0.25">
      <c r="A22" s="2" t="s">
        <v>193</v>
      </c>
      <c r="B22" s="2" t="s">
        <v>194</v>
      </c>
      <c r="C22" s="2" t="s">
        <v>195</v>
      </c>
      <c r="D22" s="2" t="s">
        <v>189</v>
      </c>
      <c r="E22" s="2" t="s">
        <v>190</v>
      </c>
      <c r="F22" s="2" t="s">
        <v>196</v>
      </c>
      <c r="G22" s="2" t="s">
        <v>192</v>
      </c>
      <c r="H22" s="2">
        <v>8</v>
      </c>
      <c r="I22" s="2"/>
      <c r="J22" s="2"/>
      <c r="K22" s="2"/>
      <c r="L22" s="2" t="s">
        <v>193</v>
      </c>
      <c r="M22" s="2" t="s">
        <v>194</v>
      </c>
      <c r="N22" s="2" t="s">
        <v>195</v>
      </c>
      <c r="O22" s="2" t="s">
        <v>189</v>
      </c>
      <c r="P22" s="2" t="s">
        <v>190</v>
      </c>
      <c r="Q22" s="2" t="s">
        <v>196</v>
      </c>
      <c r="R22" s="2" t="s">
        <v>192</v>
      </c>
      <c r="S22" s="2">
        <v>8</v>
      </c>
      <c r="T22" s="2"/>
      <c r="U22" s="2"/>
      <c r="V22" s="2"/>
      <c r="W22" s="2" t="s">
        <v>193</v>
      </c>
      <c r="X22" s="2" t="s">
        <v>194</v>
      </c>
      <c r="Y22" s="2" t="s">
        <v>195</v>
      </c>
      <c r="Z22" s="2" t="s">
        <v>189</v>
      </c>
      <c r="AA22" s="2" t="s">
        <v>190</v>
      </c>
      <c r="AB22" s="2" t="s">
        <v>196</v>
      </c>
      <c r="AC22" s="2" t="s">
        <v>192</v>
      </c>
      <c r="AD22" s="2">
        <v>8</v>
      </c>
      <c r="AE22" s="2"/>
      <c r="AF22" s="2"/>
      <c r="AG22" s="2"/>
      <c r="AH22" s="2"/>
      <c r="AI22" s="2"/>
      <c r="AJ22" s="2"/>
      <c r="AK22" s="2"/>
    </row>
    <row r="23" spans="1:3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5">
      <c r="A24" s="2"/>
      <c r="B24" s="2" t="s">
        <v>197</v>
      </c>
      <c r="C24" s="2" t="s">
        <v>198</v>
      </c>
      <c r="D24" s="2" t="s">
        <v>199</v>
      </c>
      <c r="E24" s="2"/>
      <c r="F24" s="2"/>
      <c r="G24" s="2"/>
      <c r="H24" s="2"/>
      <c r="I24" s="2"/>
      <c r="J24" s="2"/>
      <c r="K24" s="2"/>
      <c r="L24" s="2"/>
      <c r="M24" s="2" t="s">
        <v>197</v>
      </c>
      <c r="N24" s="2" t="s">
        <v>198</v>
      </c>
      <c r="O24" s="2" t="s">
        <v>199</v>
      </c>
      <c r="P24" s="2"/>
      <c r="Q24" s="2"/>
      <c r="R24" s="2"/>
      <c r="S24" s="2"/>
      <c r="T24" s="2"/>
      <c r="U24" s="2"/>
      <c r="V24" s="2"/>
      <c r="W24" s="2"/>
      <c r="X24" s="2" t="s">
        <v>197</v>
      </c>
      <c r="Y24" s="2" t="s">
        <v>198</v>
      </c>
      <c r="Z24" s="2" t="s">
        <v>199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5">
      <c r="A25" s="2"/>
      <c r="B25" s="2" t="s">
        <v>200</v>
      </c>
      <c r="C25" s="2" t="s">
        <v>192</v>
      </c>
      <c r="D25" s="2">
        <v>4</v>
      </c>
      <c r="E25" s="2"/>
      <c r="F25" s="2"/>
      <c r="G25" s="2"/>
      <c r="H25" s="2"/>
      <c r="I25" s="2"/>
      <c r="J25" s="2"/>
      <c r="K25" s="2"/>
      <c r="L25" s="2"/>
      <c r="M25" s="2" t="s">
        <v>200</v>
      </c>
      <c r="N25" s="2" t="s">
        <v>192</v>
      </c>
      <c r="O25" s="2">
        <v>4</v>
      </c>
      <c r="P25" s="2"/>
      <c r="Q25" s="2"/>
      <c r="R25" s="2"/>
      <c r="S25" s="2"/>
      <c r="T25" s="2"/>
      <c r="U25" s="2"/>
      <c r="V25" s="2"/>
      <c r="W25" s="2"/>
      <c r="X25" s="2" t="s">
        <v>200</v>
      </c>
      <c r="Y25" s="2" t="s">
        <v>192</v>
      </c>
      <c r="Z25" s="2">
        <v>4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A26" s="2"/>
      <c r="B26" s="2" t="s">
        <v>201</v>
      </c>
      <c r="C26" s="2" t="s">
        <v>192</v>
      </c>
      <c r="D26" s="2">
        <v>16.2</v>
      </c>
      <c r="E26" s="2"/>
      <c r="F26" s="2"/>
      <c r="G26" s="2"/>
      <c r="H26" s="2"/>
      <c r="I26" s="2"/>
      <c r="J26" s="2"/>
      <c r="K26" s="2"/>
      <c r="L26" s="2"/>
      <c r="M26" s="2" t="s">
        <v>201</v>
      </c>
      <c r="N26" s="2" t="s">
        <v>192</v>
      </c>
      <c r="O26" s="2">
        <v>16.2</v>
      </c>
      <c r="P26" s="2"/>
      <c r="Q26" s="2"/>
      <c r="R26" s="2"/>
      <c r="S26" s="2"/>
      <c r="T26" s="2"/>
      <c r="U26" s="2"/>
      <c r="V26" s="2"/>
      <c r="W26" s="2"/>
      <c r="X26" s="2" t="s">
        <v>201</v>
      </c>
      <c r="Y26" s="2" t="s">
        <v>192</v>
      </c>
      <c r="Z26" s="2">
        <v>16.2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A27" s="2"/>
      <c r="B27" s="2" t="s">
        <v>202</v>
      </c>
      <c r="C27" s="2" t="s">
        <v>192</v>
      </c>
      <c r="D27" s="2">
        <v>38</v>
      </c>
      <c r="E27" s="2"/>
      <c r="F27" s="2"/>
      <c r="G27" s="2"/>
      <c r="H27" s="2"/>
      <c r="I27" s="2"/>
      <c r="J27" s="2"/>
      <c r="K27" s="2"/>
      <c r="L27" s="2"/>
      <c r="M27" s="2" t="s">
        <v>202</v>
      </c>
      <c r="N27" s="2" t="s">
        <v>192</v>
      </c>
      <c r="O27" s="2">
        <v>38</v>
      </c>
      <c r="P27" s="2"/>
      <c r="Q27" s="2"/>
      <c r="R27" s="2"/>
      <c r="S27" s="2"/>
      <c r="T27" s="2"/>
      <c r="U27" s="2"/>
      <c r="V27" s="2"/>
      <c r="W27" s="2"/>
      <c r="X27" s="2" t="s">
        <v>202</v>
      </c>
      <c r="Y27" s="2" t="s">
        <v>192</v>
      </c>
      <c r="Z27" s="2">
        <v>38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5">
      <c r="A29" s="2"/>
      <c r="B29" s="2" t="s">
        <v>203</v>
      </c>
      <c r="C29" s="2" t="s">
        <v>204</v>
      </c>
      <c r="D29" s="2" t="s">
        <v>192</v>
      </c>
      <c r="E29" s="2">
        <v>39.979999999999997</v>
      </c>
      <c r="F29" s="2"/>
      <c r="G29" s="2"/>
      <c r="H29" s="2"/>
      <c r="I29" s="2"/>
      <c r="J29" s="2"/>
      <c r="K29" s="2"/>
      <c r="L29" s="2"/>
      <c r="M29" s="2" t="s">
        <v>203</v>
      </c>
      <c r="N29" s="2" t="s">
        <v>204</v>
      </c>
      <c r="O29" s="2" t="s">
        <v>192</v>
      </c>
      <c r="P29" s="2">
        <v>81.709999999999994</v>
      </c>
      <c r="Q29" s="2"/>
      <c r="R29" s="2"/>
      <c r="S29" s="2"/>
      <c r="T29" s="2"/>
      <c r="U29" s="2"/>
      <c r="V29" s="2"/>
      <c r="W29" s="2"/>
      <c r="X29" s="2" t="s">
        <v>203</v>
      </c>
      <c r="Y29" s="2" t="s">
        <v>204</v>
      </c>
      <c r="Z29" s="2" t="s">
        <v>192</v>
      </c>
      <c r="AA29" s="2">
        <v>17.52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5">
      <c r="A30" s="2" t="s">
        <v>205</v>
      </c>
      <c r="B30" s="2" t="s">
        <v>206</v>
      </c>
      <c r="C30" s="2" t="s">
        <v>192</v>
      </c>
      <c r="D30" s="2">
        <v>1676.2538999999999</v>
      </c>
      <c r="E30" s="2" t="s">
        <v>207</v>
      </c>
      <c r="F30" s="2" t="s">
        <v>208</v>
      </c>
      <c r="G30" s="2" t="s">
        <v>209</v>
      </c>
      <c r="H30" s="2" t="s">
        <v>192</v>
      </c>
      <c r="I30" s="2">
        <v>0</v>
      </c>
      <c r="J30" s="2"/>
      <c r="K30" s="2"/>
      <c r="L30" s="2" t="s">
        <v>205</v>
      </c>
      <c r="M30" s="2" t="s">
        <v>206</v>
      </c>
      <c r="N30" s="2" t="s">
        <v>192</v>
      </c>
      <c r="O30" s="2">
        <v>5608.3077000000003</v>
      </c>
      <c r="P30" s="2" t="s">
        <v>207</v>
      </c>
      <c r="Q30" s="2" t="s">
        <v>208</v>
      </c>
      <c r="R30" s="2" t="s">
        <v>209</v>
      </c>
      <c r="S30" s="2" t="s">
        <v>192</v>
      </c>
      <c r="T30" s="2">
        <v>0</v>
      </c>
      <c r="U30" s="2"/>
      <c r="V30" s="2"/>
      <c r="W30" s="2" t="s">
        <v>205</v>
      </c>
      <c r="X30" s="2" t="s">
        <v>206</v>
      </c>
      <c r="Y30" s="2" t="s">
        <v>192</v>
      </c>
      <c r="Z30" s="2">
        <v>-156.54354000000001</v>
      </c>
      <c r="AA30" s="2" t="s">
        <v>207</v>
      </c>
      <c r="AB30" s="2" t="s">
        <v>208</v>
      </c>
      <c r="AC30" s="2" t="s">
        <v>209</v>
      </c>
      <c r="AD30" s="2" t="s">
        <v>192</v>
      </c>
      <c r="AE30" s="2">
        <v>3.5999999999999999E-3</v>
      </c>
      <c r="AF30" s="2"/>
      <c r="AG30" s="2"/>
      <c r="AH30" s="2"/>
      <c r="AI30" s="2"/>
      <c r="AJ30" s="2"/>
      <c r="AK30" s="2"/>
    </row>
    <row r="31" spans="1:3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5">
      <c r="A32" s="2"/>
      <c r="B32" s="2" t="s">
        <v>210</v>
      </c>
      <c r="C32" s="2" t="s">
        <v>211</v>
      </c>
      <c r="D32" s="2" t="s">
        <v>212</v>
      </c>
      <c r="E32" s="2" t="s">
        <v>213</v>
      </c>
      <c r="F32" s="2">
        <v>8</v>
      </c>
      <c r="G32" s="2" t="s">
        <v>214</v>
      </c>
      <c r="H32" s="2" t="s">
        <v>215</v>
      </c>
      <c r="I32" s="2" t="s">
        <v>216</v>
      </c>
      <c r="J32" s="2"/>
      <c r="K32" s="2"/>
      <c r="L32" s="2"/>
      <c r="M32" s="2" t="s">
        <v>210</v>
      </c>
      <c r="N32" s="2" t="s">
        <v>211</v>
      </c>
      <c r="O32" s="2" t="s">
        <v>212</v>
      </c>
      <c r="P32" s="2" t="s">
        <v>213</v>
      </c>
      <c r="Q32" s="2">
        <v>8</v>
      </c>
      <c r="R32" s="2" t="s">
        <v>214</v>
      </c>
      <c r="S32" s="2" t="s">
        <v>215</v>
      </c>
      <c r="T32" s="2" t="s">
        <v>216</v>
      </c>
      <c r="U32" s="2"/>
      <c r="V32" s="2"/>
      <c r="W32" s="2"/>
      <c r="X32" s="2" t="s">
        <v>210</v>
      </c>
      <c r="Y32" s="2" t="s">
        <v>211</v>
      </c>
      <c r="Z32" s="2" t="s">
        <v>212</v>
      </c>
      <c r="AA32" s="2" t="s">
        <v>213</v>
      </c>
      <c r="AB32" s="2">
        <v>8</v>
      </c>
      <c r="AC32" s="2" t="s">
        <v>214</v>
      </c>
      <c r="AD32" s="2" t="s">
        <v>215</v>
      </c>
      <c r="AE32" s="2" t="s">
        <v>216</v>
      </c>
      <c r="AF32" s="2"/>
      <c r="AG32" s="2"/>
      <c r="AH32" s="2"/>
      <c r="AI32" s="2"/>
      <c r="AJ32" s="2"/>
      <c r="AK32" s="2"/>
    </row>
    <row r="33" spans="1:37" x14ac:dyDescent="0.25">
      <c r="A33" s="2" t="s">
        <v>217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 t="s">
        <v>217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217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5">
      <c r="A34" s="2"/>
      <c r="B34" s="2" t="s">
        <v>218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218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 t="s">
        <v>218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5">
      <c r="A35" s="2"/>
      <c r="B35" s="2" t="s">
        <v>219</v>
      </c>
      <c r="C35" s="2" t="s">
        <v>220</v>
      </c>
      <c r="D35" s="2" t="s">
        <v>221</v>
      </c>
      <c r="E35" s="2" t="s">
        <v>211</v>
      </c>
      <c r="F35" s="2" t="s">
        <v>222</v>
      </c>
      <c r="G35" s="2" t="s">
        <v>223</v>
      </c>
      <c r="H35" s="2" t="s">
        <v>222</v>
      </c>
      <c r="I35" s="2" t="s">
        <v>224</v>
      </c>
      <c r="J35" s="2" t="s">
        <v>225</v>
      </c>
      <c r="K35" s="2" t="s">
        <v>226</v>
      </c>
      <c r="L35" s="2"/>
      <c r="M35" s="2" t="s">
        <v>239</v>
      </c>
      <c r="N35" s="2" t="s">
        <v>220</v>
      </c>
      <c r="O35" s="2" t="s">
        <v>221</v>
      </c>
      <c r="P35" s="2" t="s">
        <v>211</v>
      </c>
      <c r="Q35" s="2" t="s">
        <v>222</v>
      </c>
      <c r="R35" s="2" t="s">
        <v>223</v>
      </c>
      <c r="S35" s="2" t="s">
        <v>222</v>
      </c>
      <c r="T35" s="2" t="s">
        <v>224</v>
      </c>
      <c r="U35" s="2" t="s">
        <v>225</v>
      </c>
      <c r="V35" s="2" t="s">
        <v>226</v>
      </c>
      <c r="W35" s="2"/>
      <c r="X35" s="2" t="s">
        <v>241</v>
      </c>
      <c r="Y35" s="2" t="s">
        <v>220</v>
      </c>
      <c r="Z35" s="2" t="s">
        <v>221</v>
      </c>
      <c r="AA35" s="2" t="s">
        <v>211</v>
      </c>
      <c r="AB35" s="2" t="s">
        <v>222</v>
      </c>
      <c r="AC35" s="2" t="s">
        <v>223</v>
      </c>
      <c r="AD35" s="2" t="s">
        <v>222</v>
      </c>
      <c r="AE35" s="2" t="s">
        <v>224</v>
      </c>
      <c r="AF35" s="2" t="s">
        <v>225</v>
      </c>
      <c r="AG35" s="2" t="s">
        <v>226</v>
      </c>
      <c r="AH35" s="2"/>
      <c r="AI35" s="2"/>
      <c r="AJ35" s="2"/>
      <c r="AK35" s="2"/>
    </row>
    <row r="36" spans="1:37" x14ac:dyDescent="0.25">
      <c r="A36" s="2" t="s">
        <v>227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 t="s">
        <v>227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227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5">
      <c r="A37" s="2"/>
      <c r="B37" s="2" t="s">
        <v>228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228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 t="s">
        <v>228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5">
      <c r="A38" s="2"/>
      <c r="B38" s="2">
        <v>2</v>
      </c>
      <c r="C38" s="2">
        <v>5.3617999999999999E-2</v>
      </c>
      <c r="D38" s="2">
        <v>5.4421900000000002E-2</v>
      </c>
      <c r="E38" s="2">
        <v>0.99</v>
      </c>
      <c r="F38" s="2">
        <v>0.32500000000000001</v>
      </c>
      <c r="G38" s="2">
        <v>-5.3046999999999997E-2</v>
      </c>
      <c r="H38" s="2">
        <v>0.16028300000000001</v>
      </c>
      <c r="I38" s="2"/>
      <c r="J38" s="2"/>
      <c r="K38" s="2"/>
      <c r="L38" s="2"/>
      <c r="M38" s="2">
        <v>2</v>
      </c>
      <c r="N38" s="2">
        <v>1.5935600000000001E-2</v>
      </c>
      <c r="O38" s="2">
        <v>1.25954E-2</v>
      </c>
      <c r="P38" s="2">
        <v>1.27</v>
      </c>
      <c r="Q38" s="2">
        <v>0.20599999999999999</v>
      </c>
      <c r="R38" s="2">
        <v>-8.7509000000000007E-3</v>
      </c>
      <c r="S38" s="2">
        <v>4.0622199999999997E-2</v>
      </c>
      <c r="T38" s="2"/>
      <c r="U38" s="2"/>
      <c r="V38" s="2"/>
      <c r="W38" s="2"/>
      <c r="X38" s="2">
        <v>2</v>
      </c>
      <c r="Y38" s="2">
        <v>5.11034E-2</v>
      </c>
      <c r="Z38" s="2">
        <v>0.10222390000000001</v>
      </c>
      <c r="AA38" s="2">
        <v>0.5</v>
      </c>
      <c r="AB38" s="2">
        <v>0.61699999999999999</v>
      </c>
      <c r="AC38" s="2">
        <v>-0.14925179999999999</v>
      </c>
      <c r="AD38" s="2">
        <v>0.25145859999999998</v>
      </c>
      <c r="AE38" s="2"/>
      <c r="AF38" s="2"/>
      <c r="AG38" s="2"/>
      <c r="AH38" s="2"/>
      <c r="AI38" s="2"/>
      <c r="AJ38" s="2"/>
      <c r="AK38" s="2"/>
    </row>
    <row r="39" spans="1:37" x14ac:dyDescent="0.25">
      <c r="A39" s="2"/>
      <c r="B39" s="2">
        <v>3</v>
      </c>
      <c r="C39" s="2">
        <v>8.6372299999999999E-2</v>
      </c>
      <c r="D39" s="2">
        <v>8.0173400000000006E-2</v>
      </c>
      <c r="E39" s="2">
        <v>1.08</v>
      </c>
      <c r="F39" s="2">
        <v>0.28100000000000003</v>
      </c>
      <c r="G39" s="2">
        <v>-7.07647E-2</v>
      </c>
      <c r="H39" s="2">
        <v>0.24350930000000001</v>
      </c>
      <c r="I39" s="2"/>
      <c r="J39" s="2"/>
      <c r="K39" s="2"/>
      <c r="L39" s="2"/>
      <c r="M39" s="2">
        <v>3</v>
      </c>
      <c r="N39" s="2">
        <v>3.7532099999999999E-2</v>
      </c>
      <c r="O39" s="2">
        <v>2.2742800000000001E-2</v>
      </c>
      <c r="P39" s="2">
        <v>1.65</v>
      </c>
      <c r="Q39" s="2">
        <v>9.9000000000000005E-2</v>
      </c>
      <c r="R39" s="86">
        <v>-7.0429999999999998E-3</v>
      </c>
      <c r="S39" s="2">
        <v>8.2107200000000005E-2</v>
      </c>
      <c r="T39" s="2"/>
      <c r="U39" s="2"/>
      <c r="V39" s="2"/>
      <c r="W39" s="2"/>
      <c r="X39" s="2">
        <v>3</v>
      </c>
      <c r="Y39" s="2">
        <v>-6.2635800000000005E-2</v>
      </c>
      <c r="Z39" s="2">
        <v>0.15632770000000001</v>
      </c>
      <c r="AA39" s="2">
        <v>-0.4</v>
      </c>
      <c r="AB39" s="2">
        <v>0.68899999999999995</v>
      </c>
      <c r="AC39" s="2">
        <v>-0.36903229999999998</v>
      </c>
      <c r="AD39" s="2">
        <v>0.2437608</v>
      </c>
      <c r="AE39" s="2"/>
      <c r="AF39" s="2"/>
      <c r="AG39" s="2"/>
      <c r="AH39" s="2"/>
      <c r="AI39" s="2"/>
      <c r="AJ39" s="2"/>
      <c r="AK39" s="2"/>
    </row>
    <row r="40" spans="1:37" x14ac:dyDescent="0.25">
      <c r="A40" s="2"/>
      <c r="B40" s="2">
        <v>4</v>
      </c>
      <c r="C40" s="2">
        <v>0.1202314</v>
      </c>
      <c r="D40" s="2">
        <v>5.2080799999999997E-2</v>
      </c>
      <c r="E40" s="2">
        <v>2.31</v>
      </c>
      <c r="F40" s="2">
        <v>2.1000000000000001E-2</v>
      </c>
      <c r="G40" s="2">
        <v>1.8154799999999999E-2</v>
      </c>
      <c r="H40" s="2">
        <v>0.2223079</v>
      </c>
      <c r="I40" s="2"/>
      <c r="J40" s="2"/>
      <c r="K40" s="2"/>
      <c r="L40" s="2"/>
      <c r="M40" s="2">
        <v>4</v>
      </c>
      <c r="N40" s="2">
        <v>-2.16744E-2</v>
      </c>
      <c r="O40" s="2">
        <v>1.9487299999999999E-2</v>
      </c>
      <c r="P40" s="2">
        <v>-1.1100000000000001</v>
      </c>
      <c r="Q40" s="2">
        <v>0.26600000000000001</v>
      </c>
      <c r="R40" s="2">
        <v>-5.98688E-2</v>
      </c>
      <c r="S40" s="2">
        <v>1.652E-2</v>
      </c>
      <c r="T40" s="2"/>
      <c r="U40" s="2"/>
      <c r="V40" s="2"/>
      <c r="W40" s="2"/>
      <c r="X40" s="2">
        <v>4</v>
      </c>
      <c r="Y40" s="2">
        <v>0.27544770000000002</v>
      </c>
      <c r="Z40" s="2">
        <v>0.12194530000000001</v>
      </c>
      <c r="AA40" s="2">
        <v>2.2599999999999998</v>
      </c>
      <c r="AB40" s="2">
        <v>2.4E-2</v>
      </c>
      <c r="AC40" s="2">
        <v>3.6439199999999998E-2</v>
      </c>
      <c r="AD40" s="2">
        <v>0.51445609999999997</v>
      </c>
      <c r="AE40" s="2"/>
      <c r="AF40" s="2"/>
      <c r="AG40" s="2"/>
      <c r="AH40" s="2"/>
      <c r="AI40" s="2"/>
      <c r="AJ40" s="2"/>
      <c r="AK40" s="2"/>
    </row>
    <row r="41" spans="1:37" x14ac:dyDescent="0.25">
      <c r="A41" s="2"/>
      <c r="B41" s="2">
        <v>5</v>
      </c>
      <c r="C41" s="2">
        <v>0.1225825</v>
      </c>
      <c r="D41" s="2">
        <v>6.3990599999999995E-2</v>
      </c>
      <c r="E41" s="2">
        <v>1.92</v>
      </c>
      <c r="F41" s="2">
        <v>5.5E-2</v>
      </c>
      <c r="G41" s="2">
        <v>-2.8368E-3</v>
      </c>
      <c r="H41" s="2">
        <v>0.2480019</v>
      </c>
      <c r="I41" s="2"/>
      <c r="J41" s="2"/>
      <c r="K41" s="2"/>
      <c r="L41" s="2"/>
      <c r="M41" s="2">
        <v>5</v>
      </c>
      <c r="N41" s="2">
        <v>7.8037999999999996E-3</v>
      </c>
      <c r="O41" s="2">
        <v>1.53644E-2</v>
      </c>
      <c r="P41" s="2">
        <v>0.51</v>
      </c>
      <c r="Q41" s="2">
        <v>0.61199999999999999</v>
      </c>
      <c r="R41" s="2">
        <v>-2.2309900000000001E-2</v>
      </c>
      <c r="S41" s="2">
        <v>3.7917399999999997E-2</v>
      </c>
      <c r="T41" s="2"/>
      <c r="U41" s="2"/>
      <c r="V41" s="2"/>
      <c r="W41" s="2"/>
      <c r="X41" s="2">
        <v>5</v>
      </c>
      <c r="Y41" s="2">
        <v>0.15542230000000001</v>
      </c>
      <c r="Z41" s="2">
        <v>0.1885143</v>
      </c>
      <c r="AA41" s="2">
        <v>0.82</v>
      </c>
      <c r="AB41" s="2">
        <v>0.41</v>
      </c>
      <c r="AC41" s="2">
        <v>-0.2140589</v>
      </c>
      <c r="AD41" s="2">
        <v>0.52490360000000003</v>
      </c>
      <c r="AE41" s="2"/>
      <c r="AF41" s="2"/>
      <c r="AG41" s="2"/>
      <c r="AH41" s="2"/>
      <c r="AI41" s="2"/>
      <c r="AJ41" s="2"/>
      <c r="AK41" s="2"/>
    </row>
    <row r="42" spans="1:37" x14ac:dyDescent="0.25">
      <c r="A42" s="2"/>
      <c r="B42" s="2">
        <v>6</v>
      </c>
      <c r="C42" s="2">
        <v>4.3943799999999998E-2</v>
      </c>
      <c r="D42" s="2">
        <v>3.5144799999999997E-2</v>
      </c>
      <c r="E42" s="2">
        <v>1.25</v>
      </c>
      <c r="F42" s="2">
        <v>0.21099999999999999</v>
      </c>
      <c r="G42" s="2">
        <v>-2.4938800000000001E-2</v>
      </c>
      <c r="H42" s="2">
        <v>0.11282639999999999</v>
      </c>
      <c r="I42" s="2"/>
      <c r="J42" s="2"/>
      <c r="K42" s="2"/>
      <c r="L42" s="2"/>
      <c r="M42" s="2">
        <v>6</v>
      </c>
      <c r="N42" s="2">
        <v>7.2503000000000003E-3</v>
      </c>
      <c r="O42" s="2">
        <v>1.34333E-2</v>
      </c>
      <c r="P42" s="2">
        <v>0.54</v>
      </c>
      <c r="Q42" s="2">
        <v>0.58899999999999997</v>
      </c>
      <c r="R42" s="2">
        <v>-1.9078500000000002E-2</v>
      </c>
      <c r="S42" s="2">
        <v>3.3579100000000001E-2</v>
      </c>
      <c r="T42" s="2"/>
      <c r="U42" s="2"/>
      <c r="V42" s="2"/>
      <c r="W42" s="2"/>
      <c r="X42" s="2">
        <v>6</v>
      </c>
      <c r="Y42" s="2">
        <v>-3.5301399999999997E-2</v>
      </c>
      <c r="Z42" s="2">
        <v>5.9978999999999998E-2</v>
      </c>
      <c r="AA42" s="2">
        <v>-0.59</v>
      </c>
      <c r="AB42" s="2">
        <v>0.55600000000000005</v>
      </c>
      <c r="AC42" s="2">
        <v>-0.15285799999999999</v>
      </c>
      <c r="AD42" s="2">
        <v>8.2255200000000001E-2</v>
      </c>
      <c r="AE42" s="2"/>
      <c r="AF42" s="2"/>
      <c r="AG42" s="2"/>
      <c r="AH42" s="2"/>
      <c r="AI42" s="2"/>
      <c r="AJ42" s="2"/>
      <c r="AK42" s="2"/>
    </row>
    <row r="43" spans="1:3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5">
      <c r="A44" s="2"/>
      <c r="B44" s="2" t="s">
        <v>229</v>
      </c>
      <c r="C44" s="2">
        <v>8.73998E-2</v>
      </c>
      <c r="D44" s="2">
        <v>4.0482200000000003E-2</v>
      </c>
      <c r="E44" s="2">
        <v>2.16</v>
      </c>
      <c r="F44" s="2">
        <v>3.1E-2</v>
      </c>
      <c r="G44" s="2">
        <v>8.0561999999999995E-3</v>
      </c>
      <c r="H44" s="2">
        <v>0.16674349999999999</v>
      </c>
      <c r="I44" s="2"/>
      <c r="J44" s="2"/>
      <c r="K44" s="2"/>
      <c r="L44" s="2"/>
      <c r="M44" s="2" t="s">
        <v>229</v>
      </c>
      <c r="N44" s="2">
        <v>1.93347E-2</v>
      </c>
      <c r="O44" s="2">
        <v>1.0635E-2</v>
      </c>
      <c r="P44" s="2">
        <v>1.82</v>
      </c>
      <c r="Q44" s="2">
        <v>6.9000000000000006E-2</v>
      </c>
      <c r="R44" s="2">
        <v>-1.5095E-3</v>
      </c>
      <c r="S44" s="2">
        <v>4.0178899999999997E-2</v>
      </c>
      <c r="T44" s="2"/>
      <c r="U44" s="2"/>
      <c r="V44" s="2"/>
      <c r="W44" s="2"/>
      <c r="X44" s="2" t="s">
        <v>229</v>
      </c>
      <c r="Y44" s="2">
        <v>9.2856400000000006E-2</v>
      </c>
      <c r="Z44" s="2">
        <v>6.6512299999999996E-2</v>
      </c>
      <c r="AA44" s="2">
        <v>1.4</v>
      </c>
      <c r="AB44" s="2">
        <v>0.16300000000000001</v>
      </c>
      <c r="AC44" s="2">
        <v>-3.7505299999999998E-2</v>
      </c>
      <c r="AD44" s="2">
        <v>0.2232181</v>
      </c>
      <c r="AE44" s="2"/>
      <c r="AF44" s="2"/>
      <c r="AG44" s="2"/>
      <c r="AH44" s="2"/>
      <c r="AI44" s="2"/>
      <c r="AJ44" s="2"/>
      <c r="AK44" s="2"/>
    </row>
    <row r="45" spans="1:37" x14ac:dyDescent="0.25">
      <c r="A45" s="2" t="s">
        <v>217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 t="s">
        <v>217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 t="s">
        <v>217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5">
      <c r="A47" s="2" t="s">
        <v>217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 t="s">
        <v>217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 t="s">
        <v>217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5">
      <c r="A48" s="2"/>
      <c r="B48" s="2" t="s">
        <v>218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218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 t="s">
        <v>218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5">
      <c r="A49" s="2"/>
      <c r="B49" s="2" t="s">
        <v>230</v>
      </c>
      <c r="C49" s="2" t="s">
        <v>231</v>
      </c>
      <c r="D49" s="2" t="s">
        <v>232</v>
      </c>
      <c r="E49" s="2" t="s">
        <v>221</v>
      </c>
      <c r="F49" s="2" t="s">
        <v>211</v>
      </c>
      <c r="G49" s="2" t="s">
        <v>224</v>
      </c>
      <c r="H49" s="2" t="s">
        <v>225</v>
      </c>
      <c r="I49" s="2" t="s">
        <v>226</v>
      </c>
      <c r="J49" s="2"/>
      <c r="K49" s="2"/>
      <c r="L49" s="2"/>
      <c r="M49" s="2" t="s">
        <v>230</v>
      </c>
      <c r="N49" s="2" t="s">
        <v>231</v>
      </c>
      <c r="O49" s="2" t="s">
        <v>232</v>
      </c>
      <c r="P49" s="2" t="s">
        <v>221</v>
      </c>
      <c r="Q49" s="2" t="s">
        <v>211</v>
      </c>
      <c r="R49" s="2" t="s">
        <v>224</v>
      </c>
      <c r="S49" s="2" t="s">
        <v>225</v>
      </c>
      <c r="T49" s="2" t="s">
        <v>226</v>
      </c>
      <c r="U49" s="2"/>
      <c r="V49" s="2"/>
      <c r="W49" s="2"/>
      <c r="X49" s="2" t="s">
        <v>230</v>
      </c>
      <c r="Y49" s="2" t="s">
        <v>231</v>
      </c>
      <c r="Z49" s="2" t="s">
        <v>232</v>
      </c>
      <c r="AA49" s="2" t="s">
        <v>221</v>
      </c>
      <c r="AB49" s="2" t="s">
        <v>211</v>
      </c>
      <c r="AC49" s="2" t="s">
        <v>224</v>
      </c>
      <c r="AD49" s="2" t="s">
        <v>225</v>
      </c>
      <c r="AE49" s="2" t="s">
        <v>226</v>
      </c>
      <c r="AF49" s="2"/>
      <c r="AG49" s="2"/>
      <c r="AH49" s="2"/>
      <c r="AI49" s="2"/>
      <c r="AJ49" s="2"/>
      <c r="AK49" s="2"/>
    </row>
    <row r="50" spans="1:37" x14ac:dyDescent="0.25">
      <c r="A50" s="2" t="s">
        <v>233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 t="s">
        <v>233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233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5">
      <c r="A51" s="2" t="s">
        <v>234</v>
      </c>
      <c r="B51" s="2" t="s">
        <v>235</v>
      </c>
      <c r="C51" s="2"/>
      <c r="D51" s="2"/>
      <c r="E51" s="2"/>
      <c r="F51" s="2"/>
      <c r="G51" s="2"/>
      <c r="H51" s="2"/>
      <c r="I51" s="2"/>
      <c r="J51" s="2"/>
      <c r="K51" s="2"/>
      <c r="L51" s="2" t="s">
        <v>234</v>
      </c>
      <c r="M51" s="2" t="s">
        <v>235</v>
      </c>
      <c r="N51" s="2"/>
      <c r="O51" s="2"/>
      <c r="P51" s="2"/>
      <c r="Q51" s="2"/>
      <c r="R51" s="2"/>
      <c r="S51" s="2"/>
      <c r="T51" s="2"/>
      <c r="U51" s="2"/>
      <c r="V51" s="2"/>
      <c r="W51" s="2" t="s">
        <v>234</v>
      </c>
      <c r="X51" s="2" t="s">
        <v>235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s="2"/>
      <c r="B52" s="2" t="s">
        <v>236</v>
      </c>
      <c r="C52" s="86">
        <v>4.1926999999999997E-3</v>
      </c>
      <c r="D52" s="86">
        <v>1.7267000000000001E-3</v>
      </c>
      <c r="E52" s="86">
        <v>1.8703999999999999E-3</v>
      </c>
      <c r="F52" s="86">
        <v>9.3983999999999995E-3</v>
      </c>
      <c r="G52" s="2"/>
      <c r="H52" s="2"/>
      <c r="I52" s="2"/>
      <c r="J52" s="2"/>
      <c r="K52" s="2"/>
      <c r="L52" s="2"/>
      <c r="M52" s="2" t="s">
        <v>236</v>
      </c>
      <c r="N52" s="86">
        <v>1.1050000000000001E-3</v>
      </c>
      <c r="O52" s="86">
        <v>5.3720000000000005E-4</v>
      </c>
      <c r="P52" s="86">
        <v>4.261E-4</v>
      </c>
      <c r="Q52" s="86">
        <v>2.8655999999999998E-3</v>
      </c>
      <c r="R52" s="2"/>
      <c r="S52" s="2"/>
      <c r="T52" s="2"/>
      <c r="U52" s="2"/>
      <c r="V52" s="2"/>
      <c r="W52" s="2"/>
      <c r="X52" s="2" t="s">
        <v>236</v>
      </c>
      <c r="Y52" s="86">
        <v>3.2613299999999998E-2</v>
      </c>
      <c r="Z52" s="86">
        <v>1.4789500000000001E-2</v>
      </c>
      <c r="AA52" s="86">
        <v>1.34089E-2</v>
      </c>
      <c r="AB52" s="2">
        <v>7.9322699999999996E-2</v>
      </c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s="2" t="s">
        <v>233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 t="s">
        <v>233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 t="s">
        <v>233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s="2"/>
      <c r="B54" s="2" t="s">
        <v>237</v>
      </c>
      <c r="C54" s="2">
        <v>9.8411999999999996E-3</v>
      </c>
      <c r="D54" s="2">
        <v>3.7296E-3</v>
      </c>
      <c r="E54" s="2">
        <v>4.6823000000000004E-3</v>
      </c>
      <c r="F54" s="2">
        <v>2.0684000000000001E-2</v>
      </c>
      <c r="G54" s="2"/>
      <c r="H54" s="2"/>
      <c r="I54" s="2"/>
      <c r="J54" s="2"/>
      <c r="K54" s="2"/>
      <c r="L54" s="2"/>
      <c r="M54" s="2" t="s">
        <v>237</v>
      </c>
      <c r="N54" s="86">
        <v>1.6597000000000001E-3</v>
      </c>
      <c r="O54" s="86">
        <v>4.9819999999999997E-4</v>
      </c>
      <c r="P54" s="86">
        <v>9.2159999999999996E-4</v>
      </c>
      <c r="Q54" s="86">
        <v>2.9889999999999999E-3</v>
      </c>
      <c r="R54" s="2"/>
      <c r="S54" s="2"/>
      <c r="T54" s="2"/>
      <c r="U54" s="2"/>
      <c r="V54" s="2"/>
      <c r="W54" s="2"/>
      <c r="X54" s="2" t="s">
        <v>237</v>
      </c>
      <c r="Y54" s="86">
        <v>0.133797</v>
      </c>
      <c r="Z54" s="86">
        <v>3.5795199999999999E-2</v>
      </c>
      <c r="AA54" s="86">
        <v>7.9199400000000003E-2</v>
      </c>
      <c r="AB54" s="86">
        <v>0.22603280000000001</v>
      </c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s="2" t="s">
        <v>217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62" spans="1:37" x14ac:dyDescent="0.25">
      <c r="A62" t="s">
        <v>187</v>
      </c>
      <c r="B62" t="s">
        <v>188</v>
      </c>
      <c r="C62" t="s">
        <v>189</v>
      </c>
      <c r="D62" t="s">
        <v>190</v>
      </c>
      <c r="E62" t="s">
        <v>191</v>
      </c>
      <c r="F62" t="s">
        <v>192</v>
      </c>
      <c r="G62">
        <v>130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>
        <v>130</v>
      </c>
      <c r="W62" t="s">
        <v>187</v>
      </c>
      <c r="X62" t="s">
        <v>188</v>
      </c>
      <c r="Y62" t="s">
        <v>189</v>
      </c>
      <c r="Z62" t="s">
        <v>190</v>
      </c>
      <c r="AA62" t="s">
        <v>191</v>
      </c>
      <c r="AB62" t="s">
        <v>192</v>
      </c>
      <c r="AC62">
        <v>130</v>
      </c>
    </row>
    <row r="64" spans="1:37" x14ac:dyDescent="0.25">
      <c r="A64" t="s">
        <v>308</v>
      </c>
      <c r="L64" t="s">
        <v>308</v>
      </c>
      <c r="W64" t="s">
        <v>308</v>
      </c>
    </row>
    <row r="65" spans="1:33" x14ac:dyDescent="0.25">
      <c r="B65" t="s">
        <v>309</v>
      </c>
      <c r="C65" t="s">
        <v>190</v>
      </c>
      <c r="D65" t="s">
        <v>310</v>
      </c>
      <c r="E65" t="s">
        <v>198</v>
      </c>
      <c r="F65" t="s">
        <v>193</v>
      </c>
      <c r="M65" t="s">
        <v>309</v>
      </c>
      <c r="N65" t="s">
        <v>190</v>
      </c>
      <c r="O65" t="s">
        <v>310</v>
      </c>
      <c r="P65" t="s">
        <v>198</v>
      </c>
      <c r="Q65" t="s">
        <v>193</v>
      </c>
      <c r="X65" t="s">
        <v>309</v>
      </c>
      <c r="Y65" t="s">
        <v>190</v>
      </c>
      <c r="Z65" t="s">
        <v>310</v>
      </c>
      <c r="AA65" t="s">
        <v>198</v>
      </c>
      <c r="AB65" t="s">
        <v>193</v>
      </c>
    </row>
    <row r="66" spans="1:33" x14ac:dyDescent="0.25">
      <c r="B66" t="s">
        <v>193</v>
      </c>
      <c r="C66" t="s">
        <v>311</v>
      </c>
      <c r="D66" t="s">
        <v>312</v>
      </c>
      <c r="E66" t="s">
        <v>313</v>
      </c>
      <c r="F66" t="s">
        <v>185</v>
      </c>
      <c r="G66" t="s">
        <v>314</v>
      </c>
      <c r="M66" t="s">
        <v>193</v>
      </c>
      <c r="N66" t="s">
        <v>311</v>
      </c>
      <c r="O66" t="s">
        <v>312</v>
      </c>
      <c r="P66" t="s">
        <v>313</v>
      </c>
      <c r="Q66" t="s">
        <v>185</v>
      </c>
      <c r="R66" t="s">
        <v>314</v>
      </c>
      <c r="X66" t="s">
        <v>193</v>
      </c>
      <c r="Y66" t="s">
        <v>311</v>
      </c>
      <c r="Z66" t="s">
        <v>312</v>
      </c>
      <c r="AA66" t="s">
        <v>313</v>
      </c>
      <c r="AB66" t="s">
        <v>185</v>
      </c>
      <c r="AC66" t="s">
        <v>314</v>
      </c>
    </row>
    <row r="67" spans="1:33" x14ac:dyDescent="0.25">
      <c r="A67" t="s">
        <v>315</v>
      </c>
      <c r="L67" t="s">
        <v>315</v>
      </c>
      <c r="W67" t="s">
        <v>315</v>
      </c>
    </row>
    <row r="68" spans="1:33" x14ac:dyDescent="0.25">
      <c r="B68" t="s">
        <v>228</v>
      </c>
      <c r="C68">
        <v>6</v>
      </c>
      <c r="D68">
        <v>13</v>
      </c>
      <c r="E68">
        <v>21.7</v>
      </c>
      <c r="F68">
        <v>38</v>
      </c>
      <c r="M68" t="s">
        <v>228</v>
      </c>
      <c r="N68">
        <v>6</v>
      </c>
      <c r="O68">
        <v>13</v>
      </c>
      <c r="P68">
        <v>21.7</v>
      </c>
      <c r="Q68">
        <v>38</v>
      </c>
      <c r="X68" t="s">
        <v>228</v>
      </c>
      <c r="Y68">
        <v>6</v>
      </c>
      <c r="Z68">
        <v>13</v>
      </c>
      <c r="AA68">
        <v>21.7</v>
      </c>
      <c r="AB68">
        <v>38</v>
      </c>
    </row>
    <row r="69" spans="1:33" x14ac:dyDescent="0.25">
      <c r="B69" t="s">
        <v>195</v>
      </c>
      <c r="C69">
        <v>35</v>
      </c>
      <c r="D69">
        <v>1</v>
      </c>
      <c r="E69">
        <v>3.7</v>
      </c>
      <c r="F69">
        <v>14</v>
      </c>
      <c r="M69" t="s">
        <v>195</v>
      </c>
      <c r="N69">
        <v>35</v>
      </c>
      <c r="O69">
        <v>1</v>
      </c>
      <c r="P69">
        <v>3.7</v>
      </c>
      <c r="Q69">
        <v>14</v>
      </c>
      <c r="X69" t="s">
        <v>195</v>
      </c>
      <c r="Y69">
        <v>35</v>
      </c>
      <c r="Z69">
        <v>1</v>
      </c>
      <c r="AA69">
        <v>3.7</v>
      </c>
      <c r="AB69">
        <v>14</v>
      </c>
    </row>
    <row r="70" spans="1:33" x14ac:dyDescent="0.25">
      <c r="A70" t="s">
        <v>308</v>
      </c>
      <c r="L70" t="s">
        <v>308</v>
      </c>
      <c r="W70" t="s">
        <v>308</v>
      </c>
    </row>
    <row r="72" spans="1:33" x14ac:dyDescent="0.25">
      <c r="B72" t="s">
        <v>203</v>
      </c>
      <c r="C72" t="s">
        <v>316</v>
      </c>
      <c r="D72" t="s">
        <v>192</v>
      </c>
      <c r="E72" t="s">
        <v>317</v>
      </c>
      <c r="M72" t="s">
        <v>203</v>
      </c>
      <c r="N72" t="s">
        <v>316</v>
      </c>
      <c r="O72" t="s">
        <v>192</v>
      </c>
      <c r="P72" t="s">
        <v>317</v>
      </c>
      <c r="X72" t="s">
        <v>203</v>
      </c>
      <c r="Y72" t="s">
        <v>316</v>
      </c>
      <c r="Z72" t="s">
        <v>192</v>
      </c>
      <c r="AA72" t="s">
        <v>317</v>
      </c>
    </row>
    <row r="73" spans="1:33" x14ac:dyDescent="0.25">
      <c r="A73" t="s">
        <v>205</v>
      </c>
      <c r="B73" t="s">
        <v>206</v>
      </c>
      <c r="C73" t="s">
        <v>192</v>
      </c>
      <c r="D73">
        <v>4.1952692000000003</v>
      </c>
      <c r="E73" t="s">
        <v>207</v>
      </c>
      <c r="F73" t="s">
        <v>208</v>
      </c>
      <c r="G73" t="s">
        <v>209</v>
      </c>
      <c r="H73" t="s">
        <v>192</v>
      </c>
      <c r="I73" t="s">
        <v>317</v>
      </c>
      <c r="L73" t="s">
        <v>205</v>
      </c>
      <c r="M73" t="s">
        <v>206</v>
      </c>
      <c r="N73" t="s">
        <v>192</v>
      </c>
      <c r="O73">
        <v>8.6577737999999993</v>
      </c>
      <c r="P73" t="s">
        <v>207</v>
      </c>
      <c r="Q73" t="s">
        <v>208</v>
      </c>
      <c r="R73" t="s">
        <v>209</v>
      </c>
      <c r="S73" t="s">
        <v>192</v>
      </c>
      <c r="T73" t="s">
        <v>317</v>
      </c>
      <c r="W73" t="s">
        <v>205</v>
      </c>
      <c r="X73" t="s">
        <v>206</v>
      </c>
      <c r="Y73" t="s">
        <v>192</v>
      </c>
      <c r="Z73">
        <v>-46.765982000000001</v>
      </c>
      <c r="AA73" t="s">
        <v>207</v>
      </c>
      <c r="AB73" t="s">
        <v>208</v>
      </c>
      <c r="AC73" t="s">
        <v>209</v>
      </c>
      <c r="AD73" t="s">
        <v>192</v>
      </c>
      <c r="AE73" t="s">
        <v>317</v>
      </c>
    </row>
    <row r="75" spans="1:33" x14ac:dyDescent="0.25">
      <c r="B75" t="s">
        <v>210</v>
      </c>
      <c r="C75" t="s">
        <v>211</v>
      </c>
      <c r="D75" t="s">
        <v>212</v>
      </c>
      <c r="E75" t="s">
        <v>213</v>
      </c>
      <c r="F75">
        <v>6</v>
      </c>
      <c r="G75" t="s">
        <v>214</v>
      </c>
      <c r="H75" t="s">
        <v>215</v>
      </c>
      <c r="I75" t="s">
        <v>318</v>
      </c>
      <c r="M75" t="s">
        <v>210</v>
      </c>
      <c r="N75" t="s">
        <v>211</v>
      </c>
      <c r="O75" t="s">
        <v>212</v>
      </c>
      <c r="P75" t="s">
        <v>213</v>
      </c>
      <c r="Q75">
        <v>6</v>
      </c>
      <c r="R75" t="s">
        <v>214</v>
      </c>
      <c r="S75" t="s">
        <v>215</v>
      </c>
      <c r="T75" t="s">
        <v>318</v>
      </c>
      <c r="X75" t="s">
        <v>210</v>
      </c>
      <c r="Y75" t="s">
        <v>211</v>
      </c>
      <c r="Z75" t="s">
        <v>212</v>
      </c>
      <c r="AA75" t="s">
        <v>213</v>
      </c>
      <c r="AB75">
        <v>6</v>
      </c>
      <c r="AC75" t="s">
        <v>214</v>
      </c>
      <c r="AD75" t="s">
        <v>215</v>
      </c>
      <c r="AE75" t="s">
        <v>318</v>
      </c>
    </row>
    <row r="76" spans="1:33" x14ac:dyDescent="0.25">
      <c r="A76" t="s">
        <v>217</v>
      </c>
      <c r="L76" t="s">
        <v>217</v>
      </c>
      <c r="W76" t="s">
        <v>217</v>
      </c>
    </row>
    <row r="77" spans="1:33" x14ac:dyDescent="0.25">
      <c r="B77" t="s">
        <v>218</v>
      </c>
      <c r="M77" t="s">
        <v>218</v>
      </c>
      <c r="X77" t="s">
        <v>218</v>
      </c>
    </row>
    <row r="78" spans="1:33" x14ac:dyDescent="0.25">
      <c r="B78" t="s">
        <v>219</v>
      </c>
      <c r="C78" t="s">
        <v>220</v>
      </c>
      <c r="D78" t="s">
        <v>221</v>
      </c>
      <c r="E78" t="s">
        <v>211</v>
      </c>
      <c r="F78" t="s">
        <v>222</v>
      </c>
      <c r="G78" t="s">
        <v>223</v>
      </c>
      <c r="H78" t="s">
        <v>222</v>
      </c>
      <c r="I78" t="s">
        <v>224</v>
      </c>
      <c r="J78" t="s">
        <v>225</v>
      </c>
      <c r="K78" t="s">
        <v>226</v>
      </c>
      <c r="M78" t="s">
        <v>239</v>
      </c>
      <c r="N78" t="s">
        <v>220</v>
      </c>
      <c r="O78" t="s">
        <v>221</v>
      </c>
      <c r="P78" t="s">
        <v>211</v>
      </c>
      <c r="Q78" t="s">
        <v>222</v>
      </c>
      <c r="R78" t="s">
        <v>223</v>
      </c>
      <c r="S78" t="s">
        <v>222</v>
      </c>
      <c r="T78" t="s">
        <v>224</v>
      </c>
      <c r="U78" t="s">
        <v>225</v>
      </c>
      <c r="V78" t="s">
        <v>226</v>
      </c>
      <c r="X78" t="s">
        <v>241</v>
      </c>
      <c r="Y78" t="s">
        <v>220</v>
      </c>
      <c r="Z78" t="s">
        <v>221</v>
      </c>
      <c r="AA78" t="s">
        <v>211</v>
      </c>
      <c r="AB78" t="s">
        <v>222</v>
      </c>
      <c r="AC78" t="s">
        <v>223</v>
      </c>
      <c r="AD78" t="s">
        <v>222</v>
      </c>
      <c r="AE78" t="s">
        <v>224</v>
      </c>
      <c r="AF78" t="s">
        <v>225</v>
      </c>
      <c r="AG78" t="s">
        <v>226</v>
      </c>
    </row>
    <row r="79" spans="1:33" x14ac:dyDescent="0.25">
      <c r="A79" t="s">
        <v>227</v>
      </c>
      <c r="L79" t="s">
        <v>227</v>
      </c>
      <c r="W79" t="s">
        <v>227</v>
      </c>
    </row>
    <row r="80" spans="1:33" x14ac:dyDescent="0.25">
      <c r="B80" t="s">
        <v>229</v>
      </c>
      <c r="C80">
        <v>0.16119330000000001</v>
      </c>
      <c r="D80">
        <v>2.49436E-2</v>
      </c>
      <c r="E80">
        <v>6.46</v>
      </c>
      <c r="F80">
        <v>0</v>
      </c>
      <c r="G80">
        <v>0.11230469999999999</v>
      </c>
      <c r="H80">
        <v>0.21008189999999999</v>
      </c>
      <c r="M80" t="s">
        <v>229</v>
      </c>
      <c r="N80">
        <v>2.08734E-2</v>
      </c>
      <c r="O80">
        <v>8.9659000000000006E-3</v>
      </c>
      <c r="P80">
        <v>2.33</v>
      </c>
      <c r="Q80">
        <v>0.02</v>
      </c>
      <c r="R80">
        <v>3.3005E-3</v>
      </c>
      <c r="S80">
        <v>3.84462E-2</v>
      </c>
      <c r="X80" t="s">
        <v>229</v>
      </c>
      <c r="Y80">
        <v>0.11939420000000001</v>
      </c>
      <c r="Z80">
        <v>5.4062100000000002E-2</v>
      </c>
      <c r="AA80">
        <v>2.21</v>
      </c>
      <c r="AB80">
        <v>2.7E-2</v>
      </c>
      <c r="AC80">
        <v>1.34345E-2</v>
      </c>
      <c r="AD80">
        <v>0.2253539</v>
      </c>
    </row>
    <row r="81" spans="1:31" x14ac:dyDescent="0.25">
      <c r="A81" t="s">
        <v>217</v>
      </c>
      <c r="L81" t="s">
        <v>217</v>
      </c>
      <c r="W81" t="s">
        <v>217</v>
      </c>
    </row>
    <row r="83" spans="1:31" x14ac:dyDescent="0.25">
      <c r="A83" t="s">
        <v>217</v>
      </c>
      <c r="L83" t="s">
        <v>217</v>
      </c>
      <c r="W83" t="s">
        <v>217</v>
      </c>
    </row>
    <row r="84" spans="1:31" x14ac:dyDescent="0.25">
      <c r="B84" t="s">
        <v>218</v>
      </c>
      <c r="M84" t="s">
        <v>218</v>
      </c>
      <c r="X84" t="s">
        <v>218</v>
      </c>
    </row>
    <row r="85" spans="1:31" x14ac:dyDescent="0.25">
      <c r="B85" t="s">
        <v>230</v>
      </c>
      <c r="C85" t="s">
        <v>231</v>
      </c>
      <c r="D85" t="s">
        <v>232</v>
      </c>
      <c r="E85" t="s">
        <v>221</v>
      </c>
      <c r="F85" t="s">
        <v>211</v>
      </c>
      <c r="G85" t="s">
        <v>224</v>
      </c>
      <c r="H85" t="s">
        <v>225</v>
      </c>
      <c r="I85" t="s">
        <v>226</v>
      </c>
      <c r="M85" t="s">
        <v>230</v>
      </c>
      <c r="N85" t="s">
        <v>231</v>
      </c>
      <c r="O85" t="s">
        <v>232</v>
      </c>
      <c r="P85" t="s">
        <v>221</v>
      </c>
      <c r="Q85" t="s">
        <v>211</v>
      </c>
      <c r="R85" t="s">
        <v>224</v>
      </c>
      <c r="S85" t="s">
        <v>225</v>
      </c>
      <c r="T85" t="s">
        <v>226</v>
      </c>
      <c r="X85" t="s">
        <v>230</v>
      </c>
      <c r="Y85" t="s">
        <v>231</v>
      </c>
      <c r="Z85" t="s">
        <v>232</v>
      </c>
      <c r="AA85" t="s">
        <v>221</v>
      </c>
      <c r="AB85" t="s">
        <v>211</v>
      </c>
      <c r="AC85" t="s">
        <v>224</v>
      </c>
      <c r="AD85" t="s">
        <v>225</v>
      </c>
      <c r="AE85" t="s">
        <v>226</v>
      </c>
    </row>
    <row r="86" spans="1:31" x14ac:dyDescent="0.25">
      <c r="A86" t="s">
        <v>233</v>
      </c>
      <c r="L86" t="s">
        <v>233</v>
      </c>
      <c r="W86" t="s">
        <v>233</v>
      </c>
    </row>
    <row r="87" spans="1:31" x14ac:dyDescent="0.25">
      <c r="A87" t="s">
        <v>319</v>
      </c>
      <c r="B87" t="s">
        <v>235</v>
      </c>
      <c r="L87" t="s">
        <v>319</v>
      </c>
      <c r="M87" t="s">
        <v>235</v>
      </c>
      <c r="W87" t="s">
        <v>319</v>
      </c>
      <c r="X87" t="s">
        <v>235</v>
      </c>
    </row>
    <row r="88" spans="1:31" x14ac:dyDescent="0.25">
      <c r="B88" t="s">
        <v>236</v>
      </c>
      <c r="C88" s="93">
        <v>8.2800000000000004E-19</v>
      </c>
      <c r="D88" s="93">
        <v>4.2199999999999999E-18</v>
      </c>
      <c r="E88" s="93">
        <v>3.8300000000000002E-23</v>
      </c>
      <c r="F88" s="93">
        <v>1.7900000000000001E-14</v>
      </c>
      <c r="M88" t="s">
        <v>236</v>
      </c>
      <c r="N88" s="93">
        <v>6.0300000000000003E-27</v>
      </c>
      <c r="O88" t="s">
        <v>317</v>
      </c>
      <c r="P88" t="s">
        <v>317</v>
      </c>
      <c r="Q88" t="s">
        <v>317</v>
      </c>
      <c r="X88" t="s">
        <v>236</v>
      </c>
      <c r="Y88" s="93">
        <v>4.3000000000000004E-22</v>
      </c>
      <c r="Z88" s="93" t="s">
        <v>317</v>
      </c>
      <c r="AA88" s="93" t="s">
        <v>317</v>
      </c>
      <c r="AB88" s="93" t="s">
        <v>317</v>
      </c>
    </row>
    <row r="89" spans="1:31" x14ac:dyDescent="0.25">
      <c r="A89" t="s">
        <v>233</v>
      </c>
      <c r="L89" t="s">
        <v>233</v>
      </c>
      <c r="W89" t="s">
        <v>233</v>
      </c>
    </row>
    <row r="90" spans="1:31" x14ac:dyDescent="0.25">
      <c r="A90" t="s">
        <v>234</v>
      </c>
      <c r="B90" t="s">
        <v>235</v>
      </c>
      <c r="L90" t="s">
        <v>234</v>
      </c>
      <c r="M90" t="s">
        <v>235</v>
      </c>
      <c r="W90" t="s">
        <v>234</v>
      </c>
      <c r="X90" t="s">
        <v>235</v>
      </c>
    </row>
    <row r="91" spans="1:31" x14ac:dyDescent="0.25">
      <c r="B91" t="s">
        <v>236</v>
      </c>
      <c r="C91" s="93">
        <v>4.2700000000000004E-22</v>
      </c>
      <c r="D91" s="93">
        <v>3.5800000000000001E-21</v>
      </c>
      <c r="E91" s="93">
        <v>3.1400000000000003E-29</v>
      </c>
      <c r="F91" s="93">
        <v>5.8100000000000001E-15</v>
      </c>
      <c r="M91" t="s">
        <v>236</v>
      </c>
      <c r="N91" s="93">
        <v>2.9599999999999999E-25</v>
      </c>
      <c r="O91" s="93">
        <v>6.4399999999999997E-23</v>
      </c>
      <c r="P91" s="93">
        <v>1.5000000000000001E-210</v>
      </c>
      <c r="Q91" s="93">
        <v>5.6999999999999999E+160</v>
      </c>
      <c r="X91" t="s">
        <v>236</v>
      </c>
      <c r="Y91" s="93">
        <v>5.17E-22</v>
      </c>
      <c r="Z91" s="93">
        <v>8.2499999999999994E-20</v>
      </c>
      <c r="AA91" s="93">
        <v>9.9999999999999994E-158</v>
      </c>
      <c r="AB91" s="93">
        <v>2.7E+114</v>
      </c>
    </row>
    <row r="92" spans="1:31" x14ac:dyDescent="0.25">
      <c r="A92" t="s">
        <v>233</v>
      </c>
      <c r="L92" t="s">
        <v>233</v>
      </c>
      <c r="W92" t="s">
        <v>233</v>
      </c>
    </row>
    <row r="93" spans="1:31" x14ac:dyDescent="0.25">
      <c r="B93" t="s">
        <v>237</v>
      </c>
      <c r="C93">
        <v>2.6669200000000001E-2</v>
      </c>
      <c r="D93">
        <v>6.8643000000000003E-3</v>
      </c>
      <c r="E93">
        <v>1.6103599999999999E-2</v>
      </c>
      <c r="F93">
        <v>4.4166900000000002E-2</v>
      </c>
      <c r="M93" t="s">
        <v>237</v>
      </c>
      <c r="N93">
        <v>3.8471E-3</v>
      </c>
      <c r="O93">
        <v>2.3489000000000001E-3</v>
      </c>
      <c r="P93">
        <v>1.1624999999999999E-3</v>
      </c>
      <c r="Q93">
        <v>1.27309E-2</v>
      </c>
      <c r="X93" t="s">
        <v>237</v>
      </c>
      <c r="Y93">
        <v>0.22877110000000001</v>
      </c>
      <c r="Z93">
        <v>3.2445099999999998E-2</v>
      </c>
      <c r="AA93">
        <v>0.17325299999999999</v>
      </c>
      <c r="AB93">
        <v>0.30207970000000001</v>
      </c>
    </row>
    <row r="94" spans="1:31" x14ac:dyDescent="0.25">
      <c r="A94" t="s">
        <v>217</v>
      </c>
    </row>
  </sheetData>
  <phoneticPr fontId="1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Calc-I</vt:lpstr>
      <vt:lpstr>GraphI-I</vt:lpstr>
      <vt:lpstr>Calc-S</vt:lpstr>
      <vt:lpstr>GraphS-S</vt:lpstr>
      <vt:lpstr>Calc-R</vt:lpstr>
      <vt:lpstr>GraphR-R</vt:lpstr>
      <vt:lpstr>ES_RandEff</vt:lpstr>
      <vt:lpstr>ES_MLM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C. Duggan</dc:creator>
  <cp:lastModifiedBy>Andrey Koval</cp:lastModifiedBy>
  <cp:lastPrinted>2017-06-07T17:38:03Z</cp:lastPrinted>
  <dcterms:created xsi:type="dcterms:W3CDTF">2017-05-18T21:40:31Z</dcterms:created>
  <dcterms:modified xsi:type="dcterms:W3CDTF">2017-07-07T13:14:29Z</dcterms:modified>
</cp:coreProperties>
</file>