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vladi\Workspace\Лабы\1 курс\Физика\"/>
    </mc:Choice>
  </mc:AlternateContent>
  <xr:revisionPtr revIDLastSave="0" documentId="13_ncr:1_{3F1890F5-94A4-478E-8F94-27E39BA1BECE}" xr6:coauthVersionLast="47" xr6:coauthVersionMax="47" xr10:uidLastSave="{00000000-0000-0000-0000-000000000000}"/>
  <bookViews>
    <workbookView xWindow="-120" yWindow="-135" windowWidth="21600" windowHeight="11295" activeTab="2" xr2:uid="{00000000-000D-0000-FFFF-FFFF00000000}"/>
  </bookViews>
  <sheets>
    <sheet name="1" sheetId="5" r:id="rId1"/>
    <sheet name="2" sheetId="3" r:id="rId2"/>
    <sheet name="3" sheetId="4" r:id="rId3"/>
  </sheets>
  <definedNames>
    <definedName name="g">'1'!$B$19</definedName>
    <definedName name="h">'1'!$B$18</definedName>
    <definedName name="m">'1'!$B$16</definedName>
    <definedName name="midI">'1'!$B$20</definedName>
    <definedName name="rad">'1'!$B$17</definedName>
    <definedName name="sumI">'1'!$G$8</definedName>
    <definedName name="wtfI">'1'!$G$10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2" i="4"/>
  <c r="C9" i="5"/>
  <c r="D9" i="5"/>
  <c r="E9" i="5"/>
  <c r="F9" i="5"/>
  <c r="G9" i="5"/>
  <c r="B9" i="5"/>
  <c r="B8" i="5"/>
  <c r="C17" i="3"/>
  <c r="E25" i="4"/>
  <c r="A24" i="4"/>
  <c r="D25" i="4"/>
  <c r="D21" i="4"/>
  <c r="D22" i="4"/>
  <c r="D23" i="4"/>
  <c r="D24" i="4"/>
  <c r="D20" i="4"/>
  <c r="C28" i="3"/>
  <c r="C27" i="3"/>
  <c r="F8" i="5"/>
  <c r="C8" i="5"/>
  <c r="D8" i="5"/>
  <c r="E8" i="5"/>
  <c r="B16" i="5"/>
  <c r="F3" i="4"/>
  <c r="F4" i="4"/>
  <c r="F5" i="4"/>
  <c r="F6" i="4"/>
  <c r="F2" i="4"/>
  <c r="F7" i="4" s="1"/>
  <c r="I3" i="4"/>
  <c r="D3" i="4" s="1"/>
  <c r="E3" i="4" s="1"/>
  <c r="I4" i="4"/>
  <c r="D4" i="4" s="1"/>
  <c r="E4" i="4" s="1"/>
  <c r="I5" i="4"/>
  <c r="D5" i="4" s="1"/>
  <c r="E5" i="4" s="1"/>
  <c r="I6" i="4"/>
  <c r="D6" i="4" s="1"/>
  <c r="E6" i="4" s="1"/>
  <c r="I2" i="4"/>
  <c r="D2" i="4" s="1"/>
  <c r="B7" i="4"/>
  <c r="B17" i="3"/>
  <c r="B16" i="3"/>
  <c r="B15" i="3"/>
  <c r="B12" i="3"/>
  <c r="I4" i="3"/>
  <c r="I6" i="3"/>
  <c r="I3" i="3"/>
  <c r="H4" i="3"/>
  <c r="H6" i="3"/>
  <c r="H3" i="3"/>
  <c r="G4" i="3"/>
  <c r="G6" i="3"/>
  <c r="G3" i="3"/>
  <c r="F6" i="3"/>
  <c r="F4" i="3"/>
  <c r="F3" i="3"/>
  <c r="B10" i="3"/>
  <c r="E4" i="3"/>
  <c r="E5" i="3"/>
  <c r="F5" i="3" s="1"/>
  <c r="I5" i="3" s="1"/>
  <c r="E6" i="3"/>
  <c r="E7" i="3"/>
  <c r="F7" i="3" s="1"/>
  <c r="E3" i="3"/>
  <c r="G8" i="5" l="1"/>
  <c r="B20" i="5" s="1"/>
  <c r="F10" i="5" s="1"/>
  <c r="D7" i="4"/>
  <c r="E2" i="4"/>
  <c r="E7" i="4" s="1"/>
  <c r="G5" i="3"/>
  <c r="H5" i="3" s="1"/>
  <c r="I7" i="3"/>
  <c r="I8" i="3" s="1"/>
  <c r="F8" i="3"/>
  <c r="G7" i="3"/>
  <c r="C10" i="5" l="1"/>
  <c r="E10" i="5"/>
  <c r="B10" i="5"/>
  <c r="D10" i="5"/>
  <c r="B13" i="4"/>
  <c r="B14" i="4"/>
  <c r="H7" i="3"/>
  <c r="H8" i="3" s="1"/>
  <c r="J7" i="3" s="1"/>
  <c r="A21" i="4" l="1"/>
  <c r="A19" i="4"/>
  <c r="A20" i="4"/>
  <c r="A22" i="4"/>
  <c r="A23" i="4"/>
  <c r="G10" i="5"/>
  <c r="B16" i="4" s="1"/>
  <c r="G2" i="4"/>
  <c r="H2" i="4" s="1"/>
  <c r="G4" i="4"/>
  <c r="H4" i="4" s="1"/>
  <c r="G3" i="4"/>
  <c r="H3" i="4" s="1"/>
  <c r="G6" i="4"/>
  <c r="H6" i="4" s="1"/>
  <c r="G5" i="4"/>
  <c r="H5" i="4" s="1"/>
  <c r="J4" i="3"/>
  <c r="J6" i="3"/>
  <c r="J3" i="3"/>
  <c r="J5" i="3"/>
  <c r="H7" i="4" l="1"/>
  <c r="B15" i="4" s="1"/>
  <c r="B17" i="4" s="1"/>
  <c r="J8" i="3"/>
  <c r="B13" i="3" s="1"/>
  <c r="B14" i="3" s="1"/>
</calcChain>
</file>

<file path=xl/sharedStrings.xml><?xml version="1.0" encoding="utf-8"?>
<sst xmlns="http://schemas.openxmlformats.org/spreadsheetml/2006/main" count="43" uniqueCount="34">
  <si>
    <t>№</t>
  </si>
  <si>
    <t>Σ</t>
  </si>
  <si>
    <t>m</t>
  </si>
  <si>
    <t xml:space="preserve">m = </t>
  </si>
  <si>
    <t>g =</t>
  </si>
  <si>
    <t xml:space="preserve">A = </t>
  </si>
  <si>
    <t xml:space="preserve">F = </t>
  </si>
  <si>
    <t>Sад2 =</t>
  </si>
  <si>
    <t>Всё топово</t>
  </si>
  <si>
    <t>&lt;I&gt; =</t>
  </si>
  <si>
    <t>SI2 =</t>
  </si>
  <si>
    <t>SA2 =</t>
  </si>
  <si>
    <t>I =</t>
  </si>
  <si>
    <t>0,000281205 +- 1,12620331</t>
  </si>
  <si>
    <t>r =</t>
  </si>
  <si>
    <t xml:space="preserve">m0 = </t>
  </si>
  <si>
    <t>h =</t>
  </si>
  <si>
    <t>mi</t>
  </si>
  <si>
    <t>ti</t>
  </si>
  <si>
    <t>Ii</t>
  </si>
  <si>
    <t>miIi</t>
  </si>
  <si>
    <t>mi^2</t>
  </si>
  <si>
    <t>(Ii-Ami-B)</t>
  </si>
  <si>
    <t>(Ii-Ami-B)^2</t>
  </si>
  <si>
    <t>A =</t>
  </si>
  <si>
    <t>B =</t>
  </si>
  <si>
    <t>Sоп2 =</t>
  </si>
  <si>
    <r>
      <t>N</t>
    </r>
    <r>
      <rPr>
        <vertAlign val="subscript"/>
        <sz val="10"/>
        <color theme="1"/>
        <rFont val="Times New Roman"/>
        <family val="1"/>
        <charset val="204"/>
      </rPr>
      <t>опыта</t>
    </r>
  </si>
  <si>
    <r>
      <t xml:space="preserve">, </t>
    </r>
    <r>
      <rPr>
        <i/>
        <sz val="10"/>
        <color theme="1"/>
        <rFont val="Times New Roman"/>
        <family val="1"/>
        <charset val="204"/>
      </rPr>
      <t>с</t>
    </r>
  </si>
  <si>
    <t xml:space="preserve"> </t>
  </si>
  <si>
    <t xml:space="preserve">, </t>
  </si>
  <si>
    <t>m =</t>
  </si>
  <si>
    <t xml:space="preserve">h = </t>
  </si>
  <si>
    <t>F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</si>
</sst>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0000E+00"/>
    <numFmt numFmtId="174" formatCode="0.00000000000E+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justify" vertical="center"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3" xfId="0" applyFont="1" applyBorder="1" applyAlignment="1">
      <alignment vertical="top" wrapText="1"/>
    </xf>
    <xf numFmtId="165" fontId="0" fillId="0" borderId="0" xfId="0" applyNumberFormat="1"/>
    <xf numFmtId="164" fontId="1" fillId="0" borderId="0" xfId="0" applyNumberFormat="1" applyFont="1" applyFill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4" fontId="1" fillId="0" borderId="4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'2'!$B$22:$B$28</c:f>
              <c:numCache>
                <c:formatCode>0.0000</c:formatCode>
                <c:ptCount val="7"/>
                <c:pt idx="0">
                  <c:v>2.3464299064155824E-2</c:v>
                </c:pt>
                <c:pt idx="1">
                  <c:v>2.7546424254373866E-2</c:v>
                </c:pt>
                <c:pt idx="2">
                  <c:v>2.7588948377288227E-2</c:v>
                </c:pt>
                <c:pt idx="3">
                  <c:v>3.2854945421052641E-2</c:v>
                </c:pt>
                <c:pt idx="4">
                  <c:v>3.7157856111978263E-2</c:v>
                </c:pt>
                <c:pt idx="5">
                  <c:v>0</c:v>
                </c:pt>
                <c:pt idx="6">
                  <c:v>0.04</c:v>
                </c:pt>
              </c:numCache>
            </c:numRef>
          </c:xVal>
          <c:yVal>
            <c:numRef>
              <c:f>'2'!$C$22:$C$28</c:f>
              <c:numCache>
                <c:formatCode>0.0000</c:formatCode>
                <c:ptCount val="7"/>
                <c:pt idx="0">
                  <c:v>81.88256369293704</c:v>
                </c:pt>
                <c:pt idx="1">
                  <c:v>103.51035137463936</c:v>
                </c:pt>
                <c:pt idx="2">
                  <c:v>101.88850189741343</c:v>
                </c:pt>
                <c:pt idx="3">
                  <c:v>113.11172668513389</c:v>
                </c:pt>
                <c:pt idx="4">
                  <c:v>129.4947392762169</c:v>
                </c:pt>
                <c:pt idx="5" formatCode="General">
                  <c:v>0</c:v>
                </c:pt>
                <c:pt idx="6" formatCode="General">
                  <c:v>142.24505706946113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C-410E-BE07-32920BCFD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955536"/>
        <c:axId val="1230955952"/>
      </c:scatterChart>
      <c:valAx>
        <c:axId val="12309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955952"/>
        <c:crosses val="autoZero"/>
        <c:crossBetween val="midCat"/>
      </c:valAx>
      <c:valAx>
        <c:axId val="12309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9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'3'!$D$20:$D$25</c:f>
              <c:numCache>
                <c:formatCode>General</c:formatCode>
                <c:ptCount val="6"/>
                <c:pt idx="0">
                  <c:v>0</c:v>
                </c:pt>
                <c:pt idx="1">
                  <c:v>0.159</c:v>
                </c:pt>
                <c:pt idx="2">
                  <c:v>0.20399999999999999</c:v>
                </c:pt>
                <c:pt idx="3">
                  <c:v>0.26700000000000002</c:v>
                </c:pt>
                <c:pt idx="4">
                  <c:v>0.38700000000000001</c:v>
                </c:pt>
                <c:pt idx="5">
                  <c:v>0.44109999999999994</c:v>
                </c:pt>
              </c:numCache>
            </c:numRef>
          </c:xVal>
          <c:yVal>
            <c:numRef>
              <c:f>'3'!$E$20:$E$25</c:f>
              <c:numCache>
                <c:formatCode>General</c:formatCode>
                <c:ptCount val="6"/>
                <c:pt idx="0">
                  <c:v>2.96932869236407E-4</c:v>
                </c:pt>
                <c:pt idx="1">
                  <c:v>5.3302917856100905E-4</c:v>
                </c:pt>
                <c:pt idx="2">
                  <c:v>5.9984888874721682E-4</c:v>
                </c:pt>
                <c:pt idx="3">
                  <c:v>6.9339648300790818E-4</c:v>
                </c:pt>
                <c:pt idx="4">
                  <c:v>8.715823768377964E-4</c:v>
                </c:pt>
                <c:pt idx="5" formatCode="0.00000000000000E+00">
                  <c:v>9.519145173061042E-4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2-448C-8BAA-9377175D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96160"/>
        <c:axId val="1197591168"/>
      </c:scatterChart>
      <c:valAx>
        <c:axId val="11975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591168"/>
        <c:crosses val="autoZero"/>
        <c:crossBetween val="midCat"/>
      </c:valAx>
      <c:valAx>
        <c:axId val="11975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5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wmf"/><Relationship Id="rId3" Type="http://schemas.openxmlformats.org/officeDocument/2006/relationships/image" Target="../media/image4.wmf"/><Relationship Id="rId7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4" Type="http://schemas.openxmlformats.org/officeDocument/2006/relationships/image" Target="../media/image5.wmf"/><Relationship Id="rId9" Type="http://schemas.openxmlformats.org/officeDocument/2006/relationships/image" Target="../media/image10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0</xdr:rowOff>
        </xdr:from>
        <xdr:to>
          <xdr:col>6</xdr:col>
          <xdr:colOff>304800</xdr:colOff>
          <xdr:row>1</xdr:row>
          <xdr:rowOff>57150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304800</xdr:colOff>
          <xdr:row>2</xdr:row>
          <xdr:rowOff>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257175</xdr:colOff>
          <xdr:row>2</xdr:row>
          <xdr:rowOff>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295275</xdr:colOff>
          <xdr:row>1</xdr:row>
          <xdr:rowOff>190500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381000</xdr:colOff>
          <xdr:row>2</xdr:row>
          <xdr:rowOff>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0</xdr:rowOff>
        </xdr:from>
        <xdr:to>
          <xdr:col>5</xdr:col>
          <xdr:colOff>542925</xdr:colOff>
          <xdr:row>2</xdr:row>
          <xdr:rowOff>19050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0</xdr:rowOff>
        </xdr:from>
        <xdr:to>
          <xdr:col>6</xdr:col>
          <xdr:colOff>466725</xdr:colOff>
          <xdr:row>2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8</xdr:col>
          <xdr:colOff>85725</xdr:colOff>
          <xdr:row>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0</xdr:rowOff>
        </xdr:from>
        <xdr:to>
          <xdr:col>9</xdr:col>
          <xdr:colOff>142875</xdr:colOff>
          <xdr:row>1</xdr:row>
          <xdr:rowOff>85725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0</xdr:row>
          <xdr:rowOff>0</xdr:rowOff>
        </xdr:from>
        <xdr:to>
          <xdr:col>10</xdr:col>
          <xdr:colOff>561975</xdr:colOff>
          <xdr:row>2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4761</xdr:colOff>
      <xdr:row>9</xdr:row>
      <xdr:rowOff>4762</xdr:rowOff>
    </xdr:from>
    <xdr:to>
      <xdr:col>15</xdr:col>
      <xdr:colOff>0</xdr:colOff>
      <xdr:row>30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3988</xdr:colOff>
      <xdr:row>18</xdr:row>
      <xdr:rowOff>1148</xdr:rowOff>
    </xdr:from>
    <xdr:to>
      <xdr:col>23</xdr:col>
      <xdr:colOff>11206</xdr:colOff>
      <xdr:row>45</xdr:row>
      <xdr:rowOff>11206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13" Type="http://schemas.openxmlformats.org/officeDocument/2006/relationships/oleObject" Target="../embeddings/oleObject7.bin"/><Relationship Id="rId18" Type="http://schemas.openxmlformats.org/officeDocument/2006/relationships/image" Target="../media/image9.wmf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4.bin"/><Relationship Id="rId12" Type="http://schemas.openxmlformats.org/officeDocument/2006/relationships/image" Target="../media/image6.wmf"/><Relationship Id="rId17" Type="http://schemas.openxmlformats.org/officeDocument/2006/relationships/oleObject" Target="../embeddings/oleObject9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8.wmf"/><Relationship Id="rId20" Type="http://schemas.openxmlformats.org/officeDocument/2006/relationships/image" Target="../media/image10.wmf"/><Relationship Id="rId1" Type="http://schemas.openxmlformats.org/officeDocument/2006/relationships/drawing" Target="../drawings/drawing2.xml"/><Relationship Id="rId6" Type="http://schemas.openxmlformats.org/officeDocument/2006/relationships/image" Target="../media/image3.w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3.bin"/><Relationship Id="rId15" Type="http://schemas.openxmlformats.org/officeDocument/2006/relationships/oleObject" Target="../embeddings/oleObject8.bin"/><Relationship Id="rId10" Type="http://schemas.openxmlformats.org/officeDocument/2006/relationships/image" Target="../media/image5.wmf"/><Relationship Id="rId19" Type="http://schemas.openxmlformats.org/officeDocument/2006/relationships/oleObject" Target="../embeddings/oleObject10.bin"/><Relationship Id="rId4" Type="http://schemas.openxmlformats.org/officeDocument/2006/relationships/image" Target="../media/image2.wmf"/><Relationship Id="rId9" Type="http://schemas.openxmlformats.org/officeDocument/2006/relationships/oleObject" Target="../embeddings/oleObject5.bin"/><Relationship Id="rId14" Type="http://schemas.openxmlformats.org/officeDocument/2006/relationships/image" Target="../media/image7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DE60-3094-4745-BD73-0839674A821C}">
  <dimension ref="A1:G20"/>
  <sheetViews>
    <sheetView workbookViewId="0">
      <selection activeCell="G10" sqref="G10"/>
    </sheetView>
  </sheetViews>
  <sheetFormatPr defaultRowHeight="15" x14ac:dyDescent="0.25"/>
  <cols>
    <col min="2" max="2" width="12.7109375" bestFit="1" customWidth="1"/>
    <col min="7" max="7" width="10" bestFit="1" customWidth="1"/>
  </cols>
  <sheetData>
    <row r="1" spans="1:7" ht="15.75" thickBot="1" x14ac:dyDescent="0.3">
      <c r="A1" s="1" t="s">
        <v>27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15"/>
    </row>
    <row r="2" spans="1:7" ht="15.75" thickBot="1" x14ac:dyDescent="0.3">
      <c r="A2" s="3" t="s">
        <v>28</v>
      </c>
      <c r="B2" s="4">
        <v>0.86099999999999999</v>
      </c>
      <c r="C2" s="4">
        <v>0.874</v>
      </c>
      <c r="D2" s="4">
        <v>0.86699999999999999</v>
      </c>
      <c r="E2" s="4">
        <v>0.85899999999999999</v>
      </c>
      <c r="F2" s="4">
        <v>0.872</v>
      </c>
      <c r="G2" s="5"/>
    </row>
    <row r="3" spans="1:7" x14ac:dyDescent="0.25">
      <c r="A3" s="16" t="s">
        <v>29</v>
      </c>
      <c r="B3" s="20">
        <v>108.8677</v>
      </c>
      <c r="C3" s="20">
        <v>105.65309999999999</v>
      </c>
      <c r="D3" s="20">
        <v>107.3661</v>
      </c>
      <c r="E3" s="20">
        <v>109.37520000000001</v>
      </c>
      <c r="F3" s="20">
        <v>106.1383</v>
      </c>
      <c r="G3" s="20">
        <v>537.40039999999999</v>
      </c>
    </row>
    <row r="4" spans="1:7" x14ac:dyDescent="0.25">
      <c r="A4" s="16" t="s">
        <v>30</v>
      </c>
      <c r="B4" s="22"/>
      <c r="C4" s="22"/>
      <c r="D4" s="22"/>
      <c r="E4" s="22"/>
      <c r="F4" s="22"/>
      <c r="G4" s="22"/>
    </row>
    <row r="5" spans="1:7" ht="15.75" thickBot="1" x14ac:dyDescent="0.3">
      <c r="A5" s="17"/>
      <c r="B5" s="21"/>
      <c r="C5" s="21"/>
      <c r="D5" s="21"/>
      <c r="E5" s="21"/>
      <c r="F5" s="21"/>
      <c r="G5" s="21"/>
    </row>
    <row r="6" spans="1:7" x14ac:dyDescent="0.25">
      <c r="A6" s="20" t="s">
        <v>30</v>
      </c>
      <c r="B6" s="20">
        <v>1.9254</v>
      </c>
      <c r="C6" s="20">
        <v>3.3378999999999999</v>
      </c>
      <c r="D6" s="20">
        <v>1.2999999999999999E-2</v>
      </c>
      <c r="E6" s="20">
        <v>3.5914000000000001</v>
      </c>
      <c r="F6" s="20">
        <v>1.8004</v>
      </c>
      <c r="G6" s="20">
        <v>10.668100000000001</v>
      </c>
    </row>
    <row r="7" spans="1:7" ht="15.75" thickBot="1" x14ac:dyDescent="0.3">
      <c r="A7" s="21"/>
      <c r="B7" s="21"/>
      <c r="C7" s="21"/>
      <c r="D7" s="21"/>
      <c r="E7" s="21"/>
      <c r="F7" s="21"/>
      <c r="G7" s="21"/>
    </row>
    <row r="8" spans="1:7" x14ac:dyDescent="0.25">
      <c r="A8" s="14" t="s">
        <v>19</v>
      </c>
      <c r="B8">
        <f>((m * B2*B2*rad*rad) / (2*h)) * (g - ((2 * h) / (B2*B2)))</f>
        <v>2.5173645003158932E-4</v>
      </c>
      <c r="C8">
        <f>((m * C2*C2*rad*rad) / (2*h)) * (g - ((2 * h) / (C2*C2)))</f>
        <v>2.6019337627115018E-4</v>
      </c>
      <c r="D8">
        <f>((m * D2*D2*rad*rad) / (2*h)) * (g - ((2 * h) / (D2*D2)))</f>
        <v>2.5562389898977001E-4</v>
      </c>
      <c r="E8">
        <f>((m * E2*E2*rad*rad) / (2*h)) * (g - ((2 * h) / (E2*E2)))</f>
        <v>2.5044663286182255E-4</v>
      </c>
      <c r="F8">
        <f>((m * F2*F2*rad*rad) / (2*h)) * (g - ((2 * h) / (F2*F2)))</f>
        <v>2.5888406186509624E-4</v>
      </c>
      <c r="G8">
        <f>SUM(B8:F8)</f>
        <v>1.2768844200194281E-3</v>
      </c>
    </row>
    <row r="9" spans="1:7" x14ac:dyDescent="0.25">
      <c r="B9">
        <f>B8-midI</f>
        <v>-3.6404339722963166E-6</v>
      </c>
      <c r="C9">
        <f>C8-midI</f>
        <v>4.8164922672645381E-6</v>
      </c>
      <c r="D9">
        <f>D8-midI</f>
        <v>2.4701498588437266E-7</v>
      </c>
      <c r="E9">
        <f>E8-midI</f>
        <v>-4.9302511420630871E-6</v>
      </c>
      <c r="F9">
        <f>F8-midI</f>
        <v>3.5071778612106013E-6</v>
      </c>
      <c r="G9">
        <f>G8-midI</f>
        <v>1.0215075360155426E-3</v>
      </c>
    </row>
    <row r="10" spans="1:7" x14ac:dyDescent="0.25">
      <c r="B10">
        <f>POWER(B8-midI, 2)</f>
        <v>1.3252759506649139E-11</v>
      </c>
      <c r="C10">
        <f>POWER(C8-midI, 2)</f>
        <v>2.3198597760619091E-11</v>
      </c>
      <c r="D10">
        <f>POWER(D8-midI, 2)</f>
        <v>6.1016403251456822E-14</v>
      </c>
      <c r="E10">
        <f>POWER(E8-midI, 2)</f>
        <v>2.4307376323814374E-11</v>
      </c>
      <c r="F10">
        <f>POWER(F8-midI, 2)</f>
        <v>1.2300296550165768E-11</v>
      </c>
      <c r="G10">
        <f>SUM(B10:F10)</f>
        <v>7.3120046544499822E-11</v>
      </c>
    </row>
    <row r="16" spans="1:7" x14ac:dyDescent="0.25">
      <c r="A16" t="s">
        <v>31</v>
      </c>
      <c r="B16">
        <f>0.204+0.1589</f>
        <v>0.3629</v>
      </c>
    </row>
    <row r="17" spans="1:2" x14ac:dyDescent="0.25">
      <c r="A17" t="s">
        <v>14</v>
      </c>
      <c r="B17">
        <v>8.5000000000000006E-3</v>
      </c>
    </row>
    <row r="18" spans="1:2" x14ac:dyDescent="0.25">
      <c r="A18" t="s">
        <v>32</v>
      </c>
      <c r="B18">
        <v>0.34300000000000003</v>
      </c>
    </row>
    <row r="19" spans="1:2" x14ac:dyDescent="0.25">
      <c r="A19" t="s">
        <v>4</v>
      </c>
      <c r="B19">
        <v>9.81</v>
      </c>
    </row>
    <row r="20" spans="1:2" x14ac:dyDescent="0.25">
      <c r="A20" t="s">
        <v>9</v>
      </c>
      <c r="B20">
        <f>G8/5</f>
        <v>2.5537688400388564E-4</v>
      </c>
    </row>
  </sheetData>
  <mergeCells count="13">
    <mergeCell ref="G3:G5"/>
    <mergeCell ref="B3:B5"/>
    <mergeCell ref="C3:C5"/>
    <mergeCell ref="D3:D5"/>
    <mergeCell ref="E3:E5"/>
    <mergeCell ref="F3:F5"/>
    <mergeCell ref="G6:G7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6" r:id="rId3">
          <objectPr defaultSize="0" autoPict="0" r:id="rId4">
            <anchor moveWithCells="1" siz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304800</xdr:colOff>
                <xdr:row>1</xdr:row>
                <xdr:rowOff>57150</xdr:rowOff>
              </to>
            </anchor>
          </objectPr>
        </oleObject>
      </mc:Choice>
      <mc:Fallback>
        <oleObject progId="Equation.3" shapeId="512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E8D4-E9AA-4090-B91C-54CD7ABE8FDF}">
  <dimension ref="A1:J28"/>
  <sheetViews>
    <sheetView workbookViewId="0">
      <selection activeCell="C17" sqref="C17"/>
    </sheetView>
  </sheetViews>
  <sheetFormatPr defaultRowHeight="15" x14ac:dyDescent="0.25"/>
  <cols>
    <col min="2" max="2" width="12" bestFit="1" customWidth="1"/>
    <col min="5" max="9" width="10" bestFit="1" customWidth="1"/>
    <col min="10" max="10" width="11.42578125" bestFit="1" customWidth="1"/>
  </cols>
  <sheetData>
    <row r="1" spans="1:10" x14ac:dyDescent="0.25">
      <c r="A1" s="6"/>
      <c r="B1" s="27"/>
      <c r="C1" s="27"/>
      <c r="D1" s="27"/>
      <c r="E1" s="23"/>
      <c r="F1" s="27"/>
      <c r="G1" s="23"/>
      <c r="H1" s="23"/>
      <c r="I1" s="23"/>
      <c r="J1" s="25"/>
    </row>
    <row r="2" spans="1:10" ht="15.75" thickBot="1" x14ac:dyDescent="0.3">
      <c r="A2" s="7" t="s">
        <v>0</v>
      </c>
      <c r="B2" s="28"/>
      <c r="C2" s="28"/>
      <c r="D2" s="28"/>
      <c r="E2" s="24"/>
      <c r="F2" s="28"/>
      <c r="G2" s="24"/>
      <c r="H2" s="24"/>
      <c r="I2" s="24"/>
      <c r="J2" s="26"/>
    </row>
    <row r="3" spans="1:10" ht="15.75" thickBot="1" x14ac:dyDescent="0.3">
      <c r="A3" s="7">
        <v>1</v>
      </c>
      <c r="B3" s="4">
        <v>7.0000000000000001E-3</v>
      </c>
      <c r="C3" s="4">
        <v>1.0940000000000001</v>
      </c>
      <c r="D3" s="20">
        <v>0.34300000000000003</v>
      </c>
      <c r="E3" s="8">
        <f>2 * $D$3 / POWER(C3, 2)</f>
        <v>0.57317794585055926</v>
      </c>
      <c r="F3" s="8">
        <f>$B$10 * B3 * ($B$11 - E3)</f>
        <v>2.3464299064155824E-2</v>
      </c>
      <c r="G3" s="8">
        <f>E3/B3</f>
        <v>81.88256369293704</v>
      </c>
      <c r="H3" s="9">
        <f>G3*F3</f>
        <v>1.9213169626308622</v>
      </c>
      <c r="I3" s="8">
        <f>F3*F3</f>
        <v>5.5057333057214383E-4</v>
      </c>
      <c r="J3" s="10">
        <f>POWER(G3-$B$12*F3, 2)</f>
        <v>2.4318852193215075</v>
      </c>
    </row>
    <row r="4" spans="1:10" ht="15.75" thickBot="1" x14ac:dyDescent="0.3">
      <c r="A4" s="7">
        <v>2</v>
      </c>
      <c r="B4" s="4">
        <v>8.5000000000000006E-3</v>
      </c>
      <c r="C4" s="4">
        <v>0.88300000000000001</v>
      </c>
      <c r="D4" s="22"/>
      <c r="E4" s="8">
        <f t="shared" ref="E4:E7" si="0">2 * $D$3 / POWER(C4, 2)</f>
        <v>0.87983798668443458</v>
      </c>
      <c r="F4" s="8">
        <f>$B$10 * B4 * ($B$11 - E4)</f>
        <v>2.7546424254373866E-2</v>
      </c>
      <c r="G4" s="8">
        <f t="shared" ref="G4:G7" si="1">E4/B4</f>
        <v>103.51035137463936</v>
      </c>
      <c r="H4" s="9">
        <f t="shared" ref="H4:H7" si="2">G4*F4</f>
        <v>2.8513400536851266</v>
      </c>
      <c r="I4" s="8">
        <f t="shared" ref="I4:I7" si="3">F4*F4</f>
        <v>7.5880548920195681E-4</v>
      </c>
      <c r="J4" s="10">
        <f t="shared" ref="J4:J7" si="4">POWER(G4-$B$12*F4, 2)</f>
        <v>30.822306932454545</v>
      </c>
    </row>
    <row r="5" spans="1:10" ht="15.75" thickBot="1" x14ac:dyDescent="0.3">
      <c r="A5" s="7">
        <v>3</v>
      </c>
      <c r="B5" s="4">
        <v>1.0500000000000001E-2</v>
      </c>
      <c r="C5" s="4">
        <v>0.76</v>
      </c>
      <c r="D5" s="22"/>
      <c r="E5" s="8">
        <f t="shared" si="0"/>
        <v>1.1876731301939059</v>
      </c>
      <c r="F5" s="8">
        <f t="shared" ref="F5:F7" si="5">$B$10 * B5 * ($B$11 - E5)</f>
        <v>3.2854945421052641E-2</v>
      </c>
      <c r="G5" s="8">
        <f t="shared" si="1"/>
        <v>113.11172668513389</v>
      </c>
      <c r="H5" s="9">
        <f t="shared" si="2"/>
        <v>3.7162796067210975</v>
      </c>
      <c r="I5" s="8">
        <f t="shared" si="3"/>
        <v>1.0794474386203478E-3</v>
      </c>
      <c r="J5" s="10">
        <f t="shared" si="4"/>
        <v>13.872741818437541</v>
      </c>
    </row>
    <row r="6" spans="1:10" ht="15.75" thickBot="1" x14ac:dyDescent="0.3">
      <c r="A6" s="7">
        <v>4</v>
      </c>
      <c r="B6" s="4">
        <v>1.2500000000000001E-2</v>
      </c>
      <c r="C6" s="4">
        <v>0.65100000000000002</v>
      </c>
      <c r="D6" s="22"/>
      <c r="E6" s="8">
        <f t="shared" si="0"/>
        <v>1.6186842409527114</v>
      </c>
      <c r="F6" s="8">
        <f t="shared" si="5"/>
        <v>3.7157856111978263E-2</v>
      </c>
      <c r="G6" s="8">
        <f t="shared" si="1"/>
        <v>129.4947392762169</v>
      </c>
      <c r="H6" s="9">
        <f t="shared" si="2"/>
        <v>4.8117468892838078</v>
      </c>
      <c r="I6" s="8">
        <f t="shared" si="3"/>
        <v>1.3807062708384803E-3</v>
      </c>
      <c r="J6" s="10">
        <f t="shared" si="4"/>
        <v>6.9870074232979915</v>
      </c>
    </row>
    <row r="7" spans="1:10" ht="15.75" thickBot="1" x14ac:dyDescent="0.3">
      <c r="A7" s="7">
        <v>5</v>
      </c>
      <c r="B7" s="4">
        <v>8.5000000000000006E-3</v>
      </c>
      <c r="C7" s="4">
        <v>0.89</v>
      </c>
      <c r="D7" s="21"/>
      <c r="E7" s="8">
        <f t="shared" si="0"/>
        <v>0.86605226612801423</v>
      </c>
      <c r="F7" s="8">
        <f t="shared" si="5"/>
        <v>2.7588948377288227E-2</v>
      </c>
      <c r="G7" s="8">
        <f t="shared" si="1"/>
        <v>101.88850189741343</v>
      </c>
      <c r="H7" s="9">
        <f t="shared" si="2"/>
        <v>2.8109966190869726</v>
      </c>
      <c r="I7" s="8">
        <f t="shared" si="3"/>
        <v>7.6115007256467469E-4</v>
      </c>
      <c r="J7" s="10">
        <f t="shared" si="4"/>
        <v>14.278675617356612</v>
      </c>
    </row>
    <row r="8" spans="1:10" ht="15.75" thickBot="1" x14ac:dyDescent="0.3">
      <c r="A8" s="7" t="s">
        <v>1</v>
      </c>
      <c r="B8" s="5"/>
      <c r="C8" s="5"/>
      <c r="D8" s="5"/>
      <c r="E8" s="5"/>
      <c r="F8" s="8">
        <f>SUM(F3:F7)</f>
        <v>0.14861247322884882</v>
      </c>
      <c r="G8" s="5"/>
      <c r="H8" s="8">
        <f>SUM(H3:H7)</f>
        <v>16.111680131407866</v>
      </c>
      <c r="I8" s="8">
        <f>SUM(I3:I7)</f>
        <v>4.5306826017976034E-3</v>
      </c>
      <c r="J8" s="8">
        <f>SUM(J3:J7)</f>
        <v>68.392617010868193</v>
      </c>
    </row>
    <row r="10" spans="1:10" x14ac:dyDescent="0.25">
      <c r="A10" t="s">
        <v>3</v>
      </c>
      <c r="B10">
        <f>0.204 + 0.1589</f>
        <v>0.3629</v>
      </c>
    </row>
    <row r="11" spans="1:10" x14ac:dyDescent="0.25">
      <c r="A11" t="s">
        <v>4</v>
      </c>
      <c r="B11">
        <v>9.81</v>
      </c>
    </row>
    <row r="12" spans="1:10" x14ac:dyDescent="0.25">
      <c r="A12" t="s">
        <v>5</v>
      </c>
      <c r="B12">
        <f>H8/I8</f>
        <v>3556.1264267365277</v>
      </c>
    </row>
    <row r="13" spans="1:10" x14ac:dyDescent="0.25">
      <c r="A13" t="s">
        <v>7</v>
      </c>
      <c r="B13">
        <f>J8/4</f>
        <v>17.098154252717048</v>
      </c>
    </row>
    <row r="14" spans="1:10" x14ac:dyDescent="0.25">
      <c r="A14" t="s">
        <v>6</v>
      </c>
      <c r="B14">
        <f>B13/2.667</f>
        <v>6.4110064689602737</v>
      </c>
      <c r="C14" t="s">
        <v>8</v>
      </c>
    </row>
    <row r="15" spans="1:10" x14ac:dyDescent="0.25">
      <c r="A15" t="s">
        <v>9</v>
      </c>
      <c r="B15">
        <f>1/B12</f>
        <v>2.8120485044669919E-4</v>
      </c>
    </row>
    <row r="16" spans="1:10" x14ac:dyDescent="0.25">
      <c r="A16" t="s">
        <v>11</v>
      </c>
      <c r="B16">
        <f>J8/(4 * I8)</f>
        <v>3773.8583245564691</v>
      </c>
    </row>
    <row r="17" spans="1:3" x14ac:dyDescent="0.25">
      <c r="A17" t="s">
        <v>10</v>
      </c>
      <c r="B17">
        <f xml:space="preserve"> POWER(B16, 2) / POWER(B12, 2)</f>
        <v>1.1262033096007924</v>
      </c>
      <c r="C17">
        <f>SQRT(B17)</f>
        <v>1.0612272657639326</v>
      </c>
    </row>
    <row r="18" spans="1:3" x14ac:dyDescent="0.25">
      <c r="A18" t="s">
        <v>12</v>
      </c>
      <c r="B18" t="s">
        <v>13</v>
      </c>
    </row>
    <row r="22" spans="1:3" ht="15.75" thickBot="1" x14ac:dyDescent="0.3">
      <c r="B22" s="8">
        <v>2.3464299064155824E-2</v>
      </c>
      <c r="C22" s="8">
        <v>81.88256369293704</v>
      </c>
    </row>
    <row r="23" spans="1:3" ht="15.75" thickBot="1" x14ac:dyDescent="0.3">
      <c r="B23" s="8">
        <v>2.7546424254373866E-2</v>
      </c>
      <c r="C23" s="8">
        <v>103.51035137463936</v>
      </c>
    </row>
    <row r="24" spans="1:3" ht="15.75" thickBot="1" x14ac:dyDescent="0.3">
      <c r="B24" s="8">
        <v>2.7588948377288227E-2</v>
      </c>
      <c r="C24" s="8">
        <v>101.88850189741343</v>
      </c>
    </row>
    <row r="25" spans="1:3" ht="15.75" thickBot="1" x14ac:dyDescent="0.3">
      <c r="B25" s="8">
        <v>3.2854945421052641E-2</v>
      </c>
      <c r="C25" s="8">
        <v>113.11172668513389</v>
      </c>
    </row>
    <row r="26" spans="1:3" ht="15.75" thickBot="1" x14ac:dyDescent="0.3">
      <c r="B26" s="8">
        <v>3.7157856111978263E-2</v>
      </c>
      <c r="C26" s="8">
        <v>129.4947392762169</v>
      </c>
    </row>
    <row r="27" spans="1:3" x14ac:dyDescent="0.25">
      <c r="B27" s="19">
        <v>0</v>
      </c>
      <c r="C27">
        <f>B12*B27</f>
        <v>0</v>
      </c>
    </row>
    <row r="28" spans="1:3" x14ac:dyDescent="0.25">
      <c r="B28" s="19">
        <v>0.04</v>
      </c>
      <c r="C28">
        <f>B12*B28</f>
        <v>142.24505706946113</v>
      </c>
    </row>
  </sheetData>
  <sortState xmlns:xlrd2="http://schemas.microsoft.com/office/spreadsheetml/2017/richdata2" ref="B22:C26">
    <sortCondition ref="B22:B26"/>
  </sortState>
  <mergeCells count="10">
    <mergeCell ref="H1:H2"/>
    <mergeCell ref="I1:I2"/>
    <mergeCell ref="J1:J2"/>
    <mergeCell ref="D3:D7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57" r:id="rId3">
          <objectPr defaultSize="0" autoPict="0" r:id="rId4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0</xdr:rowOff>
              </to>
            </anchor>
          </objectPr>
        </oleObject>
      </mc:Choice>
      <mc:Fallback>
        <oleObject progId="Equation.DSMT4" shapeId="2057" r:id="rId3"/>
      </mc:Fallback>
    </mc:AlternateContent>
    <mc:AlternateContent xmlns:mc="http://schemas.openxmlformats.org/markup-compatibility/2006">
      <mc:Choice Requires="x14">
        <oleObject progId="Equation.DSMT4" shapeId="2056" r:id="rId5">
          <objectPr defaultSize="0" autoPict="0" r:id="rId6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257175</xdr:colOff>
                <xdr:row>2</xdr:row>
                <xdr:rowOff>0</xdr:rowOff>
              </to>
            </anchor>
          </objectPr>
        </oleObject>
      </mc:Choice>
      <mc:Fallback>
        <oleObject progId="Equation.DSMT4" shapeId="2056" r:id="rId5"/>
      </mc:Fallback>
    </mc:AlternateContent>
    <mc:AlternateContent xmlns:mc="http://schemas.openxmlformats.org/markup-compatibility/2006">
      <mc:Choice Requires="x14">
        <oleObject progId="Equation.DSMT4" shapeId="2055" r:id="rId7">
          <objectPr defaultSize="0" autoPict="0" r:id="rId8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295275</xdr:colOff>
                <xdr:row>1</xdr:row>
                <xdr:rowOff>190500</xdr:rowOff>
              </to>
            </anchor>
          </objectPr>
        </oleObject>
      </mc:Choice>
      <mc:Fallback>
        <oleObject progId="Equation.DSMT4" shapeId="2055" r:id="rId7"/>
      </mc:Fallback>
    </mc:AlternateContent>
    <mc:AlternateContent xmlns:mc="http://schemas.openxmlformats.org/markup-compatibility/2006">
      <mc:Choice Requires="x14">
        <oleObject progId="Equation.DSMT4" shapeId="2054" r:id="rId9">
          <objectPr defaultSize="0" autoPict="0" r:id="rId10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381000</xdr:colOff>
                <xdr:row>2</xdr:row>
                <xdr:rowOff>0</xdr:rowOff>
              </to>
            </anchor>
          </objectPr>
        </oleObject>
      </mc:Choice>
      <mc:Fallback>
        <oleObject progId="Equation.DSMT4" shapeId="2054" r:id="rId9"/>
      </mc:Fallback>
    </mc:AlternateContent>
    <mc:AlternateContent xmlns:mc="http://schemas.openxmlformats.org/markup-compatibility/2006">
      <mc:Choice Requires="x14">
        <oleObject progId="Equation.DSMT4" shapeId="2052" r:id="rId11">
          <objectPr defaultSize="0" autoPict="0" r:id="rId12">
            <anchor moveWithCells="1" siz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466725</xdr:colOff>
                <xdr:row>2</xdr:row>
                <xdr:rowOff>0</xdr:rowOff>
              </to>
            </anchor>
          </objectPr>
        </oleObject>
      </mc:Choice>
      <mc:Fallback>
        <oleObject progId="Equation.DSMT4" shapeId="2052" r:id="rId11"/>
      </mc:Fallback>
    </mc:AlternateContent>
    <mc:AlternateContent xmlns:mc="http://schemas.openxmlformats.org/markup-compatibility/2006">
      <mc:Choice Requires="x14">
        <oleObject progId="Equation.DSMT4" shapeId="2051" r:id="rId13">
          <objectPr defaultSize="0" autoPict="0" r:id="rId14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8</xdr:col>
                <xdr:colOff>85725</xdr:colOff>
                <xdr:row>2</xdr:row>
                <xdr:rowOff>0</xdr:rowOff>
              </to>
            </anchor>
          </objectPr>
        </oleObject>
      </mc:Choice>
      <mc:Fallback>
        <oleObject progId="Equation.DSMT4" shapeId="2051" r:id="rId13"/>
      </mc:Fallback>
    </mc:AlternateContent>
    <mc:AlternateContent xmlns:mc="http://schemas.openxmlformats.org/markup-compatibility/2006">
      <mc:Choice Requires="x14">
        <oleObject progId="Equation.DSMT4" shapeId="2050" r:id="rId15">
          <objectPr defaultSize="0" autoPict="0" r:id="rId16">
            <anchor moveWithCells="1" sizeWithCells="1">
              <from>
                <xdr:col>8</xdr:col>
                <xdr:colOff>0</xdr:colOff>
                <xdr:row>0</xdr:row>
                <xdr:rowOff>0</xdr:rowOff>
              </from>
              <to>
                <xdr:col>9</xdr:col>
                <xdr:colOff>142875</xdr:colOff>
                <xdr:row>1</xdr:row>
                <xdr:rowOff>85725</xdr:rowOff>
              </to>
            </anchor>
          </objectPr>
        </oleObject>
      </mc:Choice>
      <mc:Fallback>
        <oleObject progId="Equation.DSMT4" shapeId="2050" r:id="rId15"/>
      </mc:Fallback>
    </mc:AlternateContent>
    <mc:AlternateContent xmlns:mc="http://schemas.openxmlformats.org/markup-compatibility/2006">
      <mc:Choice Requires="x14">
        <oleObject progId="Equation.DSMT4" shapeId="2053" r:id="rId17">
          <objectPr defaultSize="0" autoPict="0" r:id="rId18">
            <anchor moveWithCells="1" siz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542925</xdr:colOff>
                <xdr:row>2</xdr:row>
                <xdr:rowOff>19050</xdr:rowOff>
              </to>
            </anchor>
          </objectPr>
        </oleObject>
      </mc:Choice>
      <mc:Fallback>
        <oleObject progId="Equation.DSMT4" shapeId="2053" r:id="rId17"/>
      </mc:Fallback>
    </mc:AlternateContent>
    <mc:AlternateContent xmlns:mc="http://schemas.openxmlformats.org/markup-compatibility/2006">
      <mc:Choice Requires="x14">
        <oleObject progId="Equation.DSMT4" shapeId="2049" r:id="rId19">
          <objectPr defaultSize="0" autoPict="0" r:id="rId20">
            <anchor moveWithCells="1" sizeWithCells="1">
              <from>
                <xdr:col>9</xdr:col>
                <xdr:colOff>0</xdr:colOff>
                <xdr:row>0</xdr:row>
                <xdr:rowOff>0</xdr:rowOff>
              </from>
              <to>
                <xdr:col>10</xdr:col>
                <xdr:colOff>561975</xdr:colOff>
                <xdr:row>2</xdr:row>
                <xdr:rowOff>66675</xdr:rowOff>
              </to>
            </anchor>
          </objectPr>
        </oleObject>
      </mc:Choice>
      <mc:Fallback>
        <oleObject progId="Equation.DSMT4" shapeId="2049" r:id="rId1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1013-0620-4989-BC85-7FDC2BBE8F14}">
  <dimension ref="A1:K25"/>
  <sheetViews>
    <sheetView tabSelected="1" zoomScale="85" zoomScaleNormal="85" workbookViewId="0">
      <selection activeCell="K3" sqref="K3"/>
    </sheetView>
  </sheetViews>
  <sheetFormatPr defaultRowHeight="15" x14ac:dyDescent="0.25"/>
  <cols>
    <col min="1" max="1" width="20.85546875" bestFit="1" customWidth="1"/>
    <col min="2" max="2" width="12" bestFit="1" customWidth="1"/>
    <col min="4" max="4" width="10" bestFit="1" customWidth="1"/>
    <col min="5" max="5" width="20.5703125" bestFit="1" customWidth="1"/>
    <col min="7" max="7" width="17.85546875" bestFit="1" customWidth="1"/>
    <col min="8" max="8" width="9.85546875" bestFit="1" customWidth="1"/>
  </cols>
  <sheetData>
    <row r="1" spans="1:11" ht="26.25" thickBot="1" x14ac:dyDescent="0.3">
      <c r="A1" s="11" t="s">
        <v>0</v>
      </c>
      <c r="B1" s="12" t="s">
        <v>17</v>
      </c>
      <c r="C1" s="13" t="s">
        <v>18</v>
      </c>
      <c r="D1" s="12" t="s">
        <v>19</v>
      </c>
      <c r="E1" s="12" t="s">
        <v>20</v>
      </c>
      <c r="F1" s="12" t="s">
        <v>21</v>
      </c>
      <c r="G1" s="13" t="s">
        <v>22</v>
      </c>
      <c r="H1" s="13" t="s">
        <v>23</v>
      </c>
      <c r="I1" t="s">
        <v>2</v>
      </c>
    </row>
    <row r="2" spans="1:11" ht="15.75" thickBot="1" x14ac:dyDescent="0.3">
      <c r="A2" s="7">
        <v>1</v>
      </c>
      <c r="B2" s="4">
        <v>0.20399999999999999</v>
      </c>
      <c r="C2" s="4">
        <v>1.69</v>
      </c>
      <c r="D2" s="4">
        <f>((I2*C2*C2*$B$10*$B$10)/(2 * $B$12)) * ($B$9 - ((2 * $B$12) / (C2*C2)))</f>
        <v>3.6147618618440232E-4</v>
      </c>
      <c r="E2" s="4">
        <f>D2*B2</f>
        <v>7.374114198161807E-5</v>
      </c>
      <c r="F2" s="4">
        <f>B2*B2</f>
        <v>4.1615999999999993E-2</v>
      </c>
      <c r="G2" s="29">
        <f>D2-$B$13*B2-$B$14</f>
        <v>-2.4248814830709188E-6</v>
      </c>
      <c r="H2" s="4">
        <f>G2*G2</f>
        <v>5.8800502069402189E-12</v>
      </c>
      <c r="I2">
        <f>B2+$B$11</f>
        <v>0.3629</v>
      </c>
      <c r="K2">
        <f>B2*$B$13+$B$14</f>
        <v>3.6390106766747321E-4</v>
      </c>
    </row>
    <row r="3" spans="1:11" ht="15.75" thickBot="1" x14ac:dyDescent="0.3">
      <c r="A3" s="7">
        <v>2</v>
      </c>
      <c r="B3" s="4">
        <v>0.26700000000000002</v>
      </c>
      <c r="C3" s="4">
        <v>1.7350000000000001</v>
      </c>
      <c r="D3" s="4">
        <f t="shared" ref="D3:D6" si="0">((I3*C3*C3*$B$10*$B$10)/(2 * $B$12)) * ($B$9 - ((2 * $B$12) / (C3*C3)))</f>
        <v>4.4769644525419102E-4</v>
      </c>
      <c r="E3" s="4">
        <f t="shared" ref="E3:E6" si="1">D3*B3</f>
        <v>1.1953495088286901E-4</v>
      </c>
      <c r="F3" s="4">
        <f t="shared" ref="F3:F6" si="2">B3*B3</f>
        <v>7.1289000000000005E-2</v>
      </c>
      <c r="G3" s="29">
        <f t="shared" ref="G3:G6" si="3">D3-$B$13*B3-$B$14</f>
        <v>-9.7522166739735198E-6</v>
      </c>
      <c r="H3" s="4">
        <f t="shared" ref="H3:H6" si="4">G3*G3</f>
        <v>9.5105730056127137E-11</v>
      </c>
      <c r="I3">
        <f t="shared" ref="I3:I6" si="5">B3+$B$11</f>
        <v>0.42590000000000006</v>
      </c>
      <c r="K3">
        <f t="shared" ref="K3:K6" si="6">B3*$B$13+$B$14</f>
        <v>4.5744866192816457E-4</v>
      </c>
    </row>
    <row r="4" spans="1:11" ht="15.75" thickBot="1" x14ac:dyDescent="0.3">
      <c r="A4" s="7">
        <v>3</v>
      </c>
      <c r="B4" s="4">
        <v>0.38700000000000001</v>
      </c>
      <c r="C4" s="4">
        <v>1.8380000000000001</v>
      </c>
      <c r="D4" s="4">
        <f t="shared" si="0"/>
        <v>6.4566150692696802E-4</v>
      </c>
      <c r="E4" s="4">
        <f t="shared" si="1"/>
        <v>2.4987100318073663E-4</v>
      </c>
      <c r="F4" s="4">
        <f t="shared" si="2"/>
        <v>0.14976900000000001</v>
      </c>
      <c r="G4" s="29">
        <f t="shared" si="3"/>
        <v>1.0026951168915361E-5</v>
      </c>
      <c r="H4" s="4">
        <f t="shared" si="4"/>
        <v>1.0053974974381312E-10</v>
      </c>
      <c r="I4">
        <f t="shared" si="5"/>
        <v>0.54590000000000005</v>
      </c>
      <c r="K4">
        <f t="shared" si="6"/>
        <v>6.3563455575805269E-4</v>
      </c>
    </row>
    <row r="5" spans="1:11" ht="15.75" thickBot="1" x14ac:dyDescent="0.3">
      <c r="A5" s="7">
        <v>4</v>
      </c>
      <c r="B5" s="4">
        <v>0.159</v>
      </c>
      <c r="C5" s="4">
        <v>1.625</v>
      </c>
      <c r="D5" s="4">
        <f t="shared" si="0"/>
        <v>2.9216366925564874E-4</v>
      </c>
      <c r="E5" s="4">
        <f t="shared" si="1"/>
        <v>4.6454023411648149E-5</v>
      </c>
      <c r="F5" s="4">
        <f t="shared" si="2"/>
        <v>2.5281000000000001E-2</v>
      </c>
      <c r="G5" s="29">
        <f t="shared" si="3"/>
        <v>-4.9176882256164235E-6</v>
      </c>
      <c r="H5" s="4">
        <f t="shared" si="4"/>
        <v>2.4183657484366408E-11</v>
      </c>
      <c r="I5">
        <f t="shared" si="5"/>
        <v>0.31790000000000002</v>
      </c>
      <c r="K5">
        <f t="shared" si="6"/>
        <v>2.9708135748126517E-4</v>
      </c>
    </row>
    <row r="6" spans="1:11" ht="15.75" thickBot="1" x14ac:dyDescent="0.3">
      <c r="A6" s="7">
        <v>5</v>
      </c>
      <c r="B6" s="4">
        <v>0</v>
      </c>
      <c r="C6" s="4">
        <v>1.1259999999999999</v>
      </c>
      <c r="D6" s="4">
        <f t="shared" si="0"/>
        <v>6.8052883370408159E-5</v>
      </c>
      <c r="E6" s="4">
        <f t="shared" si="1"/>
        <v>0</v>
      </c>
      <c r="F6" s="4">
        <f t="shared" si="2"/>
        <v>0</v>
      </c>
      <c r="G6" s="29">
        <f t="shared" si="3"/>
        <v>7.0678352137447961E-6</v>
      </c>
      <c r="H6" s="4">
        <f t="shared" si="4"/>
        <v>4.9954294608650949E-11</v>
      </c>
      <c r="I6">
        <f t="shared" si="5"/>
        <v>0.15890000000000001</v>
      </c>
      <c r="K6">
        <f t="shared" si="6"/>
        <v>6.0985048156663363E-5</v>
      </c>
    </row>
    <row r="7" spans="1:11" ht="15.75" thickBot="1" x14ac:dyDescent="0.3">
      <c r="A7" s="7" t="s">
        <v>1</v>
      </c>
      <c r="B7" s="4">
        <f>SUM(B2:B6)</f>
        <v>1.0169999999999999</v>
      </c>
      <c r="C7" s="5"/>
      <c r="D7" s="4">
        <f>SUM(D2:D6)</f>
        <v>1.8150506909916184E-3</v>
      </c>
      <c r="E7" s="4">
        <f>SUM(E2:E6)</f>
        <v>4.896011194568719E-4</v>
      </c>
      <c r="F7" s="4">
        <f>SUM(F2:F6)</f>
        <v>0.28795500000000002</v>
      </c>
      <c r="G7" s="5"/>
      <c r="H7" s="4">
        <f>SUM(H2:H6)</f>
        <v>2.7566348209989782E-10</v>
      </c>
      <c r="I7">
        <v>0.6</v>
      </c>
    </row>
    <row r="9" spans="1:11" x14ac:dyDescent="0.25">
      <c r="A9" t="s">
        <v>4</v>
      </c>
      <c r="B9">
        <v>9.81</v>
      </c>
    </row>
    <row r="10" spans="1:11" x14ac:dyDescent="0.25">
      <c r="A10" t="s">
        <v>14</v>
      </c>
      <c r="B10" s="14">
        <v>5.0000000000000001E-3</v>
      </c>
    </row>
    <row r="11" spans="1:11" x14ac:dyDescent="0.25">
      <c r="A11" t="s">
        <v>15</v>
      </c>
      <c r="B11" s="14">
        <v>0.15890000000000001</v>
      </c>
    </row>
    <row r="12" spans="1:11" x14ac:dyDescent="0.25">
      <c r="A12" t="s">
        <v>16</v>
      </c>
      <c r="B12" s="14">
        <v>0.34300000000000003</v>
      </c>
    </row>
    <row r="13" spans="1:11" x14ac:dyDescent="0.25">
      <c r="A13" t="s">
        <v>24</v>
      </c>
      <c r="B13">
        <f>(5*E7-B7*D7)/(5*F7-B7*B7)</f>
        <v>1.4848824485824013E-3</v>
      </c>
    </row>
    <row r="14" spans="1:11" x14ac:dyDescent="0.25">
      <c r="A14" t="s">
        <v>25</v>
      </c>
      <c r="B14">
        <f>(F7*D7-B7*E7)/(5*F7-B7*B7)</f>
        <v>6.0985048156663363E-5</v>
      </c>
    </row>
    <row r="15" spans="1:11" x14ac:dyDescent="0.25">
      <c r="A15" t="s">
        <v>7</v>
      </c>
      <c r="B15">
        <f>H7/3</f>
        <v>9.1887827366632605E-11</v>
      </c>
    </row>
    <row r="16" spans="1:11" x14ac:dyDescent="0.25">
      <c r="A16" t="s">
        <v>26</v>
      </c>
      <c r="B16">
        <f>wtfI/4</f>
        <v>1.8280011636124956E-11</v>
      </c>
    </row>
    <row r="17" spans="1:5" x14ac:dyDescent="0.25">
      <c r="A17" t="s">
        <v>33</v>
      </c>
      <c r="B17">
        <f>B15/B16</f>
        <v>5.0266831988795841</v>
      </c>
    </row>
    <row r="19" spans="1:5" x14ac:dyDescent="0.25">
      <c r="A19" s="18">
        <f t="shared" ref="A19:A24" si="7">$B$13*I2+$B$14</f>
        <v>5.9984888874721682E-4</v>
      </c>
    </row>
    <row r="20" spans="1:5" x14ac:dyDescent="0.25">
      <c r="A20" s="18">
        <f t="shared" si="7"/>
        <v>6.9339648300790818E-4</v>
      </c>
      <c r="C20">
        <v>0.15890000000000001</v>
      </c>
      <c r="D20">
        <f t="shared" ref="D20:D25" si="8">C20-0.1589</f>
        <v>0</v>
      </c>
      <c r="E20">
        <v>2.96932869236407E-4</v>
      </c>
    </row>
    <row r="21" spans="1:5" x14ac:dyDescent="0.25">
      <c r="A21" s="18">
        <f t="shared" si="7"/>
        <v>8.715823768377964E-4</v>
      </c>
      <c r="C21">
        <v>0.31790000000000002</v>
      </c>
      <c r="D21">
        <f t="shared" si="8"/>
        <v>0.159</v>
      </c>
      <c r="E21">
        <v>5.3302917856100905E-4</v>
      </c>
    </row>
    <row r="22" spans="1:5" x14ac:dyDescent="0.25">
      <c r="A22" s="18">
        <f t="shared" si="7"/>
        <v>5.3302917856100872E-4</v>
      </c>
      <c r="C22">
        <v>0.3629</v>
      </c>
      <c r="D22">
        <f t="shared" si="8"/>
        <v>0.20399999999999999</v>
      </c>
      <c r="E22">
        <v>5.9984888874721682E-4</v>
      </c>
    </row>
    <row r="23" spans="1:5" x14ac:dyDescent="0.25">
      <c r="A23" s="18">
        <f t="shared" si="7"/>
        <v>2.96932869236407E-4</v>
      </c>
      <c r="C23">
        <v>0.42590000000000006</v>
      </c>
      <c r="D23">
        <f t="shared" si="8"/>
        <v>0.26700000000000002</v>
      </c>
      <c r="E23">
        <v>6.9339648300790818E-4</v>
      </c>
    </row>
    <row r="24" spans="1:5" x14ac:dyDescent="0.25">
      <c r="A24" s="18">
        <f t="shared" si="7"/>
        <v>9.519145173061042E-4</v>
      </c>
      <c r="C24">
        <v>0.54590000000000005</v>
      </c>
      <c r="D24">
        <f t="shared" si="8"/>
        <v>0.38700000000000001</v>
      </c>
      <c r="E24">
        <v>8.715823768377964E-4</v>
      </c>
    </row>
    <row r="25" spans="1:5" x14ac:dyDescent="0.25">
      <c r="C25">
        <v>0.6</v>
      </c>
      <c r="D25">
        <f t="shared" si="8"/>
        <v>0.44109999999999994</v>
      </c>
      <c r="E25" s="18">
        <f>B13*C25+B14</f>
        <v>9.519145173061042E-4</v>
      </c>
    </row>
  </sheetData>
  <sortState xmlns:xlrd2="http://schemas.microsoft.com/office/spreadsheetml/2017/richdata2" ref="E20:E24">
    <sortCondition ref="E20:E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1</vt:lpstr>
      <vt:lpstr>2</vt:lpstr>
      <vt:lpstr>3</vt:lpstr>
      <vt:lpstr>g</vt:lpstr>
      <vt:lpstr>h</vt:lpstr>
      <vt:lpstr>m</vt:lpstr>
      <vt:lpstr>midI</vt:lpstr>
      <vt:lpstr>rad</vt:lpstr>
      <vt:lpstr>sumI</vt:lpstr>
      <vt:lpstr>wtfI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2015-06-05T18:19:34Z</dcterms:created>
  <dcterms:modified xsi:type="dcterms:W3CDTF">2022-10-28T21:51:08Z</dcterms:modified>
</cp:coreProperties>
</file>