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2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2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5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6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0.xml" ContentType="application/vnd.openxmlformats-officedocument.drawing+xml"/>
  <Override PartName="/xl/charts/chart27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8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9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we/Library/CloudStorage/Box-Box/ACT/05_SpaceDataCenter/ExternallyShared/WP12_Project_Management/05_Deliverables &amp; main Reports/All Deliverables/6_System Simulator/"/>
    </mc:Choice>
  </mc:AlternateContent>
  <xr:revisionPtr revIDLastSave="0" documentId="13_ncr:1_{637BDADA-06EB-5040-B56D-3DFF6E38C4DD}" xr6:coauthVersionLast="47" xr6:coauthVersionMax="47" xr10:uidLastSave="{00000000-0000-0000-0000-000000000000}"/>
  <bookViews>
    <workbookView xWindow="-8440" yWindow="-28300" windowWidth="50720" windowHeight="28300" xr2:uid="{98D41F65-1DA1-4D42-B618-15115A306E2E}"/>
  </bookViews>
  <sheets>
    <sheet name="SDC Summary" sheetId="11" r:id="rId1"/>
    <sheet name="Use-Case Definitions" sheetId="12" r:id="rId2"/>
    <sheet name="Technology_Roadmap" sheetId="7" r:id="rId3"/>
    <sheet name="SDC_Constellation" sheetId="4" r:id="rId4"/>
    <sheet name="SDC_Satellite" sheetId="3" r:id="rId5"/>
    <sheet name="SDC_Pod" sheetId="2" r:id="rId6"/>
    <sheet name="Thermal_and_Cooling" sheetId="9" r:id="rId7"/>
    <sheet name="Power_Distribution" sheetId="8" r:id="rId8"/>
    <sheet name="Compute_Storage_Network" sheetId="1" r:id="rId9"/>
    <sheet name="temp_data" sheetId="13" r:id="rId10"/>
    <sheet name="EdgeAI_vs_Download" sheetId="15" r:id="rId11"/>
    <sheet name="Paper_Example_Figure" sheetId="16" r:id="rId12"/>
    <sheet name="Workbook Variables" sheetId="14" r:id="rId13"/>
  </sheets>
  <functionGroups builtInGroupCount="19"/>
  <definedNames>
    <definedName name="Battery_Capacity_Effective">Power_Distribution!$G$11</definedName>
    <definedName name="Battery_Capacity_Reserve">'SDC Summary'!$H$93</definedName>
    <definedName name="Battery_Cost_Specific">Technology_Roadmap!$B$49</definedName>
    <definedName name="Battery_Cost_Specific_def">Technology_Roadmap!$C$49</definedName>
    <definedName name="Battery_Cost_Total">Power_Distribution!$G$25</definedName>
    <definedName name="Battery_Cycle_Efficiency">Technology_Roadmap!$B$45</definedName>
    <definedName name="Battery_Cycle_Efficiency_def">Technology_Roadmap!$C$45</definedName>
    <definedName name="Battery_Cycle_Number_of">Technology_Roadmap!$B$46</definedName>
    <definedName name="Battery_Cycle_Number_of_def">Technology_Roadmap!$C$46</definedName>
    <definedName name="Battery_Cycles_Required">'SDC Summary'!$H$95</definedName>
    <definedName name="Battery_Depth_of_Discharge">Technology_Roadmap!$B$47</definedName>
    <definedName name="Battery_Depth_of_Discharge_def">Technology_Roadmap!$C$47</definedName>
    <definedName name="Battery_Energy_Density">Technology_Roadmap!$B$48</definedName>
    <definedName name="Battery_Energy_Density_def">Technology_Roadmap!$C$48</definedName>
    <definedName name="Battery_Weight_Total">Power_Distribution!$G$26</definedName>
    <definedName name="Cables_Cost_Specific">Technology_Roadmap!$B$57</definedName>
    <definedName name="Cables_Cost_Specific_def">Technology_Roadmap!$C$57</definedName>
    <definedName name="Cables_Cost_Total">Power_Distribution!$G$37</definedName>
    <definedName name="Cables_Weight_Specific">Technology_Roadmap!$B$56</definedName>
    <definedName name="Cables_Weight_Specific_def">Technology_Roadmap!$C$56</definedName>
    <definedName name="Cables_Weight_Total">Power_Distribution!$G$36</definedName>
    <definedName name="CN_Cost">Compute_Storage_Network!$G$7</definedName>
    <definedName name="CN_Cost_All">SDC_Pod!$G$50</definedName>
    <definedName name="CN_Power">Compute_Storage_Network!$G$6</definedName>
    <definedName name="CN_Power_All">SDC_Pod!$G$49</definedName>
    <definedName name="CN_Weight">Compute_Storage_Network!$G$8</definedName>
    <definedName name="CN_Weight_All">SDC_Pod!$G$51</definedName>
    <definedName name="Col_ID_User_Scenarios">temp_data!$AG$1</definedName>
    <definedName name="CommEncryptLevel_Default">'Use-Case Definitions'!$Q$20</definedName>
    <definedName name="Compute_Cost_ASIC_GFLOPS">Technology_Roadmap!$B$117</definedName>
    <definedName name="Compute_Cost_ASIC_GFLOPS_def">Technology_Roadmap!$C$117</definedName>
    <definedName name="Compute_Cost_CPU_GFLOPS">Technology_Roadmap!$B$114</definedName>
    <definedName name="Compute_Cost_CPU_GFLOPS_def">Technology_Roadmap!$C$114</definedName>
    <definedName name="Compute_Cost_FPGA_GFLOPS">Technology_Roadmap!$B$116</definedName>
    <definedName name="Compute_Cost_FPGA_GFLOPS_def">Technology_Roadmap!$C$116</definedName>
    <definedName name="Compute_Cost_GBYTE">Technology_Roadmap!$B$9</definedName>
    <definedName name="Compute_Cost_GBYTE_def">Technology_Roadmap!$C$9</definedName>
    <definedName name="Compute_Cost_GFLOPS">Technology_Roadmap!$B$5</definedName>
    <definedName name="Compute_Cost_GFLOPS_def">Technology_Roadmap!$C$5</definedName>
    <definedName name="Compute_Cost_GPU_GFLOPS">Technology_Roadmap!$B$115</definedName>
    <definedName name="Compute_Cost_GPU_GFLOPS_def">Technology_Roadmap!$C$115</definedName>
    <definedName name="Compute_Cost_Q_GFLOPS">Technology_Roadmap!$B$118</definedName>
    <definedName name="Compute_Cost_Q_GFLOPS_def">Technology_Roadmap!$C$118</definedName>
    <definedName name="Compute_Intensity">'SDC Summary'!$H$24</definedName>
    <definedName name="Compute_Memory_Per_Module">Technology_Roadmap!$B$10</definedName>
    <definedName name="Compute_Memory_Per_Module_def">Technology_Roadmap!$C$10</definedName>
    <definedName name="Compute_Power_ASIC_GFLOPS">Technology_Roadmap!$B$111</definedName>
    <definedName name="Compute_Power_ASIC_GFLOPS_def">Technology_Roadmap!$C$111</definedName>
    <definedName name="Compute_Power_CPU_GFLOPS">Technology_Roadmap!$B$108</definedName>
    <definedName name="Compute_Power_CPU_GFLOPS_def">Technology_Roadmap!$C$108</definedName>
    <definedName name="Compute_Power_FPGA_GFLOPS">Technology_Roadmap!$B$110</definedName>
    <definedName name="Compute_Power_FPGA_GFLOPS_def">Technology_Roadmap!$C$110</definedName>
    <definedName name="Compute_Power_GFLOPS">Technology_Roadmap!$B$4</definedName>
    <definedName name="Compute_Power_GFLOPS_def">Technology_Roadmap!$C$4</definedName>
    <definedName name="Compute_Power_GPU_GFLOPS">Technology_Roadmap!$B$109</definedName>
    <definedName name="Compute_Power_GPU_GFLOPS_def">Technology_Roadmap!$C$109</definedName>
    <definedName name="Compute_Power_Q_GFLOPS">Technology_Roadmap!$B$112</definedName>
    <definedName name="Compute_Power_Q_GFLOPS_def">Technology_Roadmap!$C$112</definedName>
    <definedName name="Compute_SpecWeight_ASIC">Technology_Roadmap!$B$123</definedName>
    <definedName name="Compute_SpecWeight_ASIC_def">Technology_Roadmap!$C$123</definedName>
    <definedName name="Compute_SpecWeight_CPU">Technology_Roadmap!$B$120</definedName>
    <definedName name="Compute_SpecWeight_CPU_def">Technology_Roadmap!$C$120</definedName>
    <definedName name="Compute_SpecWeight_FPGA">Technology_Roadmap!$B$122</definedName>
    <definedName name="Compute_SpecWeight_FPGA_def">Technology_Roadmap!$C$122</definedName>
    <definedName name="Compute_SpecWeight_GPU">Technology_Roadmap!$B$121</definedName>
    <definedName name="Compute_SpecWeight_GPU_def">Technology_Roadmap!$C$121</definedName>
    <definedName name="Compute_SpecWeight_Q">Technology_Roadmap!$B$124</definedName>
    <definedName name="Compute_SpecWeight_Q_def">Technology_Roadmap!$C$124</definedName>
    <definedName name="Compute_Weight_GFLOPS">Technology_Roadmap!$B$6</definedName>
    <definedName name="Compute_Weight_GFLOPS_def">Technology_Roadmap!$C$6</definedName>
    <definedName name="ComputeIntensity_Default">'Use-Case Definitions'!$Q$18</definedName>
    <definedName name="Const_Deployment_Cost">SDC_Constellation!$G$13</definedName>
    <definedName name="Const_Inter_SDC_BW">SDC_Constellation!$G$19</definedName>
    <definedName name="Const_To_Client_BW">SDC_Constellation!$G$20</definedName>
    <definedName name="Const_Total_Compute">SDC_Constellation!$G$16</definedName>
    <definedName name="Const_Total_Memory">SDC_Constellation!$G$17</definedName>
    <definedName name="Const_Total_Storage">SDC_Constellation!$G$18</definedName>
    <definedName name="Constant_Boltzmann">'SDC Summary'!$AH$66</definedName>
    <definedName name="Constant_Cosmic_Background_Temperature">'SDC Summary'!$AH$65</definedName>
    <definedName name="Constant_Days_per_year">'SDC Summary'!$AH$61</definedName>
    <definedName name="Constant_Earth_Mass">'SDC Summary'!$AH$56</definedName>
    <definedName name="Constant_Earth_Radius">'SDC Summary'!$AH$57</definedName>
    <definedName name="Constant_Gravitational">'SDC Summary'!$AH$59</definedName>
    <definedName name="Constant_hours_per_day">'SDC Summary'!$AH$63</definedName>
    <definedName name="Constant_SolarRadiation_LEO">'SDC Summary'!$AH$67</definedName>
    <definedName name="Constant_Water_Freezing_Temperature">'SDC Summary'!$AH$64</definedName>
    <definedName name="CUSTOM_DATA_LOWER">'SDC Summary'!$W$122</definedName>
    <definedName name="CUSTOM_DATA_REF">'SDC Summary'!$V$122</definedName>
    <definedName name="CUSTOM_DATA_UPPER">'SDC Summary'!$X$122</definedName>
    <definedName name="Exp_ASIC_Cost">Technology_Roadmap!$F$117</definedName>
    <definedName name="Exp_ASIC_Performance">Technology_Roadmap!$F$111</definedName>
    <definedName name="Exp_ASIC_Weight">Technology_Roadmap!$F$123</definedName>
    <definedName name="Exp_Batt_Cost">Technology_Roadmap!$F$49</definedName>
    <definedName name="Exp_Batt_CycEff">Technology_Roadmap!$F$45</definedName>
    <definedName name="Exp_Batt_DoD">Technology_Roadmap!$F$47</definedName>
    <definedName name="Exp_Batt_NumbCyc">Technology_Roadmap!$F$46</definedName>
    <definedName name="Exp_Batt_Weight">Technology_Roadmap!$F$48</definedName>
    <definedName name="Exp_Blanket_Cond">Technology_Roadmap!$F$64</definedName>
    <definedName name="Exp_Blanket_Cost">Technology_Roadmap!$F$66</definedName>
    <definedName name="Exp_Cables_Cost">Technology_Roadmap!$F$57</definedName>
    <definedName name="Exp_Cables_Weight">Technology_Roadmap!$F$56</definedName>
    <definedName name="Exp_CPU_Cost">Technology_Roadmap!$F$114</definedName>
    <definedName name="Exp_CPU_Performance">Technology_Roadmap!$F$108</definedName>
    <definedName name="Exp_CPU_Weight">Technology_Roadmap!$F$120</definedName>
    <definedName name="Exp_FPGA_Cost">Technology_Roadmap!$F$116</definedName>
    <definedName name="Exp_FPGA_Performance">Technology_Roadmap!$F$110</definedName>
    <definedName name="Exp_FPGA_Weight">Technology_Roadmap!$F$122</definedName>
    <definedName name="Exp_GPU_Cost">Technology_Roadmap!$F$115</definedName>
    <definedName name="Exp_GPU_Performance">Technology_Roadmap!$F$109</definedName>
    <definedName name="Exp_GPU_Weight">Technology_Roadmap!$F$121</definedName>
    <definedName name="Exp_Launch_GEO_Cost">Technology_Roadmap!$F$71</definedName>
    <definedName name="Exp_Launch_LEO_Cost">Technology_Roadmap!$F$70</definedName>
    <definedName name="Exp_Memory_Cost">Technology_Roadmap!$F$9</definedName>
    <definedName name="Exp_Memory_per_Module">Technology_Roadmap!$F$10</definedName>
    <definedName name="Exp_NRE_Cost">Technology_Roadmap!$F$72</definedName>
    <definedName name="Exp_NS_Cost">Technology_Roadmap!$F$20</definedName>
    <definedName name="Exp_NS_Power">Technology_Roadmap!$F$19</definedName>
    <definedName name="Exp_NS_Weight">Technology_Roadmap!$F$21</definedName>
    <definedName name="Exp_OTGS_BW">Technology_Roadmap!$F$34</definedName>
    <definedName name="Exp_OTGS_Cost">Technology_Roadmap!$F$37</definedName>
    <definedName name="Exp_OTGS_Power">Technology_Roadmap!$F$35</definedName>
    <definedName name="Exp_OTGS_Range">Technology_Roadmap!$F$33</definedName>
    <definedName name="Exp_OTGS_Weight">Technology_Roadmap!$F$36</definedName>
    <definedName name="Exp_OTIO_BW">Technology_Roadmap!$F$26</definedName>
    <definedName name="Exp_OTIO_Cost">Technology_Roadmap!$F$30</definedName>
    <definedName name="Exp_OTIO_NumbConn">Technology_Roadmap!$F$27</definedName>
    <definedName name="Exp_OTIO_Power">Technology_Roadmap!$F$28</definedName>
    <definedName name="Exp_OTIO_Range">Technology_Roadmap!$F$25</definedName>
    <definedName name="Exp_OTIO_Weight">Technology_Roadmap!$F$29</definedName>
    <definedName name="Exp_PowerConv_Cost">Technology_Roadmap!$F$43</definedName>
    <definedName name="Exp_PowerConv_Eff">Technology_Roadmap!$F$41</definedName>
    <definedName name="Exp_PowerConv_Weight">Technology_Roadmap!$F$42</definedName>
    <definedName name="Exp_PV_Cost">Technology_Roadmap!$F$54</definedName>
    <definedName name="Exp_PV_Power">Technology_Roadmap!$F$52</definedName>
    <definedName name="Exp_PV_Weight">Technology_Roadmap!$F$53</definedName>
    <definedName name="Exp_Q_Cost">Technology_Roadmap!$F$118</definedName>
    <definedName name="Exp_Q_Performance">Technology_Roadmap!$F$112</definedName>
    <definedName name="Exp_Q_Weight">Technology_Roadmap!$F$124</definedName>
    <definedName name="Exp_Radiator_Cost">Technology_Roadmap!$F$63</definedName>
    <definedName name="Exp_Radiator_Weight">Technology_Roadmap!$F$62</definedName>
    <definedName name="Exp_Storage_Cost">Technology_Roadmap!$F$14</definedName>
    <definedName name="Exp_Storage_Per_Module">Technology_Roadmap!$F$13</definedName>
    <definedName name="Exp_Storage_Power">Technology_Roadmap!$F$16</definedName>
    <definedName name="Exp_Storage_Weight">Technology_Roadmap!$F$15</definedName>
    <definedName name="Frequency_of_DataObjects">'SDC Summary'!$H$22</definedName>
    <definedName name="GEO_Orbits_Altitude">'SDC Summary'!$H$71</definedName>
    <definedName name="GEO_SDCs_on_Orbit">'SDC Summary'!$H$69</definedName>
    <definedName name="GEONodeCount_Default">'Use-Case Definitions'!$Q$6</definedName>
    <definedName name="Launch_Cost_GEO_per_kg">Technology_Roadmap!$B$71</definedName>
    <definedName name="Launch_Cost_GEO_per_kg_def">Technology_Roadmap!$C$71</definedName>
    <definedName name="Launch_Cost_LEO_per_kg">Technology_Roadmap!$B$70</definedName>
    <definedName name="Launch_Cost_LEO_per_kg_def">Technology_Roadmap!$C$70</definedName>
    <definedName name="LEO_Orbits_Altitude">'SDC Summary'!$H$61</definedName>
    <definedName name="LEO_Orbits_Intra_Distance">'SDC Summary'!$H$64</definedName>
    <definedName name="LEO_Orbits_number_of">'SDC Summary'!$H$57</definedName>
    <definedName name="LEO_Orbits_Period">'SDC Summary'!$H$65</definedName>
    <definedName name="LEO_SDCs_Per_Orbit">'SDC Summary'!$H$59</definedName>
    <definedName name="LEO_SDCs_Total_Number">'SDC Summary'!$H$63</definedName>
    <definedName name="LEONodeCount_Default">'Use-Case Definitions'!$Q$5</definedName>
    <definedName name="LEOOrbit_Default">'Use-Case Definitions'!$Q$7</definedName>
    <definedName name="Lin_PV_Efficiency">Technology_Roadmap!$F$51</definedName>
    <definedName name="Lin_Radiator_Eff">Technology_Roadmap!$F$61</definedName>
    <definedName name="MaxClientsPerNode_Default">'Use-Case Definitions'!$Q$8</definedName>
    <definedName name="Network_Cost_Gbps_Port">Technology_Roadmap!$B$20</definedName>
    <definedName name="Network_Cost_Gbps_Port_def">Technology_Roadmap!$C$20</definedName>
    <definedName name="Network_Power_Gbps_Port">Technology_Roadmap!$B$19</definedName>
    <definedName name="Network_Power_Gbps_Port_def">Technology_Roadmap!$C$19</definedName>
    <definedName name="Network_Weight_Port">Technology_Roadmap!$B$21</definedName>
    <definedName name="Network_Weight_Port_def">Technology_Roadmap!$C$21</definedName>
    <definedName name="NetworkIntensity_Default">'Use-Case Definitions'!$Q$19</definedName>
    <definedName name="NS_Cost">Compute_Storage_Network!$G$17</definedName>
    <definedName name="NS_Cost_All">SDC_Pod!$G$63</definedName>
    <definedName name="NS_Internode_BW">'SDC Summary'!$H$41</definedName>
    <definedName name="NS_Ports_Number_of">SDC_Pod!$G$19</definedName>
    <definedName name="NS_Power">Compute_Storage_Network!$G$16</definedName>
    <definedName name="NS_Power_All">SDC_Pod!$G$62</definedName>
    <definedName name="NS_Weight">Compute_Storage_Network!$G$18</definedName>
    <definedName name="NS_Weight_ALL">SDC_Pod!$G$64</definedName>
    <definedName name="Optical_Terminal_Weight_All">SDC_Pod!$G$70</definedName>
    <definedName name="Optical_Terminals_Cost_All">SDC_Pod!$G$69</definedName>
    <definedName name="Optical_Terminals_Number_of_Total">SDC_Pod!$G$67</definedName>
    <definedName name="Optical_Terminals_Power_Total">SDC_Pod!$G$68</definedName>
    <definedName name="OptTerminalInterSDCBandwidth_Default">'Use-Case Definitions'!$Q$9</definedName>
    <definedName name="OTGS_Cost_Specific">Technology_Roadmap!$B$37</definedName>
    <definedName name="OTGS_Cost_Specific_def">Technology_Roadmap!$C$37</definedName>
    <definedName name="OTGS_DataRate_Max">Technology_Roadmap!$B$34</definedName>
    <definedName name="OTGS_DataRate_Max_def">Technology_Roadmap!$C$34</definedName>
    <definedName name="OTGS_DataRate_Nom">'SDC Summary'!$H$77</definedName>
    <definedName name="OTGS_Distance_Max">Technology_Roadmap!$B$33</definedName>
    <definedName name="OTGS_Distance_Max_def">Technology_Roadmap!$C$33</definedName>
    <definedName name="OTGS_Link_Distance">'SDC Summary'!$H$79</definedName>
    <definedName name="OTGS_Numb_Terminals">'SDC Summary'!$H$75</definedName>
    <definedName name="OTGS_Power_Efficiency">Technology_Roadmap!$B$35</definedName>
    <definedName name="OTGS_Power_Efficiency_def">Technology_Roadmap!$C$35</definedName>
    <definedName name="OTGS_SDC_Cost">Compute_Storage_Network!$G$28</definedName>
    <definedName name="OTGS_SDC_Power">Compute_Storage_Network!$G$27</definedName>
    <definedName name="OTGS_SDC_Weight">Compute_Storage_Network!$G$29</definedName>
    <definedName name="OTGS_Weight_Specific">Technology_Roadmap!$B$36</definedName>
    <definedName name="OTGS_Weight_Specific_def">Technology_Roadmap!$C$36</definedName>
    <definedName name="OTIO_Cost_Specific">Technology_Roadmap!$B$30</definedName>
    <definedName name="OTIO_Cost_Specific_def">Technology_Roadmap!$C$30</definedName>
    <definedName name="OTIO_DataRate_Max">Technology_Roadmap!$B$26</definedName>
    <definedName name="OTIO_DataRate_Max_def">Technology_Roadmap!$C$26</definedName>
    <definedName name="OTIO_DataRate_Nominal">'SDC Summary'!$H$117</definedName>
    <definedName name="OTIO_Max_Connection">Technology_Roadmap!$B$27</definedName>
    <definedName name="OTIO_Max_Connection_def">Technology_Roadmap!$C$27</definedName>
    <definedName name="OTIO_Network_Buffer_Memory">'SDC Summary'!$H$37</definedName>
    <definedName name="OTIO_Number_Terminals">'SDC Summary'!$H$119</definedName>
    <definedName name="OTIO_Power_Efficiency">Technology_Roadmap!$B$28</definedName>
    <definedName name="OTIO_Power_Efficiency_def">Technology_Roadmap!$C$28</definedName>
    <definedName name="OTIO_Range_Max">Technology_Roadmap!$B$25</definedName>
    <definedName name="OTIO_Range_Max_def">Technology_Roadmap!$C$25</definedName>
    <definedName name="OTIO_SDC_Cost">Compute_Storage_Network!$G$23</definedName>
    <definedName name="OTIO_SDC_Power">Compute_Storage_Network!$G$22</definedName>
    <definedName name="OTIO_SDC_Weight">Compute_Storage_Network!$G$24</definedName>
    <definedName name="OTIO_Weight_Specific">Technology_Roadmap!$B$29</definedName>
    <definedName name="OTIO_Weight_Specific_def">Technology_Roadmap!$C$29</definedName>
    <definedName name="PerClientRecurrency_Default">'Use-Case Definitions'!$Q$17</definedName>
    <definedName name="Power_Conversion_Cost_Specific">Technology_Roadmap!$B$43</definedName>
    <definedName name="Power_Conversion_Cost_Specific_def">Technology_Roadmap!$C$43</definedName>
    <definedName name="Power_Conversion_Cost_Total">Power_Distribution!$G$21</definedName>
    <definedName name="Power_Conversion_Efficiency">Technology_Roadmap!$B$41</definedName>
    <definedName name="Power_Conversion_Efficiency_def">Technology_Roadmap!$C$41</definedName>
    <definedName name="Power_Conversion_Output_Max">Power_Distribution!$G$8</definedName>
    <definedName name="Power_Conversion_Weight">Technology_Roadmap!$B$42</definedName>
    <definedName name="Power_Conversion_Weight_def">Technology_Roadmap!$C$42</definedName>
    <definedName name="Power_Conversion_Weight_Total">Power_Distribution!$G$22</definedName>
    <definedName name="Power_Cost_Total">Power_Distribution!$L$12</definedName>
    <definedName name="Power_Total_Dissipated_shade">Power_Distribution!$L$10</definedName>
    <definedName name="Power_Total_Dissipated_sun">Power_Distribution!$L$9</definedName>
    <definedName name="Power_Total_PV_Capacity">'SDC Summary'!$H$89</definedName>
    <definedName name="Power_Total_PV_Draw">Power_Distribution!$G$7</definedName>
    <definedName name="Power_Total_Usable">Power_Distribution!$G$9</definedName>
    <definedName name="Power_Weight_Total">Power_Distribution!$L$11</definedName>
    <definedName name="PV_Area_Total">Power_Distribution!$G$33</definedName>
    <definedName name="PV_Capacity_Reserve">'SDC Summary'!$H$97</definedName>
    <definedName name="PV_Cost_Specific">Technology_Roadmap!$B$54</definedName>
    <definedName name="PV_Cost_Specific_def">Technology_Roadmap!$C$54</definedName>
    <definedName name="PV_Cost_Total">Power_Distribution!$G$31</definedName>
    <definedName name="PV_Density">Technology_Roadmap!$B$52</definedName>
    <definedName name="PV_Density_def">Technology_Roadmap!$C$52</definedName>
    <definedName name="PV_Efficiency">Technology_Roadmap!$B$51</definedName>
    <definedName name="PV_Efficiency_def">Technology_Roadmap!$C$51</definedName>
    <definedName name="PV_Weight_Specific">Technology_Roadmap!$B$53</definedName>
    <definedName name="PV_Weight_Specific_def">Technology_Roadmap!$C$53</definedName>
    <definedName name="PV_Weight_Total">Power_Distribution!$G$32</definedName>
    <definedName name="Row_ID_ASIC_Cost">Technology_Roadmap!$A$117</definedName>
    <definedName name="Row_ID_ASIC_Performance">Technology_Roadmap!$A$111</definedName>
    <definedName name="Row_ID_ASIC_Weight">Technology_Roadmap!$A$123</definedName>
    <definedName name="Row_ID_Cost_Per_Compute">Technology_Roadmap!$A$5</definedName>
    <definedName name="Row_ID_CPU_Cost">Technology_Roadmap!$A$114</definedName>
    <definedName name="Row_ID_CPU_Performance">Technology_Roadmap!$A$108</definedName>
    <definedName name="Row_ID_CPU_Weight">Technology_Roadmap!$A$120</definedName>
    <definedName name="Row_ID_FPGA_Cost">Technology_Roadmap!$A$116</definedName>
    <definedName name="Row_ID_FPGA_Performance">Technology_Roadmap!$A$110</definedName>
    <definedName name="Row_ID_FPGA_Weight">Technology_Roadmap!$A$122</definedName>
    <definedName name="Row_ID_GPU_Cost">Technology_Roadmap!$A$115</definedName>
    <definedName name="Row_ID_GPU_Performance">Technology_Roadmap!$A$109</definedName>
    <definedName name="Row_ID_GPU_Weight">Technology_Roadmap!$A$121</definedName>
    <definedName name="Row_ID_Interactive_Plot_Data">temp_data!$A$120</definedName>
    <definedName name="Row_ID_Power_Per_Compute">Technology_Roadmap!$A$4</definedName>
    <definedName name="Row_ID_Q_Cost">Technology_Roadmap!$A$118</definedName>
    <definedName name="Row_ID_Q_Performance">Technology_Roadmap!$A$112</definedName>
    <definedName name="Row_ID_Q_Weight">Technology_Roadmap!$A$124</definedName>
    <definedName name="Row_ID_SDC_Comp_per_SDC_Weight">temp_data!$A$63</definedName>
    <definedName name="Row_ID_SDC_Cost_per_Compute">temp_data!$A$79</definedName>
    <definedName name="Row_ID_SDC_Cost_per_GFLOP">temp_data!$A$103</definedName>
    <definedName name="Row_ID_SDC_Cost_per_Power">temp_data!$A$95</definedName>
    <definedName name="Row_ID_SDC_Cost_per_Weight">temp_data!$A$71</definedName>
    <definedName name="Row_ID_SDC_Payload_Weight_Ratio">temp_data!$A$36</definedName>
    <definedName name="Row_ID_SDC_Pod_Compute">temp_data!$A$44</definedName>
    <definedName name="Row_ID_SDC_Pod_Cost">temp_data!$A$3</definedName>
    <definedName name="Row_ID_SDC_Pod_Memory">temp_data!$A$52</definedName>
    <definedName name="Row_ID_SDC_Pod_Power">temp_data!$A$11</definedName>
    <definedName name="Row_ID_SDC_Pod_Storage">temp_data!$A$60</definedName>
    <definedName name="Row_ID_SDC_Pod_Weight">temp_data!$A$19</definedName>
    <definedName name="Row_ID_SDC_Power_per_Compute">temp_data!$A$87</definedName>
    <definedName name="Row_ID_SDC_Satellite_Weight">temp_data!$A$27</definedName>
    <definedName name="Row_ID_SDC_YEAR">temp_data!$A$1</definedName>
    <definedName name="Row_ID_Weight_Per_Compute">Technology_Roadmap!$A$6</definedName>
    <definedName name="Satellite_Power_Overhead_Fraction">'SDC Summary'!$H$91</definedName>
    <definedName name="SDC_Compute_per_Node">'SDC Summary'!$H$106</definedName>
    <definedName name="SDC_Compute_Type_of">'SDC Summary'!$H$125</definedName>
    <definedName name="SDC_Cost_BOM">SDC_Satellite!$L$33</definedName>
    <definedName name="SDC_Cost_Launch">SDC_Satellite!$L$34</definedName>
    <definedName name="SDC_Design_NRE">Technology_Roadmap!$B$72</definedName>
    <definedName name="SDC_Design_NRE_def">Technology_Roadmap!$C$72</definedName>
    <definedName name="SDC_Memory_per_Node">'SDC Summary'!$H$108</definedName>
    <definedName name="SDC_NetworkSwitches_Number_of">'SDC Summary'!$H$39</definedName>
    <definedName name="SDC_Pod_Compute_Power_Limit">SDC_Pod!$G$43</definedName>
    <definedName name="SDC_Pod_Compute_Req">SDC_Pod!$L$48</definedName>
    <definedName name="SDC_Pod_Cost">SDC_Pod!$L$71</definedName>
    <definedName name="SDC_Pod_Memory">SDC_Pod!$L$50</definedName>
    <definedName name="SDC_Pod_Memory_P_Limit">SDC_Pod!$G$44</definedName>
    <definedName name="SDC_Pod_Network_I_BW">SDC_Pod!$L$61</definedName>
    <definedName name="SDC_Pod_Network_II_BW">SDC_Pod!$L$62</definedName>
    <definedName name="SDC_Pod_Number_Nodes_P_Limit">SDC_Pod!$G$42</definedName>
    <definedName name="SDC_Pod_Number_Nodes_Required">SDC_Pod!$G$11</definedName>
    <definedName name="SDC_Pod_Power">SDC_Pod!$L$68</definedName>
    <definedName name="SDC_Pod_Power_CompStore">SDC_Pod!$G$40</definedName>
    <definedName name="SDC_Pod_Power_limit">SDC_Pod!$G$39</definedName>
    <definedName name="SDC_Pod_Power_Spare">SDC_Pod!$L$69</definedName>
    <definedName name="SDC_Pod_Storage">SDC_Pod!$L$54</definedName>
    <definedName name="SDC_Pod_Weight">SDC_Pod!$L$70</definedName>
    <definedName name="SDC_Power">SDC_Satellite!$L$30</definedName>
    <definedName name="SDC_Storage_Capacity">SDC_Pod!$G$16</definedName>
    <definedName name="SDC_Storage_numb_hours">'SDC Summary'!$H$28</definedName>
    <definedName name="SDC_Storage_numb_hours_def">'SDC Summary'!$I$28</definedName>
    <definedName name="SDC_Storage_per_Node">'SDC Summary'!$H$110</definedName>
    <definedName name="SDC_Volume">SDC_Satellite!$L$32</definedName>
    <definedName name="SDC_Weight">SDC_Satellite!$L$31</definedName>
    <definedName name="SDCs_Numb_Clients">'SDC Summary'!$H$73</definedName>
    <definedName name="Select_Trace_Comp_per_Weight">'SDC Summary'!$P$101</definedName>
    <definedName name="Select_Trace_Cost_Compute">'SDC Summary'!$P$103</definedName>
    <definedName name="Select_Trace_Cost_per_Power">'SDC Summary'!$P$105</definedName>
    <definedName name="Select_Trace_Cost_Sat">'SDC Summary'!$P$102</definedName>
    <definedName name="Select_Trace_Custom">'SDC Summary'!$P$106</definedName>
    <definedName name="Select_Trace_Pod_Compute">'SDC Summary'!$P$99</definedName>
    <definedName name="Select_Trace_Pod_Cost">'SDC Summary'!$P$94</definedName>
    <definedName name="Select_Trace_Pod_Memory">'SDC Summary'!$P$100</definedName>
    <definedName name="Select_Trace_Pod_Power">'SDC Summary'!$P$95</definedName>
    <definedName name="Select_Trace_Pod_Weight">'SDC Summary'!$P$96</definedName>
    <definedName name="Select_Trace_Power_Compute">'SDC Summary'!$P$104</definedName>
    <definedName name="Select_Trace_Sat_Weight">'SDC Summary'!$P$97</definedName>
    <definedName name="Select_Trace_Weight_Ratio">'SDC Summary'!$P$98</definedName>
    <definedName name="Single_Object_Size">'SDC Summary'!$H$20</definedName>
    <definedName name="SingleObjectSize_Default">'Use-Case Definitions'!$Q$16</definedName>
    <definedName name="SN_Cost">Compute_Storage_Network!$G$12</definedName>
    <definedName name="SN_Cost_All">SDC_Pod!$G$56</definedName>
    <definedName name="SN_Number_of">SDC_Pod!$G$15</definedName>
    <definedName name="SN_Power">Compute_Storage_Network!$G$11</definedName>
    <definedName name="SN_Power_All">SDC_Pod!$G$55</definedName>
    <definedName name="SN_Weight">Compute_Storage_Network!$G$13</definedName>
    <definedName name="SN_Weight_All">SDC_Pod!$G$57</definedName>
    <definedName name="Storage_Capacity_perModule">Technology_Roadmap!$B$13</definedName>
    <definedName name="Storage_Capacity_perModule_def">Technology_Roadmap!$C$13</definedName>
    <definedName name="Storage_Cost_Specific">Technology_Roadmap!$B$14</definedName>
    <definedName name="Storage_Cost_Specific_def">Technology_Roadmap!$C$14</definedName>
    <definedName name="Storage_Power_Specific">Technology_Roadmap!$B$16</definedName>
    <definedName name="Storage_Power_Specific_def">Technology_Roadmap!$C$16</definedName>
    <definedName name="Storage_Weight_Specific">Technology_Roadmap!$B$15</definedName>
    <definedName name="Storage_Weight_Specific_def">Technology_Roadmap!$C$15</definedName>
    <definedName name="Structural_Mass_Fraction">'SDC Summary'!$H$132</definedName>
    <definedName name="System_Lifetime">'SDC Summary'!$H$134</definedName>
    <definedName name="Thermal_Blanket_Cost_Specific">Technology_Roadmap!$B$66</definedName>
    <definedName name="Thermal_Blanket_Cost_Specific_def">Technology_Roadmap!$C$66</definedName>
    <definedName name="Thermal_Blanket_Specific_Size_Required">'SDC Summary'!$H$136</definedName>
    <definedName name="Thermal_Blanket_T_Conductivity">Technology_Roadmap!$B$64</definedName>
    <definedName name="Thermal_Blanket_T_Conductivity_def">Technology_Roadmap!$C$64</definedName>
    <definedName name="Thermal_Blanket_Weight_Specific">Technology_Roadmap!$B$65</definedName>
    <definedName name="Thermal_Blanket_Weight_Specific_def">Technology_Roadmap!$C$65</definedName>
    <definedName name="Thermal_Cost_Total">Thermal_and_Cooling!$L$11</definedName>
    <definedName name="Thermal_Power_Total">Thermal_and_Cooling!$L$9</definedName>
    <definedName name="Thermal_Radiator_Cost_Specific">Technology_Roadmap!$B$63</definedName>
    <definedName name="Thermal_Radiator_Cost_Specific_def">Technology_Roadmap!$C$63</definedName>
    <definedName name="Thermal_Radiator_Efficiency">Technology_Roadmap!$B$61</definedName>
    <definedName name="Thermal_Radiator_Efficiency_def">Technology_Roadmap!$C$61</definedName>
    <definedName name="Thermal_Radiator_Weight_Specific">Technology_Roadmap!$B$62</definedName>
    <definedName name="Thermal_Radiator_Weight_Specific_def">Technology_Roadmap!$C$62</definedName>
    <definedName name="Thermal_Temperature_max">'SDC Summary'!$H$101</definedName>
    <definedName name="Thermal_Temperature_min">'SDC Summary'!$H$99</definedName>
    <definedName name="Thermal_Weight_Total">Thermal_and_Cooling!$L$10</definedName>
    <definedName name="Timeline_Year_def">Technology_Roadmap!$C$3</definedName>
    <definedName name="Timeline_Year_this">'SDC Summary'!$H$18</definedName>
    <definedName name="ToplevelArchitecture">'SDC Summary'!$H$55</definedName>
    <definedName name="ToplevelArchitecture_Default">'Use-Case Definitions'!$Q$4</definedName>
    <definedName name="UI_Comm_Encrypt_Level">'SDC Summary'!$H$47</definedName>
    <definedName name="UI_Network_Intensity">'SDC Summary'!$H$35</definedName>
    <definedName name="UI_PV_Type">'SDC Summary'!$H$129</definedName>
    <definedName name="UI_Workload_Memory_total">'SDC Summary'!$H$112</definedName>
    <definedName name="USECASE">'SDC Summary'!$K$8</definedName>
    <definedName name="USR_Cost_per_GOPs">temp_data!$AG$79</definedName>
    <definedName name="USR_Cost_per_kg">temp_data!$AG$71</definedName>
    <definedName name="USR_Cost_per_kW">temp_data!$AG$95</definedName>
    <definedName name="USR_GFLOPs_per_kg">temp_data!$AG$63</definedName>
    <definedName name="USR_Independent_lower">'SDC Summary'!$R$119</definedName>
    <definedName name="USR_Independent_variable">temp_data!$A$121</definedName>
    <definedName name="USR_Independet_upper">'SDC Summary'!$T$119</definedName>
    <definedName name="USR_PayloadRatio">temp_data!$AG$36</definedName>
    <definedName name="USR_Pod_Compute">temp_data!$AG$44</definedName>
    <definedName name="USR_Pod_Cost">temp_data!$AG$3</definedName>
    <definedName name="USR_Pod_Memory">temp_data!$AG$52</definedName>
    <definedName name="USR_Pod_Power">temp_data!$AG$11</definedName>
    <definedName name="USR_Pod_Storage">temp_data!$AG$60</definedName>
    <definedName name="USR_Pod_Weight">temp_data!$AG$19</definedName>
    <definedName name="USR_SDC_Weight">temp_data!$AG$27</definedName>
    <definedName name="USR_Sensitivity_Comp_Type">'SDC Summary'!$P$122</definedName>
    <definedName name="USR_Sensitivity_independent">'SDC Summary'!$P$116</definedName>
    <definedName name="USR_Total_Cost_Satellite">'SDC Summary'!$AH$24</definedName>
    <definedName name="USR_Watt_per_TOPs">temp_data!$AG$87</definedName>
    <definedName name="Workload_Bandwidth_InterSDC">'SDC Summary'!$H$45</definedName>
    <definedName name="Workload_Bandwidth_IntraPod">'SDC Summary'!$H$43</definedName>
    <definedName name="Workload_Compute_all_clients">'SDC Summary'!$H$26</definedName>
    <definedName name="Workload_Compute_total">'SDC Summary'!$H$25</definedName>
    <definedName name="Workload_Memory_total">'SDC Summary'!$H$33</definedName>
    <definedName name="Workload_Storage_total">'SDC Summary'!$H$30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26" i="11" l="1"/>
  <c r="D13" i="15"/>
  <c r="E13" i="15"/>
  <c r="F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Y13" i="15"/>
  <c r="Z13" i="15"/>
  <c r="AA13" i="15"/>
  <c r="AB13" i="15"/>
  <c r="AC13" i="15"/>
  <c r="AD13" i="15"/>
  <c r="AE13" i="15"/>
  <c r="AF13" i="15"/>
  <c r="AG13" i="15"/>
  <c r="AH13" i="15"/>
  <c r="AI13" i="15"/>
  <c r="AJ13" i="15"/>
  <c r="AK13" i="15"/>
  <c r="AL13" i="15"/>
  <c r="AM13" i="15"/>
  <c r="AN13" i="15"/>
  <c r="AO13" i="15"/>
  <c r="AP13" i="15"/>
  <c r="AQ13" i="15"/>
  <c r="AR13" i="15"/>
  <c r="AS13" i="15"/>
  <c r="AT13" i="15"/>
  <c r="AU13" i="15"/>
  <c r="AV13" i="15"/>
  <c r="AW13" i="15"/>
  <c r="AX13" i="15"/>
  <c r="AY13" i="15"/>
  <c r="AZ13" i="15"/>
  <c r="BA13" i="15"/>
  <c r="BB13" i="15"/>
  <c r="BC13" i="15"/>
  <c r="BD13" i="15"/>
  <c r="BE13" i="15"/>
  <c r="BF13" i="15"/>
  <c r="BG13" i="15"/>
  <c r="BH13" i="15"/>
  <c r="BI13" i="15"/>
  <c r="BJ13" i="15"/>
  <c r="BK13" i="15"/>
  <c r="BL13" i="15"/>
  <c r="BM13" i="15"/>
  <c r="BN13" i="15"/>
  <c r="BO13" i="15"/>
  <c r="BP13" i="15"/>
  <c r="BQ13" i="15"/>
  <c r="BR13" i="15"/>
  <c r="BS13" i="15"/>
  <c r="BT13" i="15"/>
  <c r="BU13" i="15"/>
  <c r="BV13" i="15"/>
  <c r="BW13" i="15"/>
  <c r="BX13" i="15"/>
  <c r="BY13" i="15"/>
  <c r="BZ13" i="15"/>
  <c r="CA13" i="15"/>
  <c r="CB13" i="15"/>
  <c r="CC13" i="15"/>
  <c r="CD13" i="15"/>
  <c r="CE13" i="15"/>
  <c r="CF13" i="15"/>
  <c r="CG13" i="15"/>
  <c r="CH13" i="15"/>
  <c r="CI13" i="15"/>
  <c r="CJ13" i="15"/>
  <c r="CK13" i="15"/>
  <c r="CL13" i="15"/>
  <c r="CM13" i="15"/>
  <c r="CN13" i="15"/>
  <c r="CO13" i="15"/>
  <c r="CP13" i="15"/>
  <c r="CQ13" i="15"/>
  <c r="CR13" i="15"/>
  <c r="C13" i="15"/>
  <c r="H25" i="11"/>
  <c r="B104" i="13"/>
  <c r="B20" i="15"/>
  <c r="D11" i="15"/>
  <c r="BQ8" i="15"/>
  <c r="BR8" i="15" s="1"/>
  <c r="BS8" i="15" s="1"/>
  <c r="BT8" i="15" s="1"/>
  <c r="BU8" i="15" s="1"/>
  <c r="BV8" i="15" s="1"/>
  <c r="BW8" i="15" s="1"/>
  <c r="BX8" i="15" s="1"/>
  <c r="BY8" i="15" s="1"/>
  <c r="BZ8" i="15" s="1"/>
  <c r="CA8" i="15" s="1"/>
  <c r="CB8" i="15" s="1"/>
  <c r="CC8" i="15" s="1"/>
  <c r="CD8" i="15" s="1"/>
  <c r="CE8" i="15" s="1"/>
  <c r="CF8" i="15" s="1"/>
  <c r="CG8" i="15" s="1"/>
  <c r="CH8" i="15" s="1"/>
  <c r="CI8" i="15" s="1"/>
  <c r="CJ8" i="15" s="1"/>
  <c r="CK8" i="15" s="1"/>
  <c r="CL8" i="15" s="1"/>
  <c r="CM8" i="15" s="1"/>
  <c r="CN8" i="15" s="1"/>
  <c r="CO8" i="15" s="1"/>
  <c r="CP8" i="15" s="1"/>
  <c r="CQ8" i="15" s="1"/>
  <c r="CR8" i="15" s="1"/>
  <c r="B3" i="14"/>
  <c r="AH16" i="11"/>
  <c r="H64" i="11"/>
  <c r="B22" i="1" s="1"/>
  <c r="C104" i="13"/>
  <c r="D104" i="13"/>
  <c r="E104" i="13"/>
  <c r="F104" i="13"/>
  <c r="G104" i="13"/>
  <c r="H104" i="13"/>
  <c r="I104" i="13"/>
  <c r="J104" i="13"/>
  <c r="K104" i="13"/>
  <c r="L104" i="13"/>
  <c r="M104" i="13"/>
  <c r="N104" i="13"/>
  <c r="O104" i="13"/>
  <c r="P104" i="13"/>
  <c r="Q104" i="13"/>
  <c r="R104" i="13"/>
  <c r="S104" i="13"/>
  <c r="T104" i="13"/>
  <c r="U104" i="13"/>
  <c r="V104" i="13"/>
  <c r="W104" i="13"/>
  <c r="X104" i="13"/>
  <c r="Y104" i="13"/>
  <c r="Z104" i="13"/>
  <c r="AA104" i="13"/>
  <c r="AB104" i="13"/>
  <c r="AC104" i="13"/>
  <c r="C105" i="13"/>
  <c r="D105" i="13"/>
  <c r="E105" i="13"/>
  <c r="F105" i="13"/>
  <c r="G105" i="13"/>
  <c r="H105" i="13"/>
  <c r="I105" i="13"/>
  <c r="J105" i="13"/>
  <c r="K105" i="13"/>
  <c r="L105" i="13"/>
  <c r="M105" i="13"/>
  <c r="N105" i="13"/>
  <c r="O105" i="13"/>
  <c r="P105" i="13"/>
  <c r="Q105" i="13"/>
  <c r="R105" i="13"/>
  <c r="S105" i="13"/>
  <c r="T105" i="13"/>
  <c r="U105" i="13"/>
  <c r="V105" i="13"/>
  <c r="W105" i="13"/>
  <c r="X105" i="13"/>
  <c r="Y105" i="13"/>
  <c r="Z105" i="13"/>
  <c r="AA105" i="13"/>
  <c r="AB105" i="13"/>
  <c r="AC105" i="13"/>
  <c r="C106" i="13"/>
  <c r="D106" i="13"/>
  <c r="E106" i="13"/>
  <c r="F106" i="13"/>
  <c r="G106" i="13"/>
  <c r="H106" i="13"/>
  <c r="I106" i="13"/>
  <c r="J106" i="13"/>
  <c r="K106" i="13"/>
  <c r="L106" i="13"/>
  <c r="M106" i="13"/>
  <c r="N106" i="13"/>
  <c r="O106" i="13"/>
  <c r="P106" i="13"/>
  <c r="Q106" i="13"/>
  <c r="R106" i="13"/>
  <c r="S106" i="13"/>
  <c r="T106" i="13"/>
  <c r="U106" i="13"/>
  <c r="V106" i="13"/>
  <c r="W106" i="13"/>
  <c r="X106" i="13"/>
  <c r="Y106" i="13"/>
  <c r="Z106" i="13"/>
  <c r="AA106" i="13"/>
  <c r="AB106" i="13"/>
  <c r="AC106" i="13"/>
  <c r="C107" i="13"/>
  <c r="D107" i="13"/>
  <c r="E107" i="13"/>
  <c r="F107" i="13"/>
  <c r="G107" i="13"/>
  <c r="H107" i="13"/>
  <c r="I107" i="13"/>
  <c r="J107" i="13"/>
  <c r="K107" i="13"/>
  <c r="L107" i="13"/>
  <c r="M107" i="13"/>
  <c r="N107" i="13"/>
  <c r="O107" i="13"/>
  <c r="P107" i="13"/>
  <c r="Q107" i="13"/>
  <c r="R107" i="13"/>
  <c r="S107" i="13"/>
  <c r="T107" i="13"/>
  <c r="U107" i="13"/>
  <c r="V107" i="13"/>
  <c r="W107" i="13"/>
  <c r="X107" i="13"/>
  <c r="Y107" i="13"/>
  <c r="Z107" i="13"/>
  <c r="AA107" i="13"/>
  <c r="AB107" i="13"/>
  <c r="AC107" i="13"/>
  <c r="C108" i="13"/>
  <c r="D108" i="13"/>
  <c r="E108" i="13"/>
  <c r="F108" i="13"/>
  <c r="G108" i="13"/>
  <c r="H108" i="13"/>
  <c r="I108" i="13"/>
  <c r="J108" i="13"/>
  <c r="K108" i="13"/>
  <c r="L108" i="13"/>
  <c r="M108" i="13"/>
  <c r="N108" i="13"/>
  <c r="O108" i="13"/>
  <c r="P108" i="13"/>
  <c r="Q108" i="13"/>
  <c r="R108" i="13"/>
  <c r="S108" i="13"/>
  <c r="T108" i="13"/>
  <c r="U108" i="13"/>
  <c r="V108" i="13"/>
  <c r="W108" i="13"/>
  <c r="X108" i="13"/>
  <c r="Y108" i="13"/>
  <c r="Z108" i="13"/>
  <c r="AA108" i="13"/>
  <c r="AB108" i="13"/>
  <c r="AC108" i="13"/>
  <c r="B105" i="13"/>
  <c r="B106" i="13"/>
  <c r="B107" i="13"/>
  <c r="B108" i="13"/>
  <c r="C81" i="7"/>
  <c r="H81" i="7" s="1"/>
  <c r="I81" i="7" s="1"/>
  <c r="J81" i="7" s="1"/>
  <c r="K81" i="7" s="1"/>
  <c r="L81" i="7" s="1"/>
  <c r="M81" i="7" s="1"/>
  <c r="N81" i="7" s="1"/>
  <c r="O81" i="7" s="1"/>
  <c r="P81" i="7" s="1"/>
  <c r="Q81" i="7" s="1"/>
  <c r="R81" i="7" s="1"/>
  <c r="S81" i="7" s="1"/>
  <c r="T81" i="7" s="1"/>
  <c r="U81" i="7" s="1"/>
  <c r="V81" i="7" s="1"/>
  <c r="W81" i="7" s="1"/>
  <c r="X81" i="7" s="1"/>
  <c r="Y81" i="7" s="1"/>
  <c r="Z81" i="7" s="1"/>
  <c r="AA81" i="7" s="1"/>
  <c r="AB81" i="7" s="1"/>
  <c r="AC81" i="7" s="1"/>
  <c r="AD81" i="7" s="1"/>
  <c r="AE81" i="7" s="1"/>
  <c r="AF81" i="7" s="1"/>
  <c r="AG81" i="7" s="1"/>
  <c r="AH81" i="7" s="1"/>
  <c r="AI81" i="7" s="1"/>
  <c r="I77" i="7"/>
  <c r="J77" i="7" s="1"/>
  <c r="K77" i="7" s="1"/>
  <c r="L77" i="7" s="1"/>
  <c r="M77" i="7" s="1"/>
  <c r="N77" i="7" s="1"/>
  <c r="O77" i="7" s="1"/>
  <c r="P77" i="7" s="1"/>
  <c r="Q77" i="7" s="1"/>
  <c r="R77" i="7" s="1"/>
  <c r="S77" i="7" s="1"/>
  <c r="T77" i="7" s="1"/>
  <c r="U77" i="7" s="1"/>
  <c r="V77" i="7" s="1"/>
  <c r="W77" i="7" s="1"/>
  <c r="X77" i="7" s="1"/>
  <c r="Y77" i="7" s="1"/>
  <c r="Z77" i="7" s="1"/>
  <c r="AA77" i="7" s="1"/>
  <c r="AB77" i="7" s="1"/>
  <c r="AC77" i="7" s="1"/>
  <c r="AD77" i="7" s="1"/>
  <c r="AE77" i="7" s="1"/>
  <c r="AF77" i="7" s="1"/>
  <c r="AG77" i="7" s="1"/>
  <c r="AH77" i="7" s="1"/>
  <c r="AI77" i="7" s="1"/>
  <c r="H76" i="7"/>
  <c r="I76" i="7" s="1"/>
  <c r="J76" i="7" s="1"/>
  <c r="K76" i="7" s="1"/>
  <c r="L76" i="7" s="1"/>
  <c r="M76" i="7" s="1"/>
  <c r="N76" i="7" s="1"/>
  <c r="O76" i="7" s="1"/>
  <c r="P76" i="7" s="1"/>
  <c r="Q76" i="7" s="1"/>
  <c r="R76" i="7" s="1"/>
  <c r="S76" i="7" s="1"/>
  <c r="T76" i="7" s="1"/>
  <c r="U76" i="7" s="1"/>
  <c r="V76" i="7" s="1"/>
  <c r="W76" i="7" s="1"/>
  <c r="X76" i="7" s="1"/>
  <c r="Y76" i="7" s="1"/>
  <c r="Z76" i="7" s="1"/>
  <c r="AA76" i="7" s="1"/>
  <c r="AB76" i="7" s="1"/>
  <c r="AC76" i="7" s="1"/>
  <c r="AD76" i="7" s="1"/>
  <c r="AE76" i="7" s="1"/>
  <c r="AF76" i="7" s="1"/>
  <c r="AG76" i="7" s="1"/>
  <c r="AH76" i="7" s="1"/>
  <c r="AI76" i="7" s="1"/>
  <c r="G28" i="1"/>
  <c r="G6" i="1"/>
  <c r="I71" i="11"/>
  <c r="Y122" i="11"/>
  <c r="I119" i="11"/>
  <c r="I64" i="11"/>
  <c r="I63" i="11"/>
  <c r="H30" i="11"/>
  <c r="H31" i="11" s="1"/>
  <c r="I24" i="11"/>
  <c r="I22" i="11"/>
  <c r="I20" i="11"/>
  <c r="I18" i="11"/>
  <c r="H63" i="11"/>
  <c r="G8" i="9"/>
  <c r="G7" i="9"/>
  <c r="H119" i="11"/>
  <c r="AH56" i="11"/>
  <c r="AH57" i="11"/>
  <c r="AH59" i="11"/>
  <c r="AH66" i="11"/>
  <c r="AH14" i="11"/>
  <c r="AH18" i="11"/>
  <c r="AH20" i="11"/>
  <c r="B11" i="1"/>
  <c r="O124" i="7"/>
  <c r="P124" i="7" s="1"/>
  <c r="Q124" i="7" s="1"/>
  <c r="R124" i="7" s="1"/>
  <c r="S124" i="7" s="1"/>
  <c r="T124" i="7" s="1"/>
  <c r="U124" i="7" s="1"/>
  <c r="V124" i="7" s="1"/>
  <c r="W124" i="7" s="1"/>
  <c r="X124" i="7" s="1"/>
  <c r="Y124" i="7" s="1"/>
  <c r="Z124" i="7" s="1"/>
  <c r="AA124" i="7" s="1"/>
  <c r="AB124" i="7" s="1"/>
  <c r="AC124" i="7" s="1"/>
  <c r="AD124" i="7" s="1"/>
  <c r="AE124" i="7" s="1"/>
  <c r="AF124" i="7" s="1"/>
  <c r="AG124" i="7" s="1"/>
  <c r="AH124" i="7" s="1"/>
  <c r="AI124" i="7" s="1"/>
  <c r="E11" i="15" l="1"/>
  <c r="F11" i="15"/>
  <c r="G22" i="1"/>
  <c r="G23" i="1"/>
  <c r="G24" i="1"/>
  <c r="I30" i="11"/>
  <c r="I31" i="11" s="1"/>
  <c r="I65" i="11"/>
  <c r="I95" i="11" s="1"/>
  <c r="I25" i="11"/>
  <c r="I26" i="11" s="1"/>
  <c r="H26" i="11"/>
  <c r="H65" i="11"/>
  <c r="I105" i="7"/>
  <c r="J105" i="7"/>
  <c r="K105" i="7"/>
  <c r="L105" i="7"/>
  <c r="M105" i="7"/>
  <c r="N105" i="7"/>
  <c r="O105" i="7"/>
  <c r="P105" i="7"/>
  <c r="Q105" i="7"/>
  <c r="R105" i="7"/>
  <c r="S105" i="7"/>
  <c r="T105" i="7"/>
  <c r="U105" i="7"/>
  <c r="V105" i="7"/>
  <c r="W105" i="7"/>
  <c r="X105" i="7"/>
  <c r="Y105" i="7"/>
  <c r="Z105" i="7"/>
  <c r="AA105" i="7"/>
  <c r="AB105" i="7"/>
  <c r="AC105" i="7"/>
  <c r="AD105" i="7"/>
  <c r="AE105" i="7"/>
  <c r="AF105" i="7"/>
  <c r="AG105" i="7"/>
  <c r="AH105" i="7"/>
  <c r="AI105" i="7"/>
  <c r="H105" i="7"/>
  <c r="AF79" i="13"/>
  <c r="AH30" i="11"/>
  <c r="AH32" i="11"/>
  <c r="H51" i="7"/>
  <c r="J61" i="7"/>
  <c r="K61" i="7"/>
  <c r="L61" i="7"/>
  <c r="M61" i="7"/>
  <c r="N61" i="7"/>
  <c r="O61" i="7"/>
  <c r="P61" i="7"/>
  <c r="Q61" i="7"/>
  <c r="R61" i="7"/>
  <c r="S61" i="7"/>
  <c r="T61" i="7"/>
  <c r="U61" i="7"/>
  <c r="V61" i="7"/>
  <c r="W61" i="7"/>
  <c r="X61" i="7"/>
  <c r="Y61" i="7"/>
  <c r="Z61" i="7"/>
  <c r="AA61" i="7"/>
  <c r="AB61" i="7"/>
  <c r="AC61" i="7"/>
  <c r="AD61" i="7"/>
  <c r="AE61" i="7"/>
  <c r="AF61" i="7"/>
  <c r="AG61" i="7"/>
  <c r="AH61" i="7"/>
  <c r="AI61" i="7"/>
  <c r="I61" i="7"/>
  <c r="C52" i="7"/>
  <c r="J51" i="7"/>
  <c r="J52" i="7" s="1"/>
  <c r="K51" i="7"/>
  <c r="K52" i="7" s="1"/>
  <c r="L51" i="7"/>
  <c r="L52" i="7" s="1"/>
  <c r="M51" i="7"/>
  <c r="M52" i="7" s="1"/>
  <c r="N51" i="7"/>
  <c r="N52" i="7" s="1"/>
  <c r="O51" i="7"/>
  <c r="O52" i="7" s="1"/>
  <c r="P51" i="7"/>
  <c r="P52" i="7" s="1"/>
  <c r="Q51" i="7"/>
  <c r="Q52" i="7" s="1"/>
  <c r="R51" i="7"/>
  <c r="R52" i="7" s="1"/>
  <c r="S51" i="7"/>
  <c r="S52" i="7" s="1"/>
  <c r="T51" i="7"/>
  <c r="T52" i="7" s="1"/>
  <c r="U51" i="7"/>
  <c r="U52" i="7" s="1"/>
  <c r="V51" i="7"/>
  <c r="V52" i="7" s="1"/>
  <c r="W51" i="7"/>
  <c r="W52" i="7" s="1"/>
  <c r="X51" i="7"/>
  <c r="X52" i="7" s="1"/>
  <c r="Y51" i="7"/>
  <c r="Y52" i="7" s="1"/>
  <c r="Z51" i="7"/>
  <c r="Z52" i="7" s="1"/>
  <c r="AA51" i="7"/>
  <c r="AA52" i="7" s="1"/>
  <c r="AB51" i="7"/>
  <c r="AB52" i="7" s="1"/>
  <c r="AC51" i="7"/>
  <c r="AC52" i="7" s="1"/>
  <c r="AD51" i="7"/>
  <c r="AD52" i="7" s="1"/>
  <c r="AE51" i="7"/>
  <c r="AE52" i="7" s="1"/>
  <c r="AF51" i="7"/>
  <c r="AF52" i="7" s="1"/>
  <c r="AG51" i="7"/>
  <c r="AG52" i="7" s="1"/>
  <c r="AH51" i="7"/>
  <c r="AH52" i="7" s="1"/>
  <c r="AI51" i="7"/>
  <c r="AI52" i="7" s="1"/>
  <c r="I51" i="7"/>
  <c r="I52" i="7" s="1"/>
  <c r="G29" i="1"/>
  <c r="G27" i="1"/>
  <c r="Q30" i="2" s="1"/>
  <c r="G13" i="1"/>
  <c r="G12" i="1"/>
  <c r="G11" i="1"/>
  <c r="G8" i="1"/>
  <c r="G7" i="1"/>
  <c r="Q9" i="2"/>
  <c r="G33" i="8"/>
  <c r="G32" i="8" s="1"/>
  <c r="G30" i="8"/>
  <c r="B26" i="1"/>
  <c r="B25" i="1"/>
  <c r="B23" i="1"/>
  <c r="L31" i="2"/>
  <c r="L30" i="2"/>
  <c r="L26" i="2"/>
  <c r="L20" i="2"/>
  <c r="L14" i="2"/>
  <c r="L10" i="2"/>
  <c r="B17" i="1"/>
  <c r="B7" i="1"/>
  <c r="B6" i="1"/>
  <c r="B8" i="9"/>
  <c r="L9" i="2"/>
  <c r="B47" i="2"/>
  <c r="B9" i="2"/>
  <c r="G6" i="8"/>
  <c r="B23" i="8"/>
  <c r="G7" i="8"/>
  <c r="G8" i="8" s="1"/>
  <c r="L10" i="8" s="1"/>
  <c r="AI194" i="7"/>
  <c r="AH194" i="7"/>
  <c r="AG194" i="7"/>
  <c r="AF194" i="7"/>
  <c r="AE194" i="7"/>
  <c r="AD194" i="7"/>
  <c r="AC194" i="7"/>
  <c r="AB194" i="7"/>
  <c r="AA194" i="7"/>
  <c r="Z194" i="7"/>
  <c r="Y194" i="7"/>
  <c r="X194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AI193" i="7"/>
  <c r="AH193" i="7"/>
  <c r="AG193" i="7"/>
  <c r="AF193" i="7"/>
  <c r="AE193" i="7"/>
  <c r="AD193" i="7"/>
  <c r="AC193" i="7"/>
  <c r="AB193" i="7"/>
  <c r="AA193" i="7"/>
  <c r="Z193" i="7"/>
  <c r="Y193" i="7"/>
  <c r="X193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AI192" i="7"/>
  <c r="AH192" i="7"/>
  <c r="AG192" i="7"/>
  <c r="AF192" i="7"/>
  <c r="AE192" i="7"/>
  <c r="AD192" i="7"/>
  <c r="AC192" i="7"/>
  <c r="AB192" i="7"/>
  <c r="AA192" i="7"/>
  <c r="Z192" i="7"/>
  <c r="Y192" i="7"/>
  <c r="X192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AI191" i="7"/>
  <c r="AH191" i="7"/>
  <c r="AG191" i="7"/>
  <c r="AF191" i="7"/>
  <c r="AE191" i="7"/>
  <c r="AD191" i="7"/>
  <c r="AC191" i="7"/>
  <c r="AB191" i="7"/>
  <c r="AA191" i="7"/>
  <c r="Z191" i="7"/>
  <c r="Y191" i="7"/>
  <c r="X191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AI190" i="7"/>
  <c r="AH190" i="7"/>
  <c r="AG190" i="7"/>
  <c r="AF190" i="7"/>
  <c r="AE190" i="7"/>
  <c r="AD190" i="7"/>
  <c r="AC190" i="7"/>
  <c r="AB190" i="7"/>
  <c r="AA190" i="7"/>
  <c r="Z190" i="7"/>
  <c r="Y190" i="7"/>
  <c r="X190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AI189" i="7"/>
  <c r="AH189" i="7"/>
  <c r="AG189" i="7"/>
  <c r="AF189" i="7"/>
  <c r="AE189" i="7"/>
  <c r="AD189" i="7"/>
  <c r="AC189" i="7"/>
  <c r="AB189" i="7"/>
  <c r="AA189" i="7"/>
  <c r="Z189" i="7"/>
  <c r="Y189" i="7"/>
  <c r="X189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I188" i="7"/>
  <c r="J188" i="7" s="1"/>
  <c r="K188" i="7" s="1"/>
  <c r="L188" i="7" s="1"/>
  <c r="M188" i="7" s="1"/>
  <c r="N188" i="7" s="1"/>
  <c r="O188" i="7" s="1"/>
  <c r="P188" i="7" s="1"/>
  <c r="Q188" i="7" s="1"/>
  <c r="R188" i="7" s="1"/>
  <c r="S188" i="7" s="1"/>
  <c r="T188" i="7" s="1"/>
  <c r="U188" i="7" s="1"/>
  <c r="V188" i="7" s="1"/>
  <c r="W188" i="7" s="1"/>
  <c r="X188" i="7" s="1"/>
  <c r="Y188" i="7" s="1"/>
  <c r="Z188" i="7" s="1"/>
  <c r="AA188" i="7" s="1"/>
  <c r="AB188" i="7" s="1"/>
  <c r="AC188" i="7" s="1"/>
  <c r="AD188" i="7" s="1"/>
  <c r="AE188" i="7" s="1"/>
  <c r="AF188" i="7" s="1"/>
  <c r="AG188" i="7" s="1"/>
  <c r="AH188" i="7" s="1"/>
  <c r="AI188" i="7" s="1"/>
  <c r="I187" i="7"/>
  <c r="J187" i="7" s="1"/>
  <c r="K187" i="7" s="1"/>
  <c r="L187" i="7" s="1"/>
  <c r="M187" i="7" s="1"/>
  <c r="N187" i="7" s="1"/>
  <c r="O187" i="7" s="1"/>
  <c r="P187" i="7" s="1"/>
  <c r="Q187" i="7" s="1"/>
  <c r="R187" i="7" s="1"/>
  <c r="S187" i="7" s="1"/>
  <c r="T187" i="7" s="1"/>
  <c r="U187" i="7" s="1"/>
  <c r="V187" i="7" s="1"/>
  <c r="W187" i="7" s="1"/>
  <c r="X187" i="7" s="1"/>
  <c r="Y187" i="7" s="1"/>
  <c r="Z187" i="7" s="1"/>
  <c r="AA187" i="7" s="1"/>
  <c r="AB187" i="7" s="1"/>
  <c r="AC187" i="7" s="1"/>
  <c r="AD187" i="7" s="1"/>
  <c r="AE187" i="7" s="1"/>
  <c r="AF187" i="7" s="1"/>
  <c r="AG187" i="7" s="1"/>
  <c r="AH187" i="7" s="1"/>
  <c r="AI187" i="7" s="1"/>
  <c r="AI186" i="7"/>
  <c r="AH186" i="7"/>
  <c r="AG186" i="7"/>
  <c r="AF186" i="7"/>
  <c r="AE186" i="7"/>
  <c r="AD186" i="7"/>
  <c r="AC186" i="7"/>
  <c r="AB186" i="7"/>
  <c r="AA186" i="7"/>
  <c r="Z186" i="7"/>
  <c r="Y186" i="7"/>
  <c r="X186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AI184" i="7"/>
  <c r="AH184" i="7"/>
  <c r="AG184" i="7"/>
  <c r="AF184" i="7"/>
  <c r="AE184" i="7"/>
  <c r="AD184" i="7"/>
  <c r="AC184" i="7"/>
  <c r="AB184" i="7"/>
  <c r="AA184" i="7"/>
  <c r="Z184" i="7"/>
  <c r="Y184" i="7"/>
  <c r="X184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AI183" i="7"/>
  <c r="AH183" i="7"/>
  <c r="AG183" i="7"/>
  <c r="AF183" i="7"/>
  <c r="AE183" i="7"/>
  <c r="AD183" i="7"/>
  <c r="AC183" i="7"/>
  <c r="AB183" i="7"/>
  <c r="AA183" i="7"/>
  <c r="Z183" i="7"/>
  <c r="Y183" i="7"/>
  <c r="X183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AI182" i="7"/>
  <c r="AH182" i="7"/>
  <c r="AG182" i="7"/>
  <c r="AF182" i="7"/>
  <c r="AE182" i="7"/>
  <c r="AD182" i="7"/>
  <c r="AC182" i="7"/>
  <c r="AB182" i="7"/>
  <c r="AA182" i="7"/>
  <c r="Z182" i="7"/>
  <c r="Y182" i="7"/>
  <c r="X182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AI181" i="7"/>
  <c r="AH181" i="7"/>
  <c r="AG181" i="7"/>
  <c r="AF181" i="7"/>
  <c r="AE181" i="7"/>
  <c r="AD181" i="7"/>
  <c r="AC181" i="7"/>
  <c r="AB181" i="7"/>
  <c r="AA181" i="7"/>
  <c r="Z181" i="7"/>
  <c r="Y181" i="7"/>
  <c r="X181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AI180" i="7"/>
  <c r="AH180" i="7"/>
  <c r="AG180" i="7"/>
  <c r="AF180" i="7"/>
  <c r="AE180" i="7"/>
  <c r="AD180" i="7"/>
  <c r="AC180" i="7"/>
  <c r="AB180" i="7"/>
  <c r="AA180" i="7"/>
  <c r="Z180" i="7"/>
  <c r="Y180" i="7"/>
  <c r="X180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AI179" i="7"/>
  <c r="AH179" i="7"/>
  <c r="AG179" i="7"/>
  <c r="AF179" i="7"/>
  <c r="AE179" i="7"/>
  <c r="AD179" i="7"/>
  <c r="AC179" i="7"/>
  <c r="AB179" i="7"/>
  <c r="AA179" i="7"/>
  <c r="Z179" i="7"/>
  <c r="Y179" i="7"/>
  <c r="X179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AI178" i="7"/>
  <c r="AH178" i="7"/>
  <c r="AG178" i="7"/>
  <c r="AF178" i="7"/>
  <c r="AE178" i="7"/>
  <c r="AD178" i="7"/>
  <c r="AC178" i="7"/>
  <c r="AB178" i="7"/>
  <c r="AA178" i="7"/>
  <c r="Z178" i="7"/>
  <c r="Y178" i="7"/>
  <c r="X178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AI177" i="7"/>
  <c r="AH177" i="7"/>
  <c r="AG177" i="7"/>
  <c r="AF177" i="7"/>
  <c r="AE177" i="7"/>
  <c r="AD177" i="7"/>
  <c r="AC177" i="7"/>
  <c r="AB177" i="7"/>
  <c r="AA177" i="7"/>
  <c r="Z177" i="7"/>
  <c r="Y177" i="7"/>
  <c r="X177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AI176" i="7"/>
  <c r="AH176" i="7"/>
  <c r="AG176" i="7"/>
  <c r="AF176" i="7"/>
  <c r="AE176" i="7"/>
  <c r="AD176" i="7"/>
  <c r="AC176" i="7"/>
  <c r="AB176" i="7"/>
  <c r="AA176" i="7"/>
  <c r="Z176" i="7"/>
  <c r="Y176" i="7"/>
  <c r="X176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AI164" i="7"/>
  <c r="AH164" i="7"/>
  <c r="AG164" i="7"/>
  <c r="AF164" i="7"/>
  <c r="AE164" i="7"/>
  <c r="AD164" i="7"/>
  <c r="AC164" i="7"/>
  <c r="AB164" i="7"/>
  <c r="AA164" i="7"/>
  <c r="Z164" i="7"/>
  <c r="Y164" i="7"/>
  <c r="X164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AI163" i="7"/>
  <c r="AH163" i="7"/>
  <c r="AG163" i="7"/>
  <c r="AF163" i="7"/>
  <c r="AE163" i="7"/>
  <c r="AD163" i="7"/>
  <c r="AC163" i="7"/>
  <c r="AB163" i="7"/>
  <c r="AA163" i="7"/>
  <c r="Z163" i="7"/>
  <c r="Y163" i="7"/>
  <c r="X163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AI162" i="7"/>
  <c r="AH162" i="7"/>
  <c r="AG162" i="7"/>
  <c r="AF162" i="7"/>
  <c r="AE162" i="7"/>
  <c r="AD162" i="7"/>
  <c r="AC162" i="7"/>
  <c r="AB162" i="7"/>
  <c r="AA162" i="7"/>
  <c r="Z162" i="7"/>
  <c r="Y162" i="7"/>
  <c r="X162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68" i="2" l="1"/>
  <c r="G11" i="15"/>
  <c r="H95" i="11"/>
  <c r="G21" i="8"/>
  <c r="AF52" i="13"/>
  <c r="AF60" i="13"/>
  <c r="AF27" i="13"/>
  <c r="AF36" i="13"/>
  <c r="AF3" i="13"/>
  <c r="AF63" i="13"/>
  <c r="AF87" i="13"/>
  <c r="AF95" i="13"/>
  <c r="AF44" i="13"/>
  <c r="AF11" i="13"/>
  <c r="AF71" i="13"/>
  <c r="AF19" i="13"/>
  <c r="H165" i="7"/>
  <c r="P165" i="7"/>
  <c r="G22" i="8"/>
  <c r="G10" i="8"/>
  <c r="G36" i="8"/>
  <c r="G37" i="8"/>
  <c r="L165" i="7"/>
  <c r="T165" i="7"/>
  <c r="AB165" i="7"/>
  <c r="W185" i="7"/>
  <c r="Q185" i="7"/>
  <c r="K165" i="7"/>
  <c r="S165" i="7"/>
  <c r="AA165" i="7"/>
  <c r="AI165" i="7"/>
  <c r="AG185" i="7"/>
  <c r="Y185" i="7"/>
  <c r="M165" i="7"/>
  <c r="U165" i="7"/>
  <c r="AC165" i="7"/>
  <c r="I185" i="7"/>
  <c r="N165" i="7"/>
  <c r="V165" i="7"/>
  <c r="AD165" i="7"/>
  <c r="N185" i="7"/>
  <c r="V185" i="7"/>
  <c r="AD185" i="7"/>
  <c r="O185" i="7"/>
  <c r="AE185" i="7"/>
  <c r="X165" i="7"/>
  <c r="AF165" i="7"/>
  <c r="H185" i="7"/>
  <c r="P185" i="7"/>
  <c r="X185" i="7"/>
  <c r="AF185" i="7"/>
  <c r="O165" i="7"/>
  <c r="W165" i="7"/>
  <c r="AE165" i="7"/>
  <c r="I165" i="7"/>
  <c r="Y165" i="7"/>
  <c r="Q165" i="7"/>
  <c r="AG165" i="7"/>
  <c r="J165" i="7"/>
  <c r="R165" i="7"/>
  <c r="Z165" i="7"/>
  <c r="AH165" i="7"/>
  <c r="J185" i="7"/>
  <c r="R185" i="7"/>
  <c r="Z185" i="7"/>
  <c r="AH185" i="7"/>
  <c r="K185" i="7"/>
  <c r="S185" i="7"/>
  <c r="AA185" i="7"/>
  <c r="AI185" i="7"/>
  <c r="L185" i="7"/>
  <c r="T185" i="7"/>
  <c r="AB185" i="7"/>
  <c r="M185" i="7"/>
  <c r="U185" i="7"/>
  <c r="AC185" i="7"/>
  <c r="G20" i="8"/>
  <c r="G31" i="8"/>
  <c r="G41" i="2"/>
  <c r="G9" i="8"/>
  <c r="L9" i="8"/>
  <c r="B36" i="1"/>
  <c r="B35" i="1"/>
  <c r="H72" i="7"/>
  <c r="I72" i="7" s="1"/>
  <c r="J72" i="7" s="1"/>
  <c r="K72" i="7" s="1"/>
  <c r="L72" i="7" s="1"/>
  <c r="M72" i="7" s="1"/>
  <c r="N72" i="7" s="1"/>
  <c r="O72" i="7" s="1"/>
  <c r="P72" i="7" s="1"/>
  <c r="Q72" i="7" s="1"/>
  <c r="R72" i="7" s="1"/>
  <c r="S72" i="7" s="1"/>
  <c r="T72" i="7" s="1"/>
  <c r="U72" i="7" s="1"/>
  <c r="V72" i="7" s="1"/>
  <c r="W72" i="7" s="1"/>
  <c r="X72" i="7" s="1"/>
  <c r="Y72" i="7" s="1"/>
  <c r="Z72" i="7" s="1"/>
  <c r="AA72" i="7" s="1"/>
  <c r="AB72" i="7" s="1"/>
  <c r="AC72" i="7" s="1"/>
  <c r="AD72" i="7" s="1"/>
  <c r="AE72" i="7" s="1"/>
  <c r="AF72" i="7" s="1"/>
  <c r="AG72" i="7" s="1"/>
  <c r="AH72" i="7" s="1"/>
  <c r="AI72" i="7" s="1"/>
  <c r="H71" i="7"/>
  <c r="I71" i="7" s="1"/>
  <c r="J71" i="7" s="1"/>
  <c r="K71" i="7" s="1"/>
  <c r="L71" i="7" s="1"/>
  <c r="M71" i="7" s="1"/>
  <c r="N71" i="7" s="1"/>
  <c r="O71" i="7" s="1"/>
  <c r="P71" i="7" s="1"/>
  <c r="Q71" i="7" s="1"/>
  <c r="R71" i="7" s="1"/>
  <c r="S71" i="7" s="1"/>
  <c r="T71" i="7" s="1"/>
  <c r="U71" i="7" s="1"/>
  <c r="V71" i="7" s="1"/>
  <c r="W71" i="7" s="1"/>
  <c r="X71" i="7" s="1"/>
  <c r="Y71" i="7" s="1"/>
  <c r="Z71" i="7" s="1"/>
  <c r="AA71" i="7" s="1"/>
  <c r="AB71" i="7" s="1"/>
  <c r="AC71" i="7" s="1"/>
  <c r="AD71" i="7" s="1"/>
  <c r="AE71" i="7" s="1"/>
  <c r="AF71" i="7" s="1"/>
  <c r="AG71" i="7" s="1"/>
  <c r="AH71" i="7" s="1"/>
  <c r="AI71" i="7" s="1"/>
  <c r="H70" i="7"/>
  <c r="I70" i="7" s="1"/>
  <c r="J70" i="7" s="1"/>
  <c r="K70" i="7" s="1"/>
  <c r="L70" i="7" s="1"/>
  <c r="M70" i="7" s="1"/>
  <c r="N70" i="7" s="1"/>
  <c r="O70" i="7" s="1"/>
  <c r="P70" i="7" s="1"/>
  <c r="Q70" i="7" s="1"/>
  <c r="R70" i="7" s="1"/>
  <c r="S70" i="7" s="1"/>
  <c r="T70" i="7" s="1"/>
  <c r="U70" i="7" s="1"/>
  <c r="V70" i="7" s="1"/>
  <c r="W70" i="7" s="1"/>
  <c r="X70" i="7" s="1"/>
  <c r="Y70" i="7" s="1"/>
  <c r="Z70" i="7" s="1"/>
  <c r="AA70" i="7" s="1"/>
  <c r="AB70" i="7" s="1"/>
  <c r="AC70" i="7" s="1"/>
  <c r="AD70" i="7" s="1"/>
  <c r="AE70" i="7" s="1"/>
  <c r="AF70" i="7" s="1"/>
  <c r="AG70" i="7" s="1"/>
  <c r="AH70" i="7" s="1"/>
  <c r="AI70" i="7" s="1"/>
  <c r="H11" i="15" l="1"/>
  <c r="G39" i="2"/>
  <c r="L8" i="8"/>
  <c r="H115" i="7"/>
  <c r="I115" i="7" s="1"/>
  <c r="J115" i="7" s="1"/>
  <c r="K115" i="7" s="1"/>
  <c r="L115" i="7" s="1"/>
  <c r="M115" i="7" s="1"/>
  <c r="N115" i="7" s="1"/>
  <c r="O115" i="7" s="1"/>
  <c r="P115" i="7" s="1"/>
  <c r="Q115" i="7" s="1"/>
  <c r="R115" i="7" s="1"/>
  <c r="S115" i="7" s="1"/>
  <c r="T115" i="7" s="1"/>
  <c r="U115" i="7" s="1"/>
  <c r="V115" i="7" s="1"/>
  <c r="W115" i="7" s="1"/>
  <c r="X115" i="7" s="1"/>
  <c r="Y115" i="7" s="1"/>
  <c r="Z115" i="7" s="1"/>
  <c r="AA115" i="7" s="1"/>
  <c r="AB115" i="7" s="1"/>
  <c r="AC115" i="7" s="1"/>
  <c r="AD115" i="7" s="1"/>
  <c r="AE115" i="7" s="1"/>
  <c r="AF115" i="7" s="1"/>
  <c r="AG115" i="7" s="1"/>
  <c r="AH115" i="7" s="1"/>
  <c r="AI115" i="7" s="1"/>
  <c r="H110" i="7"/>
  <c r="I110" i="7" s="1"/>
  <c r="J110" i="7" s="1"/>
  <c r="K110" i="7" s="1"/>
  <c r="L110" i="7" s="1"/>
  <c r="M110" i="7" s="1"/>
  <c r="N110" i="7" s="1"/>
  <c r="O110" i="7" s="1"/>
  <c r="P110" i="7" s="1"/>
  <c r="Q110" i="7" s="1"/>
  <c r="R110" i="7" s="1"/>
  <c r="S110" i="7" s="1"/>
  <c r="T110" i="7" s="1"/>
  <c r="U110" i="7" s="1"/>
  <c r="V110" i="7" s="1"/>
  <c r="W110" i="7" s="1"/>
  <c r="X110" i="7" s="1"/>
  <c r="Y110" i="7" s="1"/>
  <c r="Z110" i="7" s="1"/>
  <c r="AA110" i="7" s="1"/>
  <c r="AB110" i="7" s="1"/>
  <c r="AC110" i="7" s="1"/>
  <c r="AD110" i="7" s="1"/>
  <c r="AE110" i="7" s="1"/>
  <c r="AF110" i="7" s="1"/>
  <c r="AG110" i="7" s="1"/>
  <c r="AH110" i="7" s="1"/>
  <c r="AI110" i="7" s="1"/>
  <c r="H109" i="7"/>
  <c r="I109" i="7" s="1"/>
  <c r="J109" i="7" s="1"/>
  <c r="K109" i="7" s="1"/>
  <c r="L109" i="7" s="1"/>
  <c r="M109" i="7" s="1"/>
  <c r="N109" i="7" s="1"/>
  <c r="O109" i="7" s="1"/>
  <c r="P109" i="7" s="1"/>
  <c r="Q109" i="7" s="1"/>
  <c r="R109" i="7" s="1"/>
  <c r="S109" i="7" s="1"/>
  <c r="T109" i="7" s="1"/>
  <c r="U109" i="7" s="1"/>
  <c r="V109" i="7" s="1"/>
  <c r="W109" i="7" s="1"/>
  <c r="X109" i="7" s="1"/>
  <c r="Y109" i="7" s="1"/>
  <c r="Z109" i="7" s="1"/>
  <c r="AA109" i="7" s="1"/>
  <c r="AB109" i="7" s="1"/>
  <c r="AC109" i="7" s="1"/>
  <c r="AD109" i="7" s="1"/>
  <c r="AE109" i="7" s="1"/>
  <c r="AF109" i="7" s="1"/>
  <c r="AG109" i="7" s="1"/>
  <c r="AH109" i="7" s="1"/>
  <c r="AI109" i="7" s="1"/>
  <c r="B58" i="1"/>
  <c r="B26" i="4"/>
  <c r="B25" i="4"/>
  <c r="L29" i="4"/>
  <c r="Q19" i="4"/>
  <c r="L16" i="4"/>
  <c r="B16" i="4"/>
  <c r="L13" i="4"/>
  <c r="B13" i="4"/>
  <c r="L12" i="4"/>
  <c r="B12" i="4"/>
  <c r="L11" i="4"/>
  <c r="B11" i="4"/>
  <c r="L10" i="4"/>
  <c r="B10" i="4"/>
  <c r="L9" i="4"/>
  <c r="B9" i="4"/>
  <c r="L16" i="3"/>
  <c r="L13" i="3"/>
  <c r="L12" i="3"/>
  <c r="L11" i="3"/>
  <c r="L10" i="3"/>
  <c r="L9" i="3"/>
  <c r="B13" i="3"/>
  <c r="B12" i="3"/>
  <c r="B11" i="3"/>
  <c r="B10" i="3"/>
  <c r="B9" i="3"/>
  <c r="B16" i="3"/>
  <c r="W65" i="7"/>
  <c r="X65" i="7"/>
  <c r="Y65" i="7"/>
  <c r="Z65" i="7"/>
  <c r="AA65" i="7"/>
  <c r="AB65" i="7"/>
  <c r="AC65" i="7"/>
  <c r="AD65" i="7"/>
  <c r="AE65" i="7"/>
  <c r="AF65" i="7"/>
  <c r="AG65" i="7"/>
  <c r="AH65" i="7"/>
  <c r="AI65" i="7"/>
  <c r="I65" i="7"/>
  <c r="J65" i="7"/>
  <c r="K65" i="7"/>
  <c r="L65" i="7"/>
  <c r="M65" i="7"/>
  <c r="N65" i="7"/>
  <c r="O65" i="7"/>
  <c r="P65" i="7"/>
  <c r="Q65" i="7"/>
  <c r="R65" i="7"/>
  <c r="S65" i="7"/>
  <c r="T65" i="7"/>
  <c r="U65" i="7"/>
  <c r="V65" i="7"/>
  <c r="H66" i="7"/>
  <c r="I66" i="7" s="1"/>
  <c r="J66" i="7" s="1"/>
  <c r="K66" i="7" s="1"/>
  <c r="L66" i="7" s="1"/>
  <c r="M66" i="7" s="1"/>
  <c r="N66" i="7" s="1"/>
  <c r="O66" i="7" s="1"/>
  <c r="P66" i="7" s="1"/>
  <c r="Q66" i="7" s="1"/>
  <c r="R66" i="7" s="1"/>
  <c r="S66" i="7" s="1"/>
  <c r="T66" i="7" s="1"/>
  <c r="U66" i="7" s="1"/>
  <c r="V66" i="7" s="1"/>
  <c r="W66" i="7" s="1"/>
  <c r="X66" i="7" s="1"/>
  <c r="Y66" i="7" s="1"/>
  <c r="Z66" i="7" s="1"/>
  <c r="AA66" i="7" s="1"/>
  <c r="AB66" i="7" s="1"/>
  <c r="AC66" i="7" s="1"/>
  <c r="AD66" i="7" s="1"/>
  <c r="AE66" i="7" s="1"/>
  <c r="AF66" i="7" s="1"/>
  <c r="AG66" i="7" s="1"/>
  <c r="AH66" i="7" s="1"/>
  <c r="AI66" i="7" s="1"/>
  <c r="H65" i="7"/>
  <c r="H64" i="7"/>
  <c r="I64" i="7" s="1"/>
  <c r="J64" i="7" s="1"/>
  <c r="K64" i="7" s="1"/>
  <c r="L64" i="7" s="1"/>
  <c r="M64" i="7" s="1"/>
  <c r="N64" i="7" s="1"/>
  <c r="O64" i="7" s="1"/>
  <c r="P64" i="7" s="1"/>
  <c r="Q64" i="7" s="1"/>
  <c r="R64" i="7" s="1"/>
  <c r="S64" i="7" s="1"/>
  <c r="T64" i="7" s="1"/>
  <c r="U64" i="7" s="1"/>
  <c r="V64" i="7" s="1"/>
  <c r="W64" i="7" s="1"/>
  <c r="X64" i="7" s="1"/>
  <c r="Y64" i="7" s="1"/>
  <c r="Z64" i="7" s="1"/>
  <c r="AA64" i="7" s="1"/>
  <c r="AB64" i="7" s="1"/>
  <c r="AC64" i="7" s="1"/>
  <c r="AD64" i="7" s="1"/>
  <c r="AE64" i="7" s="1"/>
  <c r="AF64" i="7" s="1"/>
  <c r="AG64" i="7" s="1"/>
  <c r="AH64" i="7" s="1"/>
  <c r="AI64" i="7" s="1"/>
  <c r="H63" i="7"/>
  <c r="I63" i="7" s="1"/>
  <c r="J63" i="7" s="1"/>
  <c r="K63" i="7" s="1"/>
  <c r="L63" i="7" s="1"/>
  <c r="M63" i="7" s="1"/>
  <c r="N63" i="7" s="1"/>
  <c r="O63" i="7" s="1"/>
  <c r="P63" i="7" s="1"/>
  <c r="Q63" i="7" s="1"/>
  <c r="R63" i="7" s="1"/>
  <c r="S63" i="7" s="1"/>
  <c r="T63" i="7" s="1"/>
  <c r="U63" i="7" s="1"/>
  <c r="V63" i="7" s="1"/>
  <c r="W63" i="7" s="1"/>
  <c r="X63" i="7" s="1"/>
  <c r="Y63" i="7" s="1"/>
  <c r="Z63" i="7" s="1"/>
  <c r="AA63" i="7" s="1"/>
  <c r="AB63" i="7" s="1"/>
  <c r="AC63" i="7" s="1"/>
  <c r="AD63" i="7" s="1"/>
  <c r="AE63" i="7" s="1"/>
  <c r="AF63" i="7" s="1"/>
  <c r="AG63" i="7" s="1"/>
  <c r="AH63" i="7" s="1"/>
  <c r="AI63" i="7" s="1"/>
  <c r="H62" i="7"/>
  <c r="I62" i="7" s="1"/>
  <c r="J62" i="7" s="1"/>
  <c r="K62" i="7" s="1"/>
  <c r="L62" i="7" s="1"/>
  <c r="M62" i="7" s="1"/>
  <c r="N62" i="7" s="1"/>
  <c r="O62" i="7" s="1"/>
  <c r="P62" i="7" s="1"/>
  <c r="Q62" i="7" s="1"/>
  <c r="R62" i="7" s="1"/>
  <c r="S62" i="7" s="1"/>
  <c r="T62" i="7" s="1"/>
  <c r="U62" i="7" s="1"/>
  <c r="V62" i="7" s="1"/>
  <c r="W62" i="7" s="1"/>
  <c r="X62" i="7" s="1"/>
  <c r="Y62" i="7" s="1"/>
  <c r="Z62" i="7" s="1"/>
  <c r="AA62" i="7" s="1"/>
  <c r="AB62" i="7" s="1"/>
  <c r="AC62" i="7" s="1"/>
  <c r="AD62" i="7" s="1"/>
  <c r="AE62" i="7" s="1"/>
  <c r="AF62" i="7" s="1"/>
  <c r="AG62" i="7" s="1"/>
  <c r="AH62" i="7" s="1"/>
  <c r="AI62" i="7" s="1"/>
  <c r="H61" i="7"/>
  <c r="H57" i="7"/>
  <c r="I57" i="7" s="1"/>
  <c r="J57" i="7" s="1"/>
  <c r="K57" i="7" s="1"/>
  <c r="L57" i="7" s="1"/>
  <c r="M57" i="7" s="1"/>
  <c r="N57" i="7" s="1"/>
  <c r="O57" i="7" s="1"/>
  <c r="P57" i="7" s="1"/>
  <c r="Q57" i="7" s="1"/>
  <c r="R57" i="7" s="1"/>
  <c r="S57" i="7" s="1"/>
  <c r="T57" i="7" s="1"/>
  <c r="U57" i="7" s="1"/>
  <c r="V57" i="7" s="1"/>
  <c r="W57" i="7" s="1"/>
  <c r="X57" i="7" s="1"/>
  <c r="Y57" i="7" s="1"/>
  <c r="Z57" i="7" s="1"/>
  <c r="AA57" i="7" s="1"/>
  <c r="AB57" i="7" s="1"/>
  <c r="AC57" i="7" s="1"/>
  <c r="AD57" i="7" s="1"/>
  <c r="AE57" i="7" s="1"/>
  <c r="AF57" i="7" s="1"/>
  <c r="AG57" i="7" s="1"/>
  <c r="AH57" i="7" s="1"/>
  <c r="AI57" i="7" s="1"/>
  <c r="H56" i="7"/>
  <c r="I56" i="7" s="1"/>
  <c r="J56" i="7" s="1"/>
  <c r="K56" i="7" s="1"/>
  <c r="L56" i="7" s="1"/>
  <c r="M56" i="7" s="1"/>
  <c r="N56" i="7" s="1"/>
  <c r="O56" i="7" s="1"/>
  <c r="P56" i="7" s="1"/>
  <c r="Q56" i="7" s="1"/>
  <c r="R56" i="7" s="1"/>
  <c r="S56" i="7" s="1"/>
  <c r="T56" i="7" s="1"/>
  <c r="U56" i="7" s="1"/>
  <c r="V56" i="7" s="1"/>
  <c r="W56" i="7" s="1"/>
  <c r="X56" i="7" s="1"/>
  <c r="Y56" i="7" s="1"/>
  <c r="Z56" i="7" s="1"/>
  <c r="AA56" i="7" s="1"/>
  <c r="AB56" i="7" s="1"/>
  <c r="AC56" i="7" s="1"/>
  <c r="AD56" i="7" s="1"/>
  <c r="AE56" i="7" s="1"/>
  <c r="AF56" i="7" s="1"/>
  <c r="AG56" i="7" s="1"/>
  <c r="AH56" i="7" s="1"/>
  <c r="AI56" i="7" s="1"/>
  <c r="H54" i="7"/>
  <c r="I54" i="7" s="1"/>
  <c r="J54" i="7" s="1"/>
  <c r="K54" i="7" s="1"/>
  <c r="L54" i="7" s="1"/>
  <c r="M54" i="7" s="1"/>
  <c r="N54" i="7" s="1"/>
  <c r="O54" i="7" s="1"/>
  <c r="P54" i="7" s="1"/>
  <c r="Q54" i="7" s="1"/>
  <c r="R54" i="7" s="1"/>
  <c r="S54" i="7" s="1"/>
  <c r="T54" i="7" s="1"/>
  <c r="U54" i="7" s="1"/>
  <c r="V54" i="7" s="1"/>
  <c r="W54" i="7" s="1"/>
  <c r="X54" i="7" s="1"/>
  <c r="Y54" i="7" s="1"/>
  <c r="Z54" i="7" s="1"/>
  <c r="AA54" i="7" s="1"/>
  <c r="AB54" i="7" s="1"/>
  <c r="AC54" i="7" s="1"/>
  <c r="AD54" i="7" s="1"/>
  <c r="AE54" i="7" s="1"/>
  <c r="AF54" i="7" s="1"/>
  <c r="AG54" i="7" s="1"/>
  <c r="AH54" i="7" s="1"/>
  <c r="AI54" i="7" s="1"/>
  <c r="H53" i="7"/>
  <c r="I53" i="7" s="1"/>
  <c r="J53" i="7" s="1"/>
  <c r="K53" i="7" s="1"/>
  <c r="L53" i="7" s="1"/>
  <c r="M53" i="7" s="1"/>
  <c r="N53" i="7" s="1"/>
  <c r="O53" i="7" s="1"/>
  <c r="P53" i="7" s="1"/>
  <c r="Q53" i="7" s="1"/>
  <c r="R53" i="7" s="1"/>
  <c r="S53" i="7" s="1"/>
  <c r="T53" i="7" s="1"/>
  <c r="U53" i="7" s="1"/>
  <c r="V53" i="7" s="1"/>
  <c r="W53" i="7" s="1"/>
  <c r="X53" i="7" s="1"/>
  <c r="Y53" i="7" s="1"/>
  <c r="Z53" i="7" s="1"/>
  <c r="AA53" i="7" s="1"/>
  <c r="AB53" i="7" s="1"/>
  <c r="AC53" i="7" s="1"/>
  <c r="AD53" i="7" s="1"/>
  <c r="AE53" i="7" s="1"/>
  <c r="AF53" i="7" s="1"/>
  <c r="AG53" i="7" s="1"/>
  <c r="AH53" i="7" s="1"/>
  <c r="AI53" i="7" s="1"/>
  <c r="H52" i="7"/>
  <c r="H49" i="7"/>
  <c r="I49" i="7" s="1"/>
  <c r="J49" i="7" s="1"/>
  <c r="K49" i="7" s="1"/>
  <c r="L49" i="7" s="1"/>
  <c r="M49" i="7" s="1"/>
  <c r="N49" i="7" s="1"/>
  <c r="O49" i="7" s="1"/>
  <c r="P49" i="7" s="1"/>
  <c r="Q49" i="7" s="1"/>
  <c r="R49" i="7" s="1"/>
  <c r="S49" i="7" s="1"/>
  <c r="T49" i="7" s="1"/>
  <c r="U49" i="7" s="1"/>
  <c r="V49" i="7" s="1"/>
  <c r="W49" i="7" s="1"/>
  <c r="X49" i="7" s="1"/>
  <c r="Y49" i="7" s="1"/>
  <c r="Z49" i="7" s="1"/>
  <c r="AA49" i="7" s="1"/>
  <c r="AB49" i="7" s="1"/>
  <c r="AC49" i="7" s="1"/>
  <c r="AD49" i="7" s="1"/>
  <c r="AE49" i="7" s="1"/>
  <c r="AF49" i="7" s="1"/>
  <c r="AG49" i="7" s="1"/>
  <c r="AH49" i="7" s="1"/>
  <c r="AI49" i="7" s="1"/>
  <c r="H48" i="7"/>
  <c r="I48" i="7" s="1"/>
  <c r="J48" i="7" s="1"/>
  <c r="K48" i="7" s="1"/>
  <c r="L48" i="7" s="1"/>
  <c r="M48" i="7" s="1"/>
  <c r="N48" i="7" s="1"/>
  <c r="O48" i="7" s="1"/>
  <c r="P48" i="7" s="1"/>
  <c r="Q48" i="7" s="1"/>
  <c r="R48" i="7" s="1"/>
  <c r="S48" i="7" s="1"/>
  <c r="T48" i="7" s="1"/>
  <c r="U48" i="7" s="1"/>
  <c r="V48" i="7" s="1"/>
  <c r="W48" i="7" s="1"/>
  <c r="X48" i="7" s="1"/>
  <c r="Y48" i="7" s="1"/>
  <c r="Z48" i="7" s="1"/>
  <c r="AA48" i="7" s="1"/>
  <c r="AB48" i="7" s="1"/>
  <c r="AC48" i="7" s="1"/>
  <c r="AD48" i="7" s="1"/>
  <c r="AE48" i="7" s="1"/>
  <c r="AF48" i="7" s="1"/>
  <c r="AG48" i="7" s="1"/>
  <c r="AH48" i="7" s="1"/>
  <c r="AI48" i="7" s="1"/>
  <c r="H47" i="7"/>
  <c r="H46" i="7"/>
  <c r="I46" i="7" s="1"/>
  <c r="J46" i="7" s="1"/>
  <c r="K46" i="7" s="1"/>
  <c r="L46" i="7" s="1"/>
  <c r="M46" i="7" s="1"/>
  <c r="N46" i="7" s="1"/>
  <c r="O46" i="7" s="1"/>
  <c r="P46" i="7" s="1"/>
  <c r="Q46" i="7" s="1"/>
  <c r="R46" i="7" s="1"/>
  <c r="S46" i="7" s="1"/>
  <c r="T46" i="7" s="1"/>
  <c r="U46" i="7" s="1"/>
  <c r="V46" i="7" s="1"/>
  <c r="W46" i="7" s="1"/>
  <c r="X46" i="7" s="1"/>
  <c r="Y46" i="7" s="1"/>
  <c r="Z46" i="7" s="1"/>
  <c r="AA46" i="7" s="1"/>
  <c r="AB46" i="7" s="1"/>
  <c r="AC46" i="7" s="1"/>
  <c r="AD46" i="7" s="1"/>
  <c r="AE46" i="7" s="1"/>
  <c r="AF46" i="7" s="1"/>
  <c r="AG46" i="7" s="1"/>
  <c r="AH46" i="7" s="1"/>
  <c r="AI46" i="7" s="1"/>
  <c r="H45" i="7"/>
  <c r="I45" i="7" s="1"/>
  <c r="J45" i="7" s="1"/>
  <c r="K45" i="7" s="1"/>
  <c r="L45" i="7" s="1"/>
  <c r="M45" i="7" s="1"/>
  <c r="N45" i="7" s="1"/>
  <c r="O45" i="7" s="1"/>
  <c r="P45" i="7" s="1"/>
  <c r="Q45" i="7" s="1"/>
  <c r="R45" i="7" s="1"/>
  <c r="S45" i="7" s="1"/>
  <c r="T45" i="7" s="1"/>
  <c r="U45" i="7" s="1"/>
  <c r="V45" i="7" s="1"/>
  <c r="W45" i="7" s="1"/>
  <c r="X45" i="7" s="1"/>
  <c r="Y45" i="7" s="1"/>
  <c r="Z45" i="7" s="1"/>
  <c r="AA45" i="7" s="1"/>
  <c r="AB45" i="7" s="1"/>
  <c r="AC45" i="7" s="1"/>
  <c r="AD45" i="7" s="1"/>
  <c r="AE45" i="7" s="1"/>
  <c r="AF45" i="7" s="1"/>
  <c r="AG45" i="7" s="1"/>
  <c r="AH45" i="7" s="1"/>
  <c r="AI45" i="7" s="1"/>
  <c r="H43" i="7"/>
  <c r="I43" i="7" s="1"/>
  <c r="J43" i="7" s="1"/>
  <c r="K43" i="7" s="1"/>
  <c r="L43" i="7" s="1"/>
  <c r="M43" i="7" s="1"/>
  <c r="N43" i="7" s="1"/>
  <c r="O43" i="7" s="1"/>
  <c r="P43" i="7" s="1"/>
  <c r="Q43" i="7" s="1"/>
  <c r="R43" i="7" s="1"/>
  <c r="S43" i="7" s="1"/>
  <c r="T43" i="7" s="1"/>
  <c r="U43" i="7" s="1"/>
  <c r="V43" i="7" s="1"/>
  <c r="W43" i="7" s="1"/>
  <c r="X43" i="7" s="1"/>
  <c r="Y43" i="7" s="1"/>
  <c r="Z43" i="7" s="1"/>
  <c r="AA43" i="7" s="1"/>
  <c r="AB43" i="7" s="1"/>
  <c r="AC43" i="7" s="1"/>
  <c r="AD43" i="7" s="1"/>
  <c r="AE43" i="7" s="1"/>
  <c r="AF43" i="7" s="1"/>
  <c r="AG43" i="7" s="1"/>
  <c r="AH43" i="7" s="1"/>
  <c r="AI43" i="7" s="1"/>
  <c r="H42" i="7"/>
  <c r="I42" i="7" s="1"/>
  <c r="J42" i="7" s="1"/>
  <c r="K42" i="7" s="1"/>
  <c r="L42" i="7" s="1"/>
  <c r="M42" i="7" s="1"/>
  <c r="N42" i="7" s="1"/>
  <c r="O42" i="7" s="1"/>
  <c r="P42" i="7" s="1"/>
  <c r="Q42" i="7" s="1"/>
  <c r="R42" i="7" s="1"/>
  <c r="S42" i="7" s="1"/>
  <c r="T42" i="7" s="1"/>
  <c r="U42" i="7" s="1"/>
  <c r="V42" i="7" s="1"/>
  <c r="W42" i="7" s="1"/>
  <c r="X42" i="7" s="1"/>
  <c r="Y42" i="7" s="1"/>
  <c r="Z42" i="7" s="1"/>
  <c r="AA42" i="7" s="1"/>
  <c r="AB42" i="7" s="1"/>
  <c r="AC42" i="7" s="1"/>
  <c r="AD42" i="7" s="1"/>
  <c r="AE42" i="7" s="1"/>
  <c r="AF42" i="7" s="1"/>
  <c r="AG42" i="7" s="1"/>
  <c r="AH42" i="7" s="1"/>
  <c r="AI42" i="7" s="1"/>
  <c r="H41" i="7"/>
  <c r="I41" i="7" s="1"/>
  <c r="J41" i="7" s="1"/>
  <c r="K41" i="7" s="1"/>
  <c r="L41" i="7" s="1"/>
  <c r="M41" i="7" s="1"/>
  <c r="N41" i="7" s="1"/>
  <c r="O41" i="7" s="1"/>
  <c r="P41" i="7" s="1"/>
  <c r="Q41" i="7" s="1"/>
  <c r="R41" i="7" s="1"/>
  <c r="S41" i="7" s="1"/>
  <c r="T41" i="7" s="1"/>
  <c r="U41" i="7" s="1"/>
  <c r="V41" i="7" s="1"/>
  <c r="W41" i="7" s="1"/>
  <c r="X41" i="7" s="1"/>
  <c r="Y41" i="7" s="1"/>
  <c r="Z41" i="7" s="1"/>
  <c r="AA41" i="7" s="1"/>
  <c r="AB41" i="7" s="1"/>
  <c r="AC41" i="7" s="1"/>
  <c r="AD41" i="7" s="1"/>
  <c r="AE41" i="7" s="1"/>
  <c r="AF41" i="7" s="1"/>
  <c r="AG41" i="7" s="1"/>
  <c r="AH41" i="7" s="1"/>
  <c r="AI41" i="7" s="1"/>
  <c r="H37" i="7"/>
  <c r="I37" i="7" s="1"/>
  <c r="J37" i="7" s="1"/>
  <c r="K37" i="7" s="1"/>
  <c r="L37" i="7" s="1"/>
  <c r="M37" i="7" s="1"/>
  <c r="N37" i="7" s="1"/>
  <c r="O37" i="7" s="1"/>
  <c r="P37" i="7" s="1"/>
  <c r="Q37" i="7" s="1"/>
  <c r="R37" i="7" s="1"/>
  <c r="S37" i="7" s="1"/>
  <c r="T37" i="7" s="1"/>
  <c r="U37" i="7" s="1"/>
  <c r="V37" i="7" s="1"/>
  <c r="W37" i="7" s="1"/>
  <c r="X37" i="7" s="1"/>
  <c r="Y37" i="7" s="1"/>
  <c r="Z37" i="7" s="1"/>
  <c r="AA37" i="7" s="1"/>
  <c r="AB37" i="7" s="1"/>
  <c r="AC37" i="7" s="1"/>
  <c r="AD37" i="7" s="1"/>
  <c r="AE37" i="7" s="1"/>
  <c r="AF37" i="7" s="1"/>
  <c r="AG37" i="7" s="1"/>
  <c r="AH37" i="7" s="1"/>
  <c r="AI37" i="7" s="1"/>
  <c r="H36" i="7"/>
  <c r="I36" i="7" s="1"/>
  <c r="J36" i="7" s="1"/>
  <c r="K36" i="7" s="1"/>
  <c r="L36" i="7" s="1"/>
  <c r="M36" i="7" s="1"/>
  <c r="N36" i="7" s="1"/>
  <c r="O36" i="7" s="1"/>
  <c r="P36" i="7" s="1"/>
  <c r="Q36" i="7" s="1"/>
  <c r="R36" i="7" s="1"/>
  <c r="S36" i="7" s="1"/>
  <c r="T36" i="7" s="1"/>
  <c r="U36" i="7" s="1"/>
  <c r="V36" i="7" s="1"/>
  <c r="W36" i="7" s="1"/>
  <c r="X36" i="7" s="1"/>
  <c r="Y36" i="7" s="1"/>
  <c r="Z36" i="7" s="1"/>
  <c r="AA36" i="7" s="1"/>
  <c r="AB36" i="7" s="1"/>
  <c r="AC36" i="7" s="1"/>
  <c r="AD36" i="7" s="1"/>
  <c r="AE36" i="7" s="1"/>
  <c r="AF36" i="7" s="1"/>
  <c r="AG36" i="7" s="1"/>
  <c r="AH36" i="7" s="1"/>
  <c r="AI36" i="7" s="1"/>
  <c r="H35" i="7"/>
  <c r="I35" i="7" s="1"/>
  <c r="J35" i="7" s="1"/>
  <c r="K35" i="7" s="1"/>
  <c r="L35" i="7" s="1"/>
  <c r="M35" i="7" s="1"/>
  <c r="N35" i="7" s="1"/>
  <c r="O35" i="7" s="1"/>
  <c r="P35" i="7" s="1"/>
  <c r="Q35" i="7" s="1"/>
  <c r="R35" i="7" s="1"/>
  <c r="S35" i="7" s="1"/>
  <c r="T35" i="7" s="1"/>
  <c r="U35" i="7" s="1"/>
  <c r="V35" i="7" s="1"/>
  <c r="W35" i="7" s="1"/>
  <c r="X35" i="7" s="1"/>
  <c r="Y35" i="7" s="1"/>
  <c r="Z35" i="7" s="1"/>
  <c r="AA35" i="7" s="1"/>
  <c r="AB35" i="7" s="1"/>
  <c r="AC35" i="7" s="1"/>
  <c r="AD35" i="7" s="1"/>
  <c r="AE35" i="7" s="1"/>
  <c r="AF35" i="7" s="1"/>
  <c r="AG35" i="7" s="1"/>
  <c r="AH35" i="7" s="1"/>
  <c r="AI35" i="7" s="1"/>
  <c r="H34" i="7"/>
  <c r="I34" i="7" s="1"/>
  <c r="J34" i="7" s="1"/>
  <c r="K34" i="7" s="1"/>
  <c r="L34" i="7" s="1"/>
  <c r="M34" i="7" s="1"/>
  <c r="N34" i="7" s="1"/>
  <c r="O34" i="7" s="1"/>
  <c r="P34" i="7" s="1"/>
  <c r="Q34" i="7" s="1"/>
  <c r="R34" i="7" s="1"/>
  <c r="S34" i="7" s="1"/>
  <c r="T34" i="7" s="1"/>
  <c r="U34" i="7" s="1"/>
  <c r="V34" i="7" s="1"/>
  <c r="W34" i="7" s="1"/>
  <c r="X34" i="7" s="1"/>
  <c r="Y34" i="7" s="1"/>
  <c r="Z34" i="7" s="1"/>
  <c r="AA34" i="7" s="1"/>
  <c r="AB34" i="7" s="1"/>
  <c r="AC34" i="7" s="1"/>
  <c r="AD34" i="7" s="1"/>
  <c r="AE34" i="7" s="1"/>
  <c r="AF34" i="7" s="1"/>
  <c r="AG34" i="7" s="1"/>
  <c r="AH34" i="7" s="1"/>
  <c r="AI34" i="7" s="1"/>
  <c r="H33" i="7"/>
  <c r="I33" i="7" s="1"/>
  <c r="J33" i="7" s="1"/>
  <c r="K33" i="7" s="1"/>
  <c r="L33" i="7" s="1"/>
  <c r="M33" i="7" s="1"/>
  <c r="N33" i="7" s="1"/>
  <c r="O33" i="7" s="1"/>
  <c r="P33" i="7" s="1"/>
  <c r="Q33" i="7" s="1"/>
  <c r="R33" i="7" s="1"/>
  <c r="S33" i="7" s="1"/>
  <c r="T33" i="7" s="1"/>
  <c r="U33" i="7" s="1"/>
  <c r="V33" i="7" s="1"/>
  <c r="W33" i="7" s="1"/>
  <c r="X33" i="7" s="1"/>
  <c r="Y33" i="7" s="1"/>
  <c r="Z33" i="7" s="1"/>
  <c r="AA33" i="7" s="1"/>
  <c r="AB33" i="7" s="1"/>
  <c r="AC33" i="7" s="1"/>
  <c r="AD33" i="7" s="1"/>
  <c r="AE33" i="7" s="1"/>
  <c r="AF33" i="7" s="1"/>
  <c r="AG33" i="7" s="1"/>
  <c r="AH33" i="7" s="1"/>
  <c r="AI33" i="7" s="1"/>
  <c r="H30" i="7"/>
  <c r="I30" i="7" s="1"/>
  <c r="J30" i="7" s="1"/>
  <c r="K30" i="7" s="1"/>
  <c r="L30" i="7" s="1"/>
  <c r="M30" i="7" s="1"/>
  <c r="N30" i="7" s="1"/>
  <c r="O30" i="7" s="1"/>
  <c r="P30" i="7" s="1"/>
  <c r="Q30" i="7" s="1"/>
  <c r="R30" i="7" s="1"/>
  <c r="S30" i="7" s="1"/>
  <c r="T30" i="7" s="1"/>
  <c r="U30" i="7" s="1"/>
  <c r="V30" i="7" s="1"/>
  <c r="W30" i="7" s="1"/>
  <c r="X30" i="7" s="1"/>
  <c r="Y30" i="7" s="1"/>
  <c r="Z30" i="7" s="1"/>
  <c r="AA30" i="7" s="1"/>
  <c r="AB30" i="7" s="1"/>
  <c r="AC30" i="7" s="1"/>
  <c r="AD30" i="7" s="1"/>
  <c r="AE30" i="7" s="1"/>
  <c r="AF30" i="7" s="1"/>
  <c r="AG30" i="7" s="1"/>
  <c r="AH30" i="7" s="1"/>
  <c r="AI30" i="7" s="1"/>
  <c r="H29" i="7"/>
  <c r="I29" i="7" s="1"/>
  <c r="J29" i="7" s="1"/>
  <c r="K29" i="7" s="1"/>
  <c r="L29" i="7" s="1"/>
  <c r="M29" i="7" s="1"/>
  <c r="N29" i="7" s="1"/>
  <c r="O29" i="7" s="1"/>
  <c r="P29" i="7" s="1"/>
  <c r="Q29" i="7" s="1"/>
  <c r="R29" i="7" s="1"/>
  <c r="S29" i="7" s="1"/>
  <c r="T29" i="7" s="1"/>
  <c r="U29" i="7" s="1"/>
  <c r="V29" i="7" s="1"/>
  <c r="W29" i="7" s="1"/>
  <c r="X29" i="7" s="1"/>
  <c r="Y29" i="7" s="1"/>
  <c r="Z29" i="7" s="1"/>
  <c r="AA29" i="7" s="1"/>
  <c r="AB29" i="7" s="1"/>
  <c r="AC29" i="7" s="1"/>
  <c r="AD29" i="7" s="1"/>
  <c r="AE29" i="7" s="1"/>
  <c r="AF29" i="7" s="1"/>
  <c r="AG29" i="7" s="1"/>
  <c r="AH29" i="7" s="1"/>
  <c r="AI29" i="7" s="1"/>
  <c r="H28" i="7"/>
  <c r="I28" i="7" s="1"/>
  <c r="J28" i="7" s="1"/>
  <c r="K28" i="7" s="1"/>
  <c r="L28" i="7" s="1"/>
  <c r="M28" i="7" s="1"/>
  <c r="N28" i="7" s="1"/>
  <c r="O28" i="7" s="1"/>
  <c r="P28" i="7" s="1"/>
  <c r="Q28" i="7" s="1"/>
  <c r="R28" i="7" s="1"/>
  <c r="S28" i="7" s="1"/>
  <c r="T28" i="7" s="1"/>
  <c r="U28" i="7" s="1"/>
  <c r="V28" i="7" s="1"/>
  <c r="W28" i="7" s="1"/>
  <c r="X28" i="7" s="1"/>
  <c r="Y28" i="7" s="1"/>
  <c r="Z28" i="7" s="1"/>
  <c r="AA28" i="7" s="1"/>
  <c r="AB28" i="7" s="1"/>
  <c r="AC28" i="7" s="1"/>
  <c r="AD28" i="7" s="1"/>
  <c r="AE28" i="7" s="1"/>
  <c r="AF28" i="7" s="1"/>
  <c r="AG28" i="7" s="1"/>
  <c r="AH28" i="7" s="1"/>
  <c r="AI28" i="7" s="1"/>
  <c r="H27" i="7"/>
  <c r="I27" i="7" s="1"/>
  <c r="J27" i="7" s="1"/>
  <c r="K27" i="7" s="1"/>
  <c r="L27" i="7" s="1"/>
  <c r="M27" i="7" s="1"/>
  <c r="N27" i="7" s="1"/>
  <c r="O27" i="7" s="1"/>
  <c r="P27" i="7" s="1"/>
  <c r="Q27" i="7" s="1"/>
  <c r="R27" i="7" s="1"/>
  <c r="S27" i="7" s="1"/>
  <c r="T27" i="7" s="1"/>
  <c r="U27" i="7" s="1"/>
  <c r="V27" i="7" s="1"/>
  <c r="W27" i="7" s="1"/>
  <c r="X27" i="7" s="1"/>
  <c r="Y27" i="7" s="1"/>
  <c r="Z27" i="7" s="1"/>
  <c r="AA27" i="7" s="1"/>
  <c r="AB27" i="7" s="1"/>
  <c r="AC27" i="7" s="1"/>
  <c r="AD27" i="7" s="1"/>
  <c r="AE27" i="7" s="1"/>
  <c r="AF27" i="7" s="1"/>
  <c r="AG27" i="7" s="1"/>
  <c r="AH27" i="7" s="1"/>
  <c r="AI27" i="7" s="1"/>
  <c r="H26" i="7"/>
  <c r="I26" i="7" s="1"/>
  <c r="J26" i="7" s="1"/>
  <c r="K26" i="7" s="1"/>
  <c r="L26" i="7" s="1"/>
  <c r="M26" i="7" s="1"/>
  <c r="N26" i="7" s="1"/>
  <c r="O26" i="7" s="1"/>
  <c r="P26" i="7" s="1"/>
  <c r="Q26" i="7" s="1"/>
  <c r="R26" i="7" s="1"/>
  <c r="S26" i="7" s="1"/>
  <c r="T26" i="7" s="1"/>
  <c r="U26" i="7" s="1"/>
  <c r="V26" i="7" s="1"/>
  <c r="W26" i="7" s="1"/>
  <c r="X26" i="7" s="1"/>
  <c r="Y26" i="7" s="1"/>
  <c r="Z26" i="7" s="1"/>
  <c r="AA26" i="7" s="1"/>
  <c r="AB26" i="7" s="1"/>
  <c r="AC26" i="7" s="1"/>
  <c r="AD26" i="7" s="1"/>
  <c r="AE26" i="7" s="1"/>
  <c r="AF26" i="7" s="1"/>
  <c r="AG26" i="7" s="1"/>
  <c r="AH26" i="7" s="1"/>
  <c r="AI26" i="7" s="1"/>
  <c r="H25" i="7"/>
  <c r="I25" i="7" s="1"/>
  <c r="J25" i="7" s="1"/>
  <c r="K25" i="7" s="1"/>
  <c r="L25" i="7" s="1"/>
  <c r="M25" i="7" s="1"/>
  <c r="N25" i="7" s="1"/>
  <c r="O25" i="7" s="1"/>
  <c r="P25" i="7" s="1"/>
  <c r="Q25" i="7" s="1"/>
  <c r="R25" i="7" s="1"/>
  <c r="S25" i="7" s="1"/>
  <c r="T25" i="7" s="1"/>
  <c r="U25" i="7" s="1"/>
  <c r="V25" i="7" s="1"/>
  <c r="W25" i="7" s="1"/>
  <c r="X25" i="7" s="1"/>
  <c r="Y25" i="7" s="1"/>
  <c r="Z25" i="7" s="1"/>
  <c r="AA25" i="7" s="1"/>
  <c r="AB25" i="7" s="1"/>
  <c r="AC25" i="7" s="1"/>
  <c r="AD25" i="7" s="1"/>
  <c r="AE25" i="7" s="1"/>
  <c r="AF25" i="7" s="1"/>
  <c r="AG25" i="7" s="1"/>
  <c r="AH25" i="7" s="1"/>
  <c r="AI25" i="7" s="1"/>
  <c r="H21" i="7"/>
  <c r="I21" i="7" s="1"/>
  <c r="J21" i="7" s="1"/>
  <c r="K21" i="7" s="1"/>
  <c r="L21" i="7" s="1"/>
  <c r="M21" i="7" s="1"/>
  <c r="N21" i="7" s="1"/>
  <c r="O21" i="7" s="1"/>
  <c r="P21" i="7" s="1"/>
  <c r="Q21" i="7" s="1"/>
  <c r="R21" i="7" s="1"/>
  <c r="S21" i="7" s="1"/>
  <c r="T21" i="7" s="1"/>
  <c r="U21" i="7" s="1"/>
  <c r="V21" i="7" s="1"/>
  <c r="W21" i="7" s="1"/>
  <c r="X21" i="7" s="1"/>
  <c r="Y21" i="7" s="1"/>
  <c r="Z21" i="7" s="1"/>
  <c r="AA21" i="7" s="1"/>
  <c r="AB21" i="7" s="1"/>
  <c r="AC21" i="7" s="1"/>
  <c r="AD21" i="7" s="1"/>
  <c r="AE21" i="7" s="1"/>
  <c r="AF21" i="7" s="1"/>
  <c r="AG21" i="7" s="1"/>
  <c r="AH21" i="7" s="1"/>
  <c r="AI21" i="7" s="1"/>
  <c r="H20" i="7"/>
  <c r="I20" i="7" s="1"/>
  <c r="J20" i="7" s="1"/>
  <c r="K20" i="7" s="1"/>
  <c r="L20" i="7" s="1"/>
  <c r="M20" i="7" s="1"/>
  <c r="N20" i="7" s="1"/>
  <c r="O20" i="7" s="1"/>
  <c r="P20" i="7" s="1"/>
  <c r="Q20" i="7" s="1"/>
  <c r="R20" i="7" s="1"/>
  <c r="S20" i="7" s="1"/>
  <c r="T20" i="7" s="1"/>
  <c r="U20" i="7" s="1"/>
  <c r="V20" i="7" s="1"/>
  <c r="W20" i="7" s="1"/>
  <c r="X20" i="7" s="1"/>
  <c r="Y20" i="7" s="1"/>
  <c r="Z20" i="7" s="1"/>
  <c r="AA20" i="7" s="1"/>
  <c r="AB20" i="7" s="1"/>
  <c r="AC20" i="7" s="1"/>
  <c r="AD20" i="7" s="1"/>
  <c r="AE20" i="7" s="1"/>
  <c r="AF20" i="7" s="1"/>
  <c r="AG20" i="7" s="1"/>
  <c r="AH20" i="7" s="1"/>
  <c r="AI20" i="7" s="1"/>
  <c r="H19" i="7"/>
  <c r="I19" i="7" s="1"/>
  <c r="J19" i="7" s="1"/>
  <c r="K19" i="7" s="1"/>
  <c r="L19" i="7" s="1"/>
  <c r="M19" i="7" s="1"/>
  <c r="N19" i="7" s="1"/>
  <c r="O19" i="7" s="1"/>
  <c r="P19" i="7" s="1"/>
  <c r="Q19" i="7" s="1"/>
  <c r="R19" i="7" s="1"/>
  <c r="S19" i="7" s="1"/>
  <c r="T19" i="7" s="1"/>
  <c r="U19" i="7" s="1"/>
  <c r="V19" i="7" s="1"/>
  <c r="W19" i="7" s="1"/>
  <c r="X19" i="7" s="1"/>
  <c r="Y19" i="7" s="1"/>
  <c r="Z19" i="7" s="1"/>
  <c r="AA19" i="7" s="1"/>
  <c r="AB19" i="7" s="1"/>
  <c r="AC19" i="7" s="1"/>
  <c r="AD19" i="7" s="1"/>
  <c r="AE19" i="7" s="1"/>
  <c r="AF19" i="7" s="1"/>
  <c r="AG19" i="7" s="1"/>
  <c r="AH19" i="7" s="1"/>
  <c r="AI19" i="7" s="1"/>
  <c r="H16" i="7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H15" i="7"/>
  <c r="I15" i="7" s="1"/>
  <c r="J15" i="7" s="1"/>
  <c r="K15" i="7" s="1"/>
  <c r="L15" i="7" s="1"/>
  <c r="M15" i="7" s="1"/>
  <c r="N15" i="7" s="1"/>
  <c r="O15" i="7" s="1"/>
  <c r="P15" i="7" s="1"/>
  <c r="Q15" i="7" s="1"/>
  <c r="R15" i="7" s="1"/>
  <c r="S15" i="7" s="1"/>
  <c r="T15" i="7" s="1"/>
  <c r="U15" i="7" s="1"/>
  <c r="V15" i="7" s="1"/>
  <c r="W15" i="7" s="1"/>
  <c r="X15" i="7" s="1"/>
  <c r="Y15" i="7" s="1"/>
  <c r="Z15" i="7" s="1"/>
  <c r="AA15" i="7" s="1"/>
  <c r="AB15" i="7" s="1"/>
  <c r="AC15" i="7" s="1"/>
  <c r="AD15" i="7" s="1"/>
  <c r="AE15" i="7" s="1"/>
  <c r="AF15" i="7" s="1"/>
  <c r="AG15" i="7" s="1"/>
  <c r="AH15" i="7" s="1"/>
  <c r="AI15" i="7" s="1"/>
  <c r="H14" i="7"/>
  <c r="I14" i="7" s="1"/>
  <c r="J14" i="7" s="1"/>
  <c r="K14" i="7" s="1"/>
  <c r="L14" i="7" s="1"/>
  <c r="M14" i="7" s="1"/>
  <c r="N14" i="7" s="1"/>
  <c r="O14" i="7" s="1"/>
  <c r="P14" i="7" s="1"/>
  <c r="Q14" i="7" s="1"/>
  <c r="R14" i="7" s="1"/>
  <c r="S14" i="7" s="1"/>
  <c r="T14" i="7" s="1"/>
  <c r="U14" i="7" s="1"/>
  <c r="V14" i="7" s="1"/>
  <c r="W14" i="7" s="1"/>
  <c r="X14" i="7" s="1"/>
  <c r="Y14" i="7" s="1"/>
  <c r="Z14" i="7" s="1"/>
  <c r="AA14" i="7" s="1"/>
  <c r="AB14" i="7" s="1"/>
  <c r="AC14" i="7" s="1"/>
  <c r="AD14" i="7" s="1"/>
  <c r="AE14" i="7" s="1"/>
  <c r="AF14" i="7" s="1"/>
  <c r="AG14" i="7" s="1"/>
  <c r="AH14" i="7" s="1"/>
  <c r="AI14" i="7" s="1"/>
  <c r="H13" i="7"/>
  <c r="I13" i="7" s="1"/>
  <c r="J13" i="7" s="1"/>
  <c r="K13" i="7" s="1"/>
  <c r="L13" i="7" s="1"/>
  <c r="M13" i="7" s="1"/>
  <c r="N13" i="7" s="1"/>
  <c r="O13" i="7" s="1"/>
  <c r="P13" i="7" s="1"/>
  <c r="Q13" i="7" s="1"/>
  <c r="R13" i="7" s="1"/>
  <c r="S13" i="7" s="1"/>
  <c r="T13" i="7" s="1"/>
  <c r="U13" i="7" s="1"/>
  <c r="V13" i="7" s="1"/>
  <c r="W13" i="7" s="1"/>
  <c r="X13" i="7" s="1"/>
  <c r="Y13" i="7" s="1"/>
  <c r="Z13" i="7" s="1"/>
  <c r="AA13" i="7" s="1"/>
  <c r="AB13" i="7" s="1"/>
  <c r="AC13" i="7" s="1"/>
  <c r="AD13" i="7" s="1"/>
  <c r="AE13" i="7" s="1"/>
  <c r="AF13" i="7" s="1"/>
  <c r="AG13" i="7" s="1"/>
  <c r="AH13" i="7" s="1"/>
  <c r="AI13" i="7" s="1"/>
  <c r="H10" i="7"/>
  <c r="I10" i="7" s="1"/>
  <c r="J10" i="7" s="1"/>
  <c r="K10" i="7" s="1"/>
  <c r="L10" i="7" s="1"/>
  <c r="M10" i="7" s="1"/>
  <c r="N10" i="7" s="1"/>
  <c r="O10" i="7" s="1"/>
  <c r="P10" i="7" s="1"/>
  <c r="Q10" i="7" s="1"/>
  <c r="R10" i="7" s="1"/>
  <c r="S10" i="7" s="1"/>
  <c r="T10" i="7" s="1"/>
  <c r="U10" i="7" s="1"/>
  <c r="V10" i="7" s="1"/>
  <c r="W10" i="7" s="1"/>
  <c r="X10" i="7" s="1"/>
  <c r="Y10" i="7" s="1"/>
  <c r="Z10" i="7" s="1"/>
  <c r="AA10" i="7" s="1"/>
  <c r="AB10" i="7" s="1"/>
  <c r="AC10" i="7" s="1"/>
  <c r="AD10" i="7" s="1"/>
  <c r="AE10" i="7" s="1"/>
  <c r="AF10" i="7" s="1"/>
  <c r="AG10" i="7" s="1"/>
  <c r="AH10" i="7" s="1"/>
  <c r="AI10" i="7" s="1"/>
  <c r="H9" i="7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H123" i="7"/>
  <c r="I123" i="7" s="1"/>
  <c r="J123" i="7" s="1"/>
  <c r="K123" i="7" s="1"/>
  <c r="L123" i="7" s="1"/>
  <c r="M123" i="7" s="1"/>
  <c r="N123" i="7" s="1"/>
  <c r="O123" i="7" s="1"/>
  <c r="P123" i="7" s="1"/>
  <c r="Q123" i="7" s="1"/>
  <c r="R123" i="7" s="1"/>
  <c r="S123" i="7" s="1"/>
  <c r="T123" i="7" s="1"/>
  <c r="U123" i="7" s="1"/>
  <c r="V123" i="7" s="1"/>
  <c r="W123" i="7" s="1"/>
  <c r="X123" i="7" s="1"/>
  <c r="Y123" i="7" s="1"/>
  <c r="Z123" i="7" s="1"/>
  <c r="AA123" i="7" s="1"/>
  <c r="AB123" i="7" s="1"/>
  <c r="AC123" i="7" s="1"/>
  <c r="AD123" i="7" s="1"/>
  <c r="AE123" i="7" s="1"/>
  <c r="AF123" i="7" s="1"/>
  <c r="AG123" i="7" s="1"/>
  <c r="AH123" i="7" s="1"/>
  <c r="AI123" i="7" s="1"/>
  <c r="H122" i="7"/>
  <c r="I122" i="7" s="1"/>
  <c r="J122" i="7" s="1"/>
  <c r="K122" i="7" s="1"/>
  <c r="L122" i="7" s="1"/>
  <c r="M122" i="7" s="1"/>
  <c r="N122" i="7" s="1"/>
  <c r="O122" i="7" s="1"/>
  <c r="P122" i="7" s="1"/>
  <c r="Q122" i="7" s="1"/>
  <c r="R122" i="7" s="1"/>
  <c r="S122" i="7" s="1"/>
  <c r="T122" i="7" s="1"/>
  <c r="U122" i="7" s="1"/>
  <c r="V122" i="7" s="1"/>
  <c r="W122" i="7" s="1"/>
  <c r="X122" i="7" s="1"/>
  <c r="Y122" i="7" s="1"/>
  <c r="Z122" i="7" s="1"/>
  <c r="AA122" i="7" s="1"/>
  <c r="AB122" i="7" s="1"/>
  <c r="AC122" i="7" s="1"/>
  <c r="AD122" i="7" s="1"/>
  <c r="AE122" i="7" s="1"/>
  <c r="AF122" i="7" s="1"/>
  <c r="AG122" i="7" s="1"/>
  <c r="AH122" i="7" s="1"/>
  <c r="AI122" i="7" s="1"/>
  <c r="H121" i="7"/>
  <c r="I121" i="7" s="1"/>
  <c r="J121" i="7" s="1"/>
  <c r="K121" i="7" s="1"/>
  <c r="L121" i="7" s="1"/>
  <c r="M121" i="7" s="1"/>
  <c r="N121" i="7" s="1"/>
  <c r="O121" i="7" s="1"/>
  <c r="P121" i="7" s="1"/>
  <c r="Q121" i="7" s="1"/>
  <c r="R121" i="7" s="1"/>
  <c r="S121" i="7" s="1"/>
  <c r="T121" i="7" s="1"/>
  <c r="U121" i="7" s="1"/>
  <c r="V121" i="7" s="1"/>
  <c r="W121" i="7" s="1"/>
  <c r="X121" i="7" s="1"/>
  <c r="Y121" i="7" s="1"/>
  <c r="Z121" i="7" s="1"/>
  <c r="AA121" i="7" s="1"/>
  <c r="AB121" i="7" s="1"/>
  <c r="AC121" i="7" s="1"/>
  <c r="AD121" i="7" s="1"/>
  <c r="AE121" i="7" s="1"/>
  <c r="AF121" i="7" s="1"/>
  <c r="AG121" i="7" s="1"/>
  <c r="AH121" i="7" s="1"/>
  <c r="AI121" i="7" s="1"/>
  <c r="H120" i="7"/>
  <c r="I120" i="7" s="1"/>
  <c r="J120" i="7" s="1"/>
  <c r="K120" i="7" s="1"/>
  <c r="L120" i="7" s="1"/>
  <c r="M120" i="7" s="1"/>
  <c r="N120" i="7" s="1"/>
  <c r="O120" i="7" s="1"/>
  <c r="P120" i="7" s="1"/>
  <c r="Q120" i="7" s="1"/>
  <c r="R120" i="7" s="1"/>
  <c r="S120" i="7" s="1"/>
  <c r="T120" i="7" s="1"/>
  <c r="U120" i="7" s="1"/>
  <c r="V120" i="7" s="1"/>
  <c r="W120" i="7" s="1"/>
  <c r="X120" i="7" s="1"/>
  <c r="Y120" i="7" s="1"/>
  <c r="Z120" i="7" s="1"/>
  <c r="AA120" i="7" s="1"/>
  <c r="AB120" i="7" s="1"/>
  <c r="AC120" i="7" s="1"/>
  <c r="AD120" i="7" s="1"/>
  <c r="AE120" i="7" s="1"/>
  <c r="AF120" i="7" s="1"/>
  <c r="AG120" i="7" s="1"/>
  <c r="AH120" i="7" s="1"/>
  <c r="AI120" i="7" s="1"/>
  <c r="O118" i="7"/>
  <c r="P118" i="7" s="1"/>
  <c r="Q118" i="7" s="1"/>
  <c r="R118" i="7" s="1"/>
  <c r="S118" i="7" s="1"/>
  <c r="T118" i="7" s="1"/>
  <c r="U118" i="7" s="1"/>
  <c r="V118" i="7" s="1"/>
  <c r="W118" i="7" s="1"/>
  <c r="X118" i="7" s="1"/>
  <c r="Y118" i="7" s="1"/>
  <c r="Z118" i="7" s="1"/>
  <c r="AA118" i="7" s="1"/>
  <c r="AB118" i="7" s="1"/>
  <c r="AC118" i="7" s="1"/>
  <c r="AD118" i="7" s="1"/>
  <c r="AE118" i="7" s="1"/>
  <c r="AF118" i="7" s="1"/>
  <c r="AG118" i="7" s="1"/>
  <c r="AH118" i="7" s="1"/>
  <c r="AI118" i="7" s="1"/>
  <c r="H117" i="7"/>
  <c r="I117" i="7" s="1"/>
  <c r="J117" i="7" s="1"/>
  <c r="K117" i="7" s="1"/>
  <c r="L117" i="7" s="1"/>
  <c r="M117" i="7" s="1"/>
  <c r="N117" i="7" s="1"/>
  <c r="O117" i="7" s="1"/>
  <c r="P117" i="7" s="1"/>
  <c r="Q117" i="7" s="1"/>
  <c r="R117" i="7" s="1"/>
  <c r="S117" i="7" s="1"/>
  <c r="T117" i="7" s="1"/>
  <c r="U117" i="7" s="1"/>
  <c r="V117" i="7" s="1"/>
  <c r="W117" i="7" s="1"/>
  <c r="X117" i="7" s="1"/>
  <c r="Y117" i="7" s="1"/>
  <c r="Z117" i="7" s="1"/>
  <c r="AA117" i="7" s="1"/>
  <c r="AB117" i="7" s="1"/>
  <c r="AC117" i="7" s="1"/>
  <c r="AD117" i="7" s="1"/>
  <c r="AE117" i="7" s="1"/>
  <c r="AF117" i="7" s="1"/>
  <c r="AG117" i="7" s="1"/>
  <c r="AH117" i="7" s="1"/>
  <c r="AI117" i="7" s="1"/>
  <c r="H116" i="7"/>
  <c r="I116" i="7" s="1"/>
  <c r="J116" i="7" s="1"/>
  <c r="K116" i="7" s="1"/>
  <c r="L116" i="7" s="1"/>
  <c r="M116" i="7" s="1"/>
  <c r="N116" i="7" s="1"/>
  <c r="O116" i="7" s="1"/>
  <c r="P116" i="7" s="1"/>
  <c r="Q116" i="7" s="1"/>
  <c r="R116" i="7" s="1"/>
  <c r="S116" i="7" s="1"/>
  <c r="T116" i="7" s="1"/>
  <c r="U116" i="7" s="1"/>
  <c r="V116" i="7" s="1"/>
  <c r="W116" i="7" s="1"/>
  <c r="X116" i="7" s="1"/>
  <c r="Y116" i="7" s="1"/>
  <c r="Z116" i="7" s="1"/>
  <c r="AA116" i="7" s="1"/>
  <c r="AB116" i="7" s="1"/>
  <c r="AC116" i="7" s="1"/>
  <c r="AD116" i="7" s="1"/>
  <c r="AE116" i="7" s="1"/>
  <c r="AF116" i="7" s="1"/>
  <c r="AG116" i="7" s="1"/>
  <c r="AH116" i="7" s="1"/>
  <c r="AI116" i="7" s="1"/>
  <c r="H114" i="7"/>
  <c r="I114" i="7" s="1"/>
  <c r="J114" i="7" s="1"/>
  <c r="K114" i="7" s="1"/>
  <c r="L114" i="7" s="1"/>
  <c r="M114" i="7" s="1"/>
  <c r="N114" i="7" s="1"/>
  <c r="O114" i="7" s="1"/>
  <c r="P114" i="7" s="1"/>
  <c r="Q114" i="7" s="1"/>
  <c r="R114" i="7" s="1"/>
  <c r="S114" i="7" s="1"/>
  <c r="T114" i="7" s="1"/>
  <c r="U114" i="7" s="1"/>
  <c r="V114" i="7" s="1"/>
  <c r="W114" i="7" s="1"/>
  <c r="X114" i="7" s="1"/>
  <c r="Y114" i="7" s="1"/>
  <c r="Z114" i="7" s="1"/>
  <c r="AA114" i="7" s="1"/>
  <c r="AB114" i="7" s="1"/>
  <c r="AC114" i="7" s="1"/>
  <c r="AD114" i="7" s="1"/>
  <c r="AE114" i="7" s="1"/>
  <c r="AF114" i="7" s="1"/>
  <c r="AG114" i="7" s="1"/>
  <c r="AH114" i="7" s="1"/>
  <c r="AI114" i="7" s="1"/>
  <c r="H111" i="7"/>
  <c r="I111" i="7" s="1"/>
  <c r="J111" i="7" s="1"/>
  <c r="K111" i="7" s="1"/>
  <c r="L111" i="7" s="1"/>
  <c r="M111" i="7" s="1"/>
  <c r="N111" i="7" s="1"/>
  <c r="O111" i="7" s="1"/>
  <c r="P111" i="7" s="1"/>
  <c r="Q111" i="7" s="1"/>
  <c r="R111" i="7" s="1"/>
  <c r="S111" i="7" s="1"/>
  <c r="T111" i="7" s="1"/>
  <c r="U111" i="7" s="1"/>
  <c r="V111" i="7" s="1"/>
  <c r="W111" i="7" s="1"/>
  <c r="X111" i="7" s="1"/>
  <c r="Y111" i="7" s="1"/>
  <c r="Z111" i="7" s="1"/>
  <c r="AA111" i="7" s="1"/>
  <c r="AB111" i="7" s="1"/>
  <c r="AC111" i="7" s="1"/>
  <c r="AD111" i="7" s="1"/>
  <c r="AE111" i="7" s="1"/>
  <c r="AF111" i="7" s="1"/>
  <c r="AG111" i="7" s="1"/>
  <c r="AH111" i="7" s="1"/>
  <c r="AI111" i="7" s="1"/>
  <c r="O112" i="7"/>
  <c r="P112" i="7" s="1"/>
  <c r="Q112" i="7" s="1"/>
  <c r="R112" i="7" s="1"/>
  <c r="S112" i="7" s="1"/>
  <c r="T112" i="7" s="1"/>
  <c r="U112" i="7" s="1"/>
  <c r="V112" i="7" s="1"/>
  <c r="W112" i="7" s="1"/>
  <c r="X112" i="7" s="1"/>
  <c r="Y112" i="7" s="1"/>
  <c r="Z112" i="7" s="1"/>
  <c r="AA112" i="7" s="1"/>
  <c r="AB112" i="7" s="1"/>
  <c r="AC112" i="7" s="1"/>
  <c r="AD112" i="7" s="1"/>
  <c r="AE112" i="7" s="1"/>
  <c r="AF112" i="7" s="1"/>
  <c r="AG112" i="7" s="1"/>
  <c r="AH112" i="7" s="1"/>
  <c r="AI112" i="7" s="1"/>
  <c r="H108" i="7"/>
  <c r="I108" i="7" s="1"/>
  <c r="J108" i="7" s="1"/>
  <c r="K108" i="7" s="1"/>
  <c r="L108" i="7" s="1"/>
  <c r="M108" i="7" s="1"/>
  <c r="N108" i="7" s="1"/>
  <c r="O108" i="7" s="1"/>
  <c r="P108" i="7" s="1"/>
  <c r="Q108" i="7" s="1"/>
  <c r="R108" i="7" s="1"/>
  <c r="S108" i="7" s="1"/>
  <c r="T108" i="7" s="1"/>
  <c r="U108" i="7" s="1"/>
  <c r="V108" i="7" s="1"/>
  <c r="W108" i="7" s="1"/>
  <c r="X108" i="7" s="1"/>
  <c r="Y108" i="7" s="1"/>
  <c r="Z108" i="7" s="1"/>
  <c r="AA108" i="7" s="1"/>
  <c r="AB108" i="7" s="1"/>
  <c r="AC108" i="7" s="1"/>
  <c r="AD108" i="7" s="1"/>
  <c r="AE108" i="7" s="1"/>
  <c r="AF108" i="7" s="1"/>
  <c r="AG108" i="7" s="1"/>
  <c r="AH108" i="7" s="1"/>
  <c r="AI108" i="7" s="1"/>
  <c r="Q16" i="3"/>
  <c r="B14" i="9"/>
  <c r="B13" i="9"/>
  <c r="B11" i="8"/>
  <c r="B37" i="8"/>
  <c r="B36" i="8"/>
  <c r="B14" i="8"/>
  <c r="B10" i="8"/>
  <c r="B6" i="8"/>
  <c r="B33" i="8"/>
  <c r="B32" i="8"/>
  <c r="B31" i="8"/>
  <c r="B28" i="8"/>
  <c r="B27" i="8"/>
  <c r="B26" i="8"/>
  <c r="B22" i="8"/>
  <c r="B21" i="8"/>
  <c r="B20" i="8"/>
  <c r="Q29" i="3" a="1"/>
  <c r="Q29" i="3" s="1"/>
  <c r="B19" i="2"/>
  <c r="B14" i="2"/>
  <c r="B32" i="2"/>
  <c r="B10" i="2"/>
  <c r="B18" i="1"/>
  <c r="B21" i="2"/>
  <c r="B29" i="2"/>
  <c r="B28" i="2"/>
  <c r="B27" i="2"/>
  <c r="B26" i="2"/>
  <c r="B54" i="2"/>
  <c r="G25" i="2"/>
  <c r="G61" i="2"/>
  <c r="B48" i="2"/>
  <c r="G20" i="4"/>
  <c r="L40" i="4" s="1"/>
  <c r="B57" i="1"/>
  <c r="B56" i="1"/>
  <c r="B53" i="1"/>
  <c r="B54" i="1"/>
  <c r="B52" i="1"/>
  <c r="B48" i="1"/>
  <c r="B47" i="1"/>
  <c r="B46" i="1"/>
  <c r="B41" i="1"/>
  <c r="B43" i="1"/>
  <c r="B42" i="1"/>
  <c r="B38" i="1"/>
  <c r="B37" i="1"/>
  <c r="I11" i="15" l="1"/>
  <c r="G16" i="2"/>
  <c r="G24" i="2"/>
  <c r="I47" i="7"/>
  <c r="J47" i="7" s="1"/>
  <c r="K47" i="7" s="1"/>
  <c r="L47" i="7" s="1"/>
  <c r="M47" i="7" s="1"/>
  <c r="N47" i="7" s="1"/>
  <c r="O47" i="7" s="1"/>
  <c r="P47" i="7" s="1"/>
  <c r="Q47" i="7" s="1"/>
  <c r="R47" i="7" s="1"/>
  <c r="S47" i="7" s="1"/>
  <c r="T47" i="7" s="1"/>
  <c r="U47" i="7" s="1"/>
  <c r="V47" i="7" s="1"/>
  <c r="W47" i="7" s="1"/>
  <c r="X47" i="7" s="1"/>
  <c r="Y47" i="7" s="1"/>
  <c r="Z47" i="7" s="1"/>
  <c r="AA47" i="7" s="1"/>
  <c r="AB47" i="7" s="1"/>
  <c r="AC47" i="7" s="1"/>
  <c r="AD47" i="7" s="1"/>
  <c r="AE47" i="7" s="1"/>
  <c r="AF47" i="7" s="1"/>
  <c r="AG47" i="7" s="1"/>
  <c r="AH47" i="7" s="1"/>
  <c r="AI47" i="7" s="1"/>
  <c r="B25" i="2"/>
  <c r="G70" i="2"/>
  <c r="Q26" i="2"/>
  <c r="L25" i="2"/>
  <c r="AH45" i="11"/>
  <c r="G11" i="4"/>
  <c r="L34" i="4"/>
  <c r="B24" i="4"/>
  <c r="G19" i="4"/>
  <c r="L39" i="4" s="1"/>
  <c r="G10" i="2"/>
  <c r="G9" i="2"/>
  <c r="G14" i="2"/>
  <c r="G15" i="2" s="1"/>
  <c r="G67" i="2"/>
  <c r="B24" i="2"/>
  <c r="Q32" i="2"/>
  <c r="Q31" i="2"/>
  <c r="Q14" i="2"/>
  <c r="Q16" i="2"/>
  <c r="Q15" i="2"/>
  <c r="J11" i="15" l="1"/>
  <c r="B8" i="8"/>
  <c r="G11" i="8"/>
  <c r="G26" i="8" s="1"/>
  <c r="L11" i="8" s="1"/>
  <c r="Q27" i="2"/>
  <c r="G69" i="2"/>
  <c r="L54" i="2"/>
  <c r="Q27" i="3" s="1"/>
  <c r="G55" i="2"/>
  <c r="Q25" i="2"/>
  <c r="G56" i="2"/>
  <c r="G54" i="2"/>
  <c r="G57" i="2"/>
  <c r="G11" i="2"/>
  <c r="L48" i="2" s="1"/>
  <c r="Q22" i="3" s="1"/>
  <c r="Q11" i="2"/>
  <c r="K11" i="15" l="1"/>
  <c r="AJ47" i="11"/>
  <c r="AH47" i="11"/>
  <c r="Q9" i="3"/>
  <c r="G25" i="8"/>
  <c r="L12" i="8" s="1"/>
  <c r="G47" i="2"/>
  <c r="L50" i="2"/>
  <c r="Q25" i="3" s="1"/>
  <c r="Q10" i="2"/>
  <c r="Q12" i="4"/>
  <c r="L25" i="3"/>
  <c r="L25" i="4"/>
  <c r="G18" i="4"/>
  <c r="L38" i="4" s="1"/>
  <c r="G19" i="2"/>
  <c r="G16" i="1" s="1"/>
  <c r="L11" i="15" l="1"/>
  <c r="G18" i="1"/>
  <c r="G17" i="1"/>
  <c r="L19" i="2"/>
  <c r="L61" i="2"/>
  <c r="B16" i="1"/>
  <c r="Q10" i="4"/>
  <c r="L23" i="4"/>
  <c r="G16" i="4"/>
  <c r="L36" i="4" s="1"/>
  <c r="Q11" i="4"/>
  <c r="L24" i="4"/>
  <c r="G17" i="4"/>
  <c r="L37" i="4" s="1"/>
  <c r="M11" i="15" l="1"/>
  <c r="G62" i="2"/>
  <c r="Q28" i="3" a="1"/>
  <c r="Q28" i="3" s="1"/>
  <c r="AH35" i="11"/>
  <c r="G63" i="2"/>
  <c r="Q19" i="2"/>
  <c r="G64" i="2"/>
  <c r="L26" i="3"/>
  <c r="L26" i="4"/>
  <c r="Q13" i="4"/>
  <c r="Q20" i="2"/>
  <c r="G40" i="2" l="1"/>
  <c r="G42" i="2" s="1"/>
  <c r="G49" i="2" s="1"/>
  <c r="N11" i="15"/>
  <c r="Q21" i="2"/>
  <c r="O11" i="15" l="1"/>
  <c r="L27" i="4"/>
  <c r="Q17" i="4"/>
  <c r="Q10" i="3"/>
  <c r="P11" i="15" l="1"/>
  <c r="Q11" i="3"/>
  <c r="G11" i="9"/>
  <c r="G12" i="9" s="1"/>
  <c r="G13" i="9" s="1"/>
  <c r="B7" i="9"/>
  <c r="Q11" i="15" l="1"/>
  <c r="Q13" i="3"/>
  <c r="R11" i="15" l="1"/>
  <c r="Q12" i="3"/>
  <c r="S11" i="15" l="1"/>
  <c r="B23" i="3"/>
  <c r="B23" i="4"/>
  <c r="T11" i="15" l="1"/>
  <c r="G12" i="4"/>
  <c r="L35" i="4"/>
  <c r="U11" i="15" l="1"/>
  <c r="G50" i="2"/>
  <c r="L71" i="2" s="1"/>
  <c r="Q34" i="3" s="1"/>
  <c r="G44" i="2"/>
  <c r="AH41" i="11" s="1"/>
  <c r="AJ41" i="11" s="1"/>
  <c r="G43" i="2"/>
  <c r="AH37" i="11" s="1"/>
  <c r="AN24" i="11" s="1"/>
  <c r="G51" i="2"/>
  <c r="L70" i="2" s="1"/>
  <c r="L68" i="2"/>
  <c r="AH43" i="11" s="1"/>
  <c r="G48" i="2"/>
  <c r="V11" i="15" l="1"/>
  <c r="AJ37" i="11"/>
  <c r="AM37" i="11" s="1"/>
  <c r="Q21" i="3"/>
  <c r="L23" i="3"/>
  <c r="L49" i="2"/>
  <c r="L51" i="2"/>
  <c r="L24" i="3"/>
  <c r="Q24" i="3"/>
  <c r="B5" i="8"/>
  <c r="L27" i="3"/>
  <c r="Q14" i="4"/>
  <c r="Q31" i="3"/>
  <c r="L69" i="2"/>
  <c r="Q33" i="3"/>
  <c r="G16" i="9"/>
  <c r="G17" i="9" s="1"/>
  <c r="G18" i="9" s="1"/>
  <c r="W11" i="15" l="1"/>
  <c r="Q32" i="3"/>
  <c r="L30" i="3"/>
  <c r="G19" i="9"/>
  <c r="L11" i="9" s="1"/>
  <c r="L10" i="9"/>
  <c r="L31" i="3" s="1"/>
  <c r="L34" i="3" s="1"/>
  <c r="X11" i="15" l="1"/>
  <c r="Q17" i="3"/>
  <c r="AH22" i="11"/>
  <c r="Q18" i="3"/>
  <c r="L33" i="3"/>
  <c r="G9" i="4" s="1"/>
  <c r="Y11" i="15" l="1"/>
  <c r="Q20" i="4"/>
  <c r="Q21" i="4"/>
  <c r="L28" i="4"/>
  <c r="Q18" i="4"/>
  <c r="L30" i="4"/>
  <c r="Z11" i="15" l="1"/>
  <c r="AH24" i="11"/>
  <c r="G10" i="4"/>
  <c r="G13" i="4" s="1"/>
  <c r="L41" i="4" s="1"/>
  <c r="L31" i="4"/>
  <c r="AA11" i="15" l="1"/>
  <c r="AB11" i="15" l="1"/>
  <c r="AC11" i="15" l="1"/>
  <c r="AD11" i="15" l="1"/>
  <c r="AE11" i="15" l="1"/>
  <c r="AF11" i="15" l="1"/>
  <c r="AG11" i="15" l="1"/>
  <c r="AH11" i="15" l="1"/>
  <c r="AI11" i="15" l="1"/>
  <c r="AJ11" i="15" l="1"/>
  <c r="AK11" i="15" l="1"/>
  <c r="AL11" i="15" l="1"/>
  <c r="AM11" i="15" l="1"/>
  <c r="AN11" i="15" l="1"/>
  <c r="AO11" i="15" l="1"/>
  <c r="AP11" i="15" l="1"/>
  <c r="AQ11" i="15" l="1"/>
  <c r="AR11" i="15" l="1"/>
  <c r="AS11" i="15" l="1"/>
  <c r="AT11" i="15" l="1"/>
  <c r="AU11" i="15" l="1"/>
  <c r="AV11" i="15" l="1"/>
  <c r="AW11" i="15" l="1"/>
  <c r="AX11" i="15" l="1"/>
  <c r="AY11" i="15" l="1"/>
  <c r="AZ11" i="15" l="1"/>
  <c r="BA11" i="15" l="1"/>
  <c r="BB11" i="15" l="1"/>
  <c r="BC11" i="15" l="1"/>
  <c r="BD11" i="15" l="1"/>
  <c r="BE11" i="15" l="1"/>
  <c r="BF11" i="15" l="1"/>
  <c r="BG11" i="15" l="1"/>
  <c r="BH11" i="15" l="1"/>
  <c r="BI11" i="15" l="1"/>
  <c r="BJ11" i="15" l="1"/>
  <c r="BK11" i="15" l="1"/>
  <c r="BL11" i="15" l="1"/>
  <c r="BM11" i="15" l="1"/>
  <c r="BN11" i="15" l="1"/>
  <c r="BO11" i="15" l="1"/>
  <c r="BP11" i="15" l="1"/>
  <c r="BQ11" i="15" l="1"/>
  <c r="BR11" i="15" l="1"/>
  <c r="C83" i="7"/>
  <c r="H83" i="7" s="1"/>
  <c r="BQ21" i="15" s="1"/>
  <c r="I83" i="7" l="1"/>
  <c r="BR21" i="15" s="1"/>
  <c r="H87" i="7"/>
  <c r="H85" i="7"/>
  <c r="BS11" i="15"/>
  <c r="H89" i="7" l="1"/>
  <c r="H91" i="7" s="1"/>
  <c r="BQ15" i="15"/>
  <c r="BQ23" i="15" s="1"/>
  <c r="BQ25" i="15" s="1"/>
  <c r="J83" i="7"/>
  <c r="BS21" i="15" s="1"/>
  <c r="I87" i="7"/>
  <c r="I85" i="7"/>
  <c r="BT11" i="15"/>
  <c r="K83" i="7" l="1"/>
  <c r="BT21" i="15" s="1"/>
  <c r="J87" i="7"/>
  <c r="J85" i="7"/>
  <c r="BR15" i="15"/>
  <c r="BR23" i="15" s="1"/>
  <c r="BR25" i="15" s="1"/>
  <c r="I89" i="7"/>
  <c r="I91" i="7" s="1"/>
  <c r="BU11" i="15"/>
  <c r="J89" i="7" l="1"/>
  <c r="BS15" i="15"/>
  <c r="BS23" i="15" s="1"/>
  <c r="BS25" i="15" s="1"/>
  <c r="J91" i="7"/>
  <c r="L83" i="7"/>
  <c r="BU21" i="15" s="1"/>
  <c r="K85" i="7"/>
  <c r="K87" i="7"/>
  <c r="BV11" i="15"/>
  <c r="K89" i="7" l="1"/>
  <c r="K91" i="7" s="1"/>
  <c r="BT15" i="15"/>
  <c r="BT23" i="15" s="1"/>
  <c r="BT25" i="15" s="1"/>
  <c r="M83" i="7"/>
  <c r="BV21" i="15" s="1"/>
  <c r="L85" i="7"/>
  <c r="L87" i="7"/>
  <c r="BW11" i="15"/>
  <c r="N83" i="7" l="1"/>
  <c r="BW21" i="15" s="1"/>
  <c r="M87" i="7"/>
  <c r="M85" i="7"/>
  <c r="BU15" i="15"/>
  <c r="BU23" i="15" s="1"/>
  <c r="BU25" i="15" s="1"/>
  <c r="L89" i="7"/>
  <c r="L91" i="7" s="1"/>
  <c r="BX11" i="15"/>
  <c r="M89" i="7" l="1"/>
  <c r="M91" i="7" s="1"/>
  <c r="BV15" i="15"/>
  <c r="BV23" i="15" s="1"/>
  <c r="BV25" i="15" s="1"/>
  <c r="O83" i="7"/>
  <c r="BX21" i="15" s="1"/>
  <c r="N85" i="7"/>
  <c r="N87" i="7"/>
  <c r="BY11" i="15"/>
  <c r="N89" i="7" l="1"/>
  <c r="N91" i="7" s="1"/>
  <c r="BW15" i="15"/>
  <c r="BW23" i="15" s="1"/>
  <c r="BW25" i="15" s="1"/>
  <c r="P83" i="7"/>
  <c r="BY21" i="15" s="1"/>
  <c r="O85" i="7"/>
  <c r="O87" i="7"/>
  <c r="BZ11" i="15"/>
  <c r="O89" i="7" l="1"/>
  <c r="O91" i="7" s="1"/>
  <c r="BX15" i="15"/>
  <c r="BX23" i="15" s="1"/>
  <c r="BX25" i="15" s="1"/>
  <c r="Q83" i="7"/>
  <c r="BZ21" i="15" s="1"/>
  <c r="P87" i="7"/>
  <c r="P85" i="7"/>
  <c r="CA11" i="15"/>
  <c r="AN83" i="7" l="1"/>
  <c r="R83" i="7"/>
  <c r="CA21" i="15" s="1"/>
  <c r="Q87" i="7"/>
  <c r="Q85" i="7"/>
  <c r="P89" i="7"/>
  <c r="P91" i="7" s="1"/>
  <c r="BY15" i="15"/>
  <c r="BY23" i="15" s="1"/>
  <c r="BY25" i="15" s="1"/>
  <c r="CB11" i="15"/>
  <c r="BZ15" i="15" l="1"/>
  <c r="BZ23" i="15" s="1"/>
  <c r="BZ25" i="15" s="1"/>
  <c r="Q89" i="7"/>
  <c r="Q91" i="7" s="1"/>
  <c r="S83" i="7"/>
  <c r="CB21" i="15" s="1"/>
  <c r="R87" i="7"/>
  <c r="R85" i="7"/>
  <c r="CC11" i="15"/>
  <c r="T83" i="7" l="1"/>
  <c r="CC21" i="15" s="1"/>
  <c r="S87" i="7"/>
  <c r="S85" i="7"/>
  <c r="R89" i="7"/>
  <c r="R91" i="7" s="1"/>
  <c r="CA15" i="15"/>
  <c r="CA23" i="15" s="1"/>
  <c r="CA25" i="15" s="1"/>
  <c r="CD11" i="15"/>
  <c r="S89" i="7" l="1"/>
  <c r="S91" i="7" s="1"/>
  <c r="CB15" i="15"/>
  <c r="CB23" i="15" s="1"/>
  <c r="CB25" i="15" s="1"/>
  <c r="U83" i="7"/>
  <c r="CD21" i="15" s="1"/>
  <c r="T87" i="7"/>
  <c r="T85" i="7"/>
  <c r="CE11" i="15"/>
  <c r="V83" i="7" l="1"/>
  <c r="CE21" i="15" s="1"/>
  <c r="U87" i="7"/>
  <c r="U85" i="7"/>
  <c r="T89" i="7"/>
  <c r="T91" i="7" s="1"/>
  <c r="CC15" i="15"/>
  <c r="CC23" i="15" s="1"/>
  <c r="CC25" i="15" s="1"/>
  <c r="CF11" i="15"/>
  <c r="U89" i="7" l="1"/>
  <c r="U91" i="7" s="1"/>
  <c r="CD15" i="15"/>
  <c r="CD23" i="15" s="1"/>
  <c r="CD25" i="15" s="1"/>
  <c r="W83" i="7"/>
  <c r="CF21" i="15" s="1"/>
  <c r="V85" i="7"/>
  <c r="V87" i="7"/>
  <c r="CG11" i="15"/>
  <c r="V89" i="7" l="1"/>
  <c r="V91" i="7" s="1"/>
  <c r="CE15" i="15"/>
  <c r="CE23" i="15" s="1"/>
  <c r="CE25" i="15" s="1"/>
  <c r="X83" i="7"/>
  <c r="CG21" i="15" s="1"/>
  <c r="W85" i="7"/>
  <c r="W87" i="7"/>
  <c r="CH11" i="15"/>
  <c r="CF15" i="15" l="1"/>
  <c r="CF23" i="15" s="1"/>
  <c r="CF25" i="15" s="1"/>
  <c r="W89" i="7"/>
  <c r="W91" i="7" s="1"/>
  <c r="Y83" i="7"/>
  <c r="CH21" i="15" s="1"/>
  <c r="X85" i="7"/>
  <c r="X87" i="7"/>
  <c r="CI11" i="15"/>
  <c r="X89" i="7" l="1"/>
  <c r="X91" i="7" s="1"/>
  <c r="CG15" i="15"/>
  <c r="CG23" i="15" s="1"/>
  <c r="CG25" i="15" s="1"/>
  <c r="Z83" i="7"/>
  <c r="CI21" i="15" s="1"/>
  <c r="Y87" i="7"/>
  <c r="Y85" i="7"/>
  <c r="CJ11" i="15"/>
  <c r="AA83" i="7" l="1"/>
  <c r="CJ21" i="15" s="1"/>
  <c r="Z87" i="7"/>
  <c r="Z85" i="7"/>
  <c r="CH15" i="15"/>
  <c r="CH23" i="15" s="1"/>
  <c r="CH25" i="15" s="1"/>
  <c r="Y89" i="7"/>
  <c r="Y91" i="7" s="1"/>
  <c r="CK11" i="15"/>
  <c r="Z89" i="7" l="1"/>
  <c r="Z91" i="7" s="1"/>
  <c r="CI15" i="15"/>
  <c r="CI23" i="15" s="1"/>
  <c r="CI25" i="15" s="1"/>
  <c r="AB83" i="7"/>
  <c r="CK21" i="15" s="1"/>
  <c r="AA87" i="7"/>
  <c r="AA85" i="7"/>
  <c r="CL11" i="15"/>
  <c r="AA89" i="7" l="1"/>
  <c r="AA91" i="7" s="1"/>
  <c r="CJ15" i="15"/>
  <c r="CJ23" i="15" s="1"/>
  <c r="CJ25" i="15" s="1"/>
  <c r="AC83" i="7"/>
  <c r="CL21" i="15" s="1"/>
  <c r="AB85" i="7"/>
  <c r="AB87" i="7"/>
  <c r="CM11" i="15"/>
  <c r="AB89" i="7" l="1"/>
  <c r="AB91" i="7" s="1"/>
  <c r="CK15" i="15"/>
  <c r="CK23" i="15" s="1"/>
  <c r="CK25" i="15" s="1"/>
  <c r="AD83" i="7"/>
  <c r="CM21" i="15" s="1"/>
  <c r="AC87" i="7"/>
  <c r="AC85" i="7"/>
  <c r="CN11" i="15"/>
  <c r="AC89" i="7" l="1"/>
  <c r="AC91" i="7" s="1"/>
  <c r="CL15" i="15"/>
  <c r="CL23" i="15" s="1"/>
  <c r="CL25" i="15" s="1"/>
  <c r="AE83" i="7"/>
  <c r="CN21" i="15" s="1"/>
  <c r="AD85" i="7"/>
  <c r="AD87" i="7"/>
  <c r="CO11" i="15"/>
  <c r="AF83" i="7" l="1"/>
  <c r="CO21" i="15" s="1"/>
  <c r="AE87" i="7"/>
  <c r="AE85" i="7"/>
  <c r="CM15" i="15"/>
  <c r="CM23" i="15" s="1"/>
  <c r="CM25" i="15" s="1"/>
  <c r="AD89" i="7"/>
  <c r="AD91" i="7" s="1"/>
  <c r="CP11" i="15"/>
  <c r="AE89" i="7" l="1"/>
  <c r="AE91" i="7" s="1"/>
  <c r="CN15" i="15"/>
  <c r="CN23" i="15" s="1"/>
  <c r="CN25" i="15" s="1"/>
  <c r="AG83" i="7"/>
  <c r="CP21" i="15" s="1"/>
  <c r="AF87" i="7"/>
  <c r="AF85" i="7"/>
  <c r="CQ11" i="15"/>
  <c r="AF89" i="7" l="1"/>
  <c r="AF91" i="7" s="1"/>
  <c r="CO15" i="15"/>
  <c r="CO23" i="15" s="1"/>
  <c r="CO25" i="15" s="1"/>
  <c r="AH83" i="7"/>
  <c r="CQ21" i="15" s="1"/>
  <c r="AG87" i="7"/>
  <c r="AG85" i="7"/>
  <c r="CR11" i="15"/>
  <c r="AG89" i="7" l="1"/>
  <c r="CP15" i="15"/>
  <c r="CP23" i="15" s="1"/>
  <c r="CP25" i="15" s="1"/>
  <c r="AI83" i="7"/>
  <c r="CR21" i="15" s="1"/>
  <c r="AH85" i="7"/>
  <c r="AH87" i="7"/>
  <c r="AG91" i="7"/>
  <c r="AI87" i="7" l="1"/>
  <c r="AI85" i="7"/>
  <c r="AH89" i="7"/>
  <c r="AH91" i="7" s="1"/>
  <c r="CQ15" i="15"/>
  <c r="CQ23" i="15" s="1"/>
  <c r="CQ25" i="15" s="1"/>
  <c r="AI89" i="7" l="1"/>
  <c r="AI91" i="7" s="1"/>
  <c r="CR15" i="15"/>
  <c r="CR23" i="15" s="1"/>
  <c r="CR25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Dawid Lazaj</author>
  </authors>
  <commentList>
    <comment ref="H185" authorId="0" shapeId="0" xr:uid="{3236B57A-9DCE-0747-A838-2AA7405058EE}">
      <text>
        <r>
          <rPr>
            <b/>
            <sz val="9"/>
            <color rgb="FF000000"/>
            <rFont val="Tahoma"/>
            <family val="2"/>
          </rPr>
          <t>Dawid Lazaj: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That would add up since Xilinx Zynq UltraScale+ MPSoC XCZU5EV FPGA Development Board costs around 1.1 k$, and has 256k system logic cells.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<sst xmlns="http://schemas.openxmlformats.org/spreadsheetml/2006/main" count="2727" uniqueCount="1665">
  <si>
    <t>Space Data Center Performance Evaluation and Benchmarking</t>
  </si>
  <si>
    <t>Value</t>
  </si>
  <si>
    <t>Default</t>
  </si>
  <si>
    <t>Delta to Use Case Requirement</t>
  </si>
  <si>
    <t>Single Client Object Size (MB)</t>
  </si>
  <si>
    <t>MB</t>
  </si>
  <si>
    <t>Inter-SDC P2P bandwidth</t>
  </si>
  <si>
    <t>Gbitps</t>
  </si>
  <si>
    <t>N.A.</t>
  </si>
  <si>
    <t>Per Client Recurrency</t>
  </si>
  <si>
    <t xml:space="preserve">SDC Node Aggregated Compute </t>
  </si>
  <si>
    <t>Compute Intensity</t>
  </si>
  <si>
    <t>Gflop/MB</t>
  </si>
  <si>
    <t>SDC Memory Req.</t>
  </si>
  <si>
    <t>Gbyte</t>
  </si>
  <si>
    <t>Network Intensity</t>
  </si>
  <si>
    <t>Power for Compute Payload</t>
  </si>
  <si>
    <t>Watt</t>
  </si>
  <si>
    <t>Communication Encryption</t>
  </si>
  <si>
    <t>Not implemented yet</t>
  </si>
  <si>
    <t>Power for Communication</t>
  </si>
  <si>
    <t>Cost per TOps</t>
  </si>
  <si>
    <t>Euro/$</t>
  </si>
  <si>
    <t>Power per Compute</t>
  </si>
  <si>
    <t>Watt/TOps</t>
  </si>
  <si>
    <t>Cost per Power</t>
  </si>
  <si>
    <t>Euro/Kilowatt</t>
  </si>
  <si>
    <t>Toplevel Architecture</t>
  </si>
  <si>
    <t>LEO Orbit</t>
  </si>
  <si>
    <t>km</t>
  </si>
  <si>
    <t>Clients at the time</t>
  </si>
  <si>
    <t>Gbps</t>
  </si>
  <si>
    <t>Switch/Network Type</t>
  </si>
  <si>
    <t>In-Orbit Maintenance</t>
  </si>
  <si>
    <t>SW defined Reconfiguration</t>
  </si>
  <si>
    <t>Interactive Dependency Study</t>
  </si>
  <si>
    <t>Compute Rack/Pod Configuration</t>
  </si>
  <si>
    <t>Total Memory</t>
  </si>
  <si>
    <t>GigaByte</t>
  </si>
  <si>
    <t>Homomorphic Computation</t>
  </si>
  <si>
    <t>%</t>
  </si>
  <si>
    <t>Software Stack &amp; Workload &amp; Data Flow (Management)</t>
  </si>
  <si>
    <t>OS</t>
  </si>
  <si>
    <t>VM/Container/…</t>
  </si>
  <si>
    <t>Use-Case 1</t>
  </si>
  <si>
    <t>Use-Case 2</t>
  </si>
  <si>
    <t>Use-Case 3</t>
  </si>
  <si>
    <t>User Def. 1</t>
  </si>
  <si>
    <t>User Def. 2</t>
  </si>
  <si>
    <t>Default Values</t>
  </si>
  <si>
    <t>Tbps</t>
  </si>
  <si>
    <t>Year</t>
  </si>
  <si>
    <t>Unit</t>
  </si>
  <si>
    <t>Comments</t>
  </si>
  <si>
    <t>Constants:</t>
  </si>
  <si>
    <t>Compute</t>
  </si>
  <si>
    <t>Earth Mass</t>
  </si>
  <si>
    <t>kg</t>
  </si>
  <si>
    <t>Total Compute per Reference Workload</t>
  </si>
  <si>
    <t>GFLOPS</t>
  </si>
  <si>
    <t>Earth Radius</t>
  </si>
  <si>
    <t>m</t>
  </si>
  <si>
    <t>GBYTE</t>
  </si>
  <si>
    <t>Gravitational Constant</t>
  </si>
  <si>
    <t>Days per year</t>
  </si>
  <si>
    <t>#</t>
  </si>
  <si>
    <t>Mass Storage</t>
  </si>
  <si>
    <t>Hours per day</t>
  </si>
  <si>
    <t>Total Storage per Reference Workload</t>
  </si>
  <si>
    <t>TBYTE</t>
  </si>
  <si>
    <t>Freezing Point of Water</t>
  </si>
  <si>
    <t>Kelvin</t>
  </si>
  <si>
    <t>Background Temperature</t>
  </si>
  <si>
    <t>Boltzmann Constant</t>
  </si>
  <si>
    <t>W/m2/K4</t>
  </si>
  <si>
    <t>Estimated Internode Bandwidth</t>
  </si>
  <si>
    <t>Arbitrary</t>
  </si>
  <si>
    <t>Solar Radiation in LEO</t>
  </si>
  <si>
    <t>W/m2</t>
  </si>
  <si>
    <t>Estimated Inter-SDC Bandwidth</t>
  </si>
  <si>
    <t>Architecture &amp; Constellation Parameters</t>
  </si>
  <si>
    <t>Number of LEO SDCs</t>
  </si>
  <si>
    <t>Equal Spacing</t>
  </si>
  <si>
    <t>LEO Orbital Period</t>
  </si>
  <si>
    <t>min</t>
  </si>
  <si>
    <t>GEO Orbit</t>
  </si>
  <si>
    <t>GPU</t>
  </si>
  <si>
    <t>Compute per Node</t>
  </si>
  <si>
    <t>Memory per Node</t>
  </si>
  <si>
    <t>Storage Capacity per Node</t>
  </si>
  <si>
    <t>hours</t>
  </si>
  <si>
    <t>Network Buffer Memory</t>
  </si>
  <si>
    <t>Total Number of Network Switches</t>
  </si>
  <si>
    <t>Internode Bandwidth within Pod</t>
  </si>
  <si>
    <t>Optical Terminals</t>
  </si>
  <si>
    <t>Number of OTIO Terminals</t>
  </si>
  <si>
    <t>Needs discussion</t>
  </si>
  <si>
    <t>Bandwidth of OTIO Terminals</t>
  </si>
  <si>
    <t>arbitrary vs. workload?</t>
  </si>
  <si>
    <t>Number of OTGS Terminals</t>
  </si>
  <si>
    <t>Bandwidth of OTGS Terminal</t>
  </si>
  <si>
    <t>arbitrary vs. use-case?</t>
  </si>
  <si>
    <t>Link Distance of OTGS Terminal</t>
  </si>
  <si>
    <t>arbitrary (needs verification!!)</t>
  </si>
  <si>
    <t>System vs. Payload Power</t>
  </si>
  <si>
    <t>Battery required charging cycles</t>
  </si>
  <si>
    <t>Lifetime cycles</t>
  </si>
  <si>
    <t>Solar Cell Capacity Reserve</t>
  </si>
  <si>
    <t>Minimum Component Temperature</t>
  </si>
  <si>
    <t>Maximum Component Temperature</t>
  </si>
  <si>
    <t>System Life-Expectancy</t>
  </si>
  <si>
    <t>year</t>
  </si>
  <si>
    <t>SDC Satellite Surface to Weight Ratio</t>
  </si>
  <si>
    <t>m^2/kg</t>
  </si>
  <si>
    <t>Structural Mass Fraction</t>
  </si>
  <si>
    <t>Reference Technology Values for Sim - Values used in Scenario!</t>
  </si>
  <si>
    <t>YEAR</t>
  </si>
  <si>
    <t>Performance Doubling Every XY Years</t>
  </si>
  <si>
    <t>Power per Compute:</t>
  </si>
  <si>
    <t>CPU Specific Performance</t>
  </si>
  <si>
    <t>W/GFLOPS</t>
  </si>
  <si>
    <t>CPU</t>
  </si>
  <si>
    <t>GPU Specific Performance</t>
  </si>
  <si>
    <t>FPGA Specific Performance</t>
  </si>
  <si>
    <t>FPGA</t>
  </si>
  <si>
    <t>ASIC Specific Performance (e.g. TPU)</t>
  </si>
  <si>
    <t>ASIC</t>
  </si>
  <si>
    <t>https://www.nextbigfuture.com/2021/04/tsmc-roadmap-to-one-million-times-better-energy-efficient-compute-performance-by-2040.html</t>
  </si>
  <si>
    <t>Quantum Specific Performance</t>
  </si>
  <si>
    <t>Assume Start in 2030</t>
  </si>
  <si>
    <t>Quantum</t>
  </si>
  <si>
    <t>Cost per Compute:</t>
  </si>
  <si>
    <t>CPU Specific Cost</t>
  </si>
  <si>
    <t>$/GFLOPS</t>
  </si>
  <si>
    <t>GPU Specific Cost</t>
  </si>
  <si>
    <t>See figure: "Empirical GPU Flops per dollar</t>
  </si>
  <si>
    <t>FPGA Specific Cost</t>
  </si>
  <si>
    <t>ASIC Specific Cost</t>
  </si>
  <si>
    <t>Quantum Specific Cost</t>
  </si>
  <si>
    <t>Weight per Compute:</t>
  </si>
  <si>
    <t>CPU Specific Weight</t>
  </si>
  <si>
    <t>kg/TOps</t>
  </si>
  <si>
    <t>GPU Specific Weight</t>
  </si>
  <si>
    <t>FPGA Specific Weight</t>
  </si>
  <si>
    <t>ASIC Specific Weight</t>
  </si>
  <si>
    <t>Quantum Specific Weight</t>
  </si>
  <si>
    <t>Cost per Memory</t>
  </si>
  <si>
    <t>$/GBYTE</t>
  </si>
  <si>
    <t>Memory per Module</t>
  </si>
  <si>
    <t>Mass (Storage_)</t>
  </si>
  <si>
    <t>Terabyte per module</t>
  </si>
  <si>
    <t>Cost per Capacity</t>
  </si>
  <si>
    <t>$/TBYTE</t>
  </si>
  <si>
    <t>Weight per Capacity</t>
  </si>
  <si>
    <t>g/TBYTE</t>
  </si>
  <si>
    <t>Power per Capacity</t>
  </si>
  <si>
    <t>W/TBYTE</t>
  </si>
  <si>
    <t>Network/Switch (Network_)</t>
  </si>
  <si>
    <t>Power per Capacity per Port</t>
  </si>
  <si>
    <t>W/Gbps/Port</t>
  </si>
  <si>
    <t>Cost per Capacity per Port</t>
  </si>
  <si>
    <t>$/Gbps/Port</t>
  </si>
  <si>
    <t>Weight per Port</t>
  </si>
  <si>
    <t>g/Port</t>
  </si>
  <si>
    <t>In-Orbit (OTIO_):</t>
  </si>
  <si>
    <t>Max Range of optical Terminal</t>
  </si>
  <si>
    <t>SCOT80</t>
  </si>
  <si>
    <t>Maximum Datarate</t>
  </si>
  <si>
    <t>Max. Simultaneous Connections</t>
  </si>
  <si>
    <t>Power per Data Rate per Distance</t>
  </si>
  <si>
    <t>W/Gbps/km</t>
  </si>
  <si>
    <t>Weight per Data Rate per Distance</t>
  </si>
  <si>
    <t>kg/Gbps/km</t>
  </si>
  <si>
    <t>Cost per Data Rate per Distance</t>
  </si>
  <si>
    <t>Euro/Gbps/km</t>
  </si>
  <si>
    <t>30k Assumption</t>
  </si>
  <si>
    <t>To-Ground (OTGS_):</t>
  </si>
  <si>
    <t>50k assumption</t>
  </si>
  <si>
    <t>Power Generation, Delivery, Conversion &amp; Buffering (Power_)</t>
  </si>
  <si>
    <t>Conversion Efficiency</t>
  </si>
  <si>
    <t>Conversion Weight per Power</t>
  </si>
  <si>
    <t>g/W</t>
  </si>
  <si>
    <t>Conversion Cost per Power</t>
  </si>
  <si>
    <t>Euro/W</t>
  </si>
  <si>
    <t>(Battery_)</t>
  </si>
  <si>
    <t>Buffering Storing Cycle Efficiency</t>
  </si>
  <si>
    <t>At End of Life</t>
  </si>
  <si>
    <t>Buffering Number of (Re-)Charging Cycles</t>
  </si>
  <si>
    <t>This is critical</t>
  </si>
  <si>
    <t>https://www.saft.com/media-resources/knowledge-hub/technical-articles/horizon-new-lithium-based-technology-satellite</t>
  </si>
  <si>
    <t>Depth of Discharge (DoD)</t>
  </si>
  <si>
    <t>linked with Cycles</t>
  </si>
  <si>
    <t>Buffering Storing Weight Efficiency</t>
  </si>
  <si>
    <t>g/Wh</t>
  </si>
  <si>
    <t>Saft LTO LEO</t>
  </si>
  <si>
    <t>https://energymag.net/dod-depth-of-discharge/</t>
  </si>
  <si>
    <t>Buffer Storing Cost Efficiency</t>
  </si>
  <si>
    <t>Euro/Wh</t>
  </si>
  <si>
    <t>Photo Voltaic (PV_)</t>
  </si>
  <si>
    <t>Solar Cell Efficiency</t>
  </si>
  <si>
    <t>Rollable polymer</t>
  </si>
  <si>
    <t>linear growth of 10% points</t>
  </si>
  <si>
    <t>Solar Cell Power per Area</t>
  </si>
  <si>
    <t>Solar Cell Weight per Area</t>
  </si>
  <si>
    <t>kg/m2</t>
  </si>
  <si>
    <t>Solar Cell Cost per Area</t>
  </si>
  <si>
    <t>Euro/m2</t>
  </si>
  <si>
    <t>Distribution</t>
  </si>
  <si>
    <t>Power Cable Harness Specific Weight</t>
  </si>
  <si>
    <t>kg/kW</t>
  </si>
  <si>
    <t>Just guessing</t>
  </si>
  <si>
    <t>Power Cable Harness Specific Cost</t>
  </si>
  <si>
    <t>Euro/kW</t>
  </si>
  <si>
    <t>econ. of scale?</t>
  </si>
  <si>
    <t>Thermal Management (very much simplified!)</t>
  </si>
  <si>
    <t>Radiator Efficiency w.r. to BB-Radiator</t>
  </si>
  <si>
    <t>Specific Radiator Weight</t>
  </si>
  <si>
    <t>kg/m^2</t>
  </si>
  <si>
    <t>Specific Radiator Cost</t>
  </si>
  <si>
    <t>Euro/kg</t>
  </si>
  <si>
    <t>Mostly Structural Cost</t>
  </si>
  <si>
    <t>Blanket Thermal Conductivity</t>
  </si>
  <si>
    <t>W/(m/K)</t>
  </si>
  <si>
    <t>MLI</t>
  </si>
  <si>
    <t>https://aerospacefab.com/wp-content/uploads/2023/10/AFM_MarketingFlyer_R230920.pdf</t>
  </si>
  <si>
    <t>Blanket Specific Weight</t>
  </si>
  <si>
    <t>No relevant weight</t>
  </si>
  <si>
    <t>Blanket Specific Cost</t>
  </si>
  <si>
    <t>Eur/m^2</t>
  </si>
  <si>
    <t>Just guesing</t>
  </si>
  <si>
    <t>General</t>
  </si>
  <si>
    <t>Launch Cost to LEO per kg</t>
  </si>
  <si>
    <t>Launch cost to GEO per kg</t>
  </si>
  <si>
    <t>NRE for designing an SDC</t>
  </si>
  <si>
    <t>Euro/Dollar</t>
  </si>
  <si>
    <t>AI and tools</t>
  </si>
  <si>
    <t>Starlink Download Cost</t>
  </si>
  <si>
    <t>$/GByte</t>
  </si>
  <si>
    <t>https://mikepuchol.medium.com/modeling-starlink-capacity-843b2387f501#:~:text=The%20maximum%20bandwidth%20available%20to,uplink%20(total%20500%20MHz).</t>
  </si>
  <si>
    <t>Starlink Aggregated Downlink Capacity</t>
  </si>
  <si>
    <t>Gbit/s</t>
  </si>
  <si>
    <t>150 Starlink Gateways x 20 Gbps</t>
  </si>
  <si>
    <t>OneWeb Download Cost</t>
  </si>
  <si>
    <t>$/Gbyte</t>
  </si>
  <si>
    <t>OneWeb Aggregated Downlink Capacity</t>
  </si>
  <si>
    <t>https://www.groundcontrol.com/us/knowledge/calculators-and-maps/oneweb-coverage-map/</t>
  </si>
  <si>
    <t>Generic Download Cost per Data Volume</t>
  </si>
  <si>
    <t>Generic Aggregated Download Capacity</t>
  </si>
  <si>
    <t>https://www.researchgate.net/publication/331795087_A_technical_comparison_of_three_low_earth_orbit_satellite_constellation_systems_to_provide_global_broadband/figures?lo=1</t>
  </si>
  <si>
    <t>TByte/s</t>
  </si>
  <si>
    <t>Total Volume All (commercial) Sats</t>
  </si>
  <si>
    <t>CPU throughput at the maximum clock frequency</t>
  </si>
  <si>
    <t>TFLOPS</t>
  </si>
  <si>
    <t>CPU throughput per mm2</t>
  </si>
  <si>
    <t>TOPS/mm2</t>
  </si>
  <si>
    <t>CPU throughput per W</t>
  </si>
  <si>
    <t>TOPS/W</t>
  </si>
  <si>
    <t>CPU throughput per mm2*W</t>
  </si>
  <si>
    <t>TOPS/mm2 * TOPS/W</t>
  </si>
  <si>
    <t>FP64 Performance</t>
  </si>
  <si>
    <t>FLOPS</t>
  </si>
  <si>
    <t>FP32 Performance</t>
  </si>
  <si>
    <t>FP16 Performance</t>
  </si>
  <si>
    <t>Memory size per board</t>
  </si>
  <si>
    <t>Byte</t>
  </si>
  <si>
    <t>Memory Bandwidth</t>
  </si>
  <si>
    <t>Bps</t>
  </si>
  <si>
    <t>FP64 $/GFLOP</t>
  </si>
  <si>
    <t>$/GFLOP</t>
  </si>
  <si>
    <t>FP32 $/GFLOP</t>
  </si>
  <si>
    <t>FP16 $/GFLOP</t>
  </si>
  <si>
    <t>$/Byte</t>
  </si>
  <si>
    <t>$/Bps</t>
  </si>
  <si>
    <t>GPU with HBM throughput (FP64)</t>
  </si>
  <si>
    <t>GPU with HBM throughput (FP32)</t>
  </si>
  <si>
    <t>GPU with HBM throughput (FP16)</t>
  </si>
  <si>
    <t>GPU with HBM throughput (INT8)</t>
  </si>
  <si>
    <t>TOPS</t>
  </si>
  <si>
    <t>HBM performance</t>
  </si>
  <si>
    <t>TBps</t>
  </si>
  <si>
    <t>Xilinx FPGA speed</t>
  </si>
  <si>
    <t>same function performance in programmable fabric</t>
  </si>
  <si>
    <t>Xilinx FPGA capacity</t>
  </si>
  <si>
    <t>logic cell count</t>
  </si>
  <si>
    <t>Xilinx FPGA power (scaled up by 10,000)</t>
  </si>
  <si>
    <t>W/cell</t>
  </si>
  <si>
    <t>Xilinx FPGA cell price (scaled up by 10,000)</t>
  </si>
  <si>
    <t>$/cell</t>
  </si>
  <si>
    <t xml:space="preserve">Xilinx FPGA price  </t>
  </si>
  <si>
    <t>k$</t>
  </si>
  <si>
    <t>NAND bit density</t>
  </si>
  <si>
    <t>Gb/mm2</t>
  </si>
  <si>
    <t>NAND</t>
  </si>
  <si>
    <t>Training costs of the most expensive training run growth rate (3.1x/year)</t>
  </si>
  <si>
    <t>USD</t>
  </si>
  <si>
    <t>AI</t>
  </si>
  <si>
    <t>Training costs for large-scale models growth rate (1.6x/year)</t>
  </si>
  <si>
    <t>GEO system throughput</t>
  </si>
  <si>
    <t>RF</t>
  </si>
  <si>
    <t>LEO throughput per satellite</t>
  </si>
  <si>
    <t>LEO system throughput</t>
  </si>
  <si>
    <t>Capacity of optical communication system (WDM)</t>
  </si>
  <si>
    <t>optical</t>
  </si>
  <si>
    <t>Capacity of optical communication system (TDM)</t>
  </si>
  <si>
    <t>Capacity of optical communication system (SDM)</t>
  </si>
  <si>
    <t>Solar cells efficiency (Si:H - amorphous)</t>
  </si>
  <si>
    <t>solar</t>
  </si>
  <si>
    <t>Solar cells efficiency (Si - single crystal)</t>
  </si>
  <si>
    <t>Solar cells efficiency (Si - multicrystalline)</t>
  </si>
  <si>
    <t>Solar cells efficiency (Si - heterostructures)</t>
  </si>
  <si>
    <t>Solar cells efficiency (Cd-Te)</t>
  </si>
  <si>
    <t>Solar cells efficiency (CIGS)</t>
  </si>
  <si>
    <t>Solar cells efficiency (DSSCs)</t>
  </si>
  <si>
    <t>Solar cells efficiency (OSCs)</t>
  </si>
  <si>
    <t>Solar cells efficiency (perovskite)</t>
  </si>
  <si>
    <t>https://www.ericsson.com/en/reports-and-papers/mobility-report/dataforecasts/mobile-traffic-forecast</t>
  </si>
  <si>
    <t>This is the summary of the entire Constellation</t>
  </si>
  <si>
    <t>Requirements from Workloads for individual Satellites … later also distributed workload requirements</t>
  </si>
  <si>
    <t>IN</t>
  </si>
  <si>
    <t>Temp</t>
  </si>
  <si>
    <t>Out (To SDC Satellite)</t>
  </si>
  <si>
    <t>In from SDC Satellite (by global reference)</t>
  </si>
  <si>
    <t>INPUT (link to Workload Requirements)</t>
  </si>
  <si>
    <t>Intermediate Results (Local Satellite-Model)</t>
  </si>
  <si>
    <t>Forward To Lower</t>
  </si>
  <si>
    <t>Results from Submodules</t>
  </si>
  <si>
    <t>Units</t>
  </si>
  <si>
    <t>Workload Specifics:</t>
  </si>
  <si>
    <t>Cost Overview:</t>
  </si>
  <si>
    <t>Aggregated FOMs</t>
  </si>
  <si>
    <t>Workload Compute Requirements</t>
  </si>
  <si>
    <t>Aggregated Cost per Satellite</t>
  </si>
  <si>
    <t>SDC-Payload Specific:</t>
  </si>
  <si>
    <t>Workload Memory Requirements</t>
  </si>
  <si>
    <t>Launch Cost</t>
  </si>
  <si>
    <t>Compute Capacity</t>
  </si>
  <si>
    <t>Workload Storage Requirements</t>
  </si>
  <si>
    <t>Number of Satellites</t>
  </si>
  <si>
    <t>Memory Capacity</t>
  </si>
  <si>
    <t>Workload Internode BW Estimation</t>
  </si>
  <si>
    <t>Gbbps</t>
  </si>
  <si>
    <t>NRE (Design, Tools etc.)</t>
  </si>
  <si>
    <t>Storage Capacity</t>
  </si>
  <si>
    <t>Workload Inter-Satellite BW Estimation</t>
  </si>
  <si>
    <t>Constellation Deployment Cost</t>
  </si>
  <si>
    <t>Aggregated Network Bandwidth External</t>
  </si>
  <si>
    <t>Power Budget Payload</t>
  </si>
  <si>
    <t>W</t>
  </si>
  <si>
    <t>System/Design Specifics:</t>
  </si>
  <si>
    <t>Performance Overview:</t>
  </si>
  <si>
    <t>System Specifics:</t>
  </si>
  <si>
    <t>Structural Mass-Fraction</t>
  </si>
  <si>
    <t>Could als be TR</t>
  </si>
  <si>
    <t>Aggregated Compute</t>
  </si>
  <si>
    <t>Entire Satellite:</t>
  </si>
  <si>
    <t>Aggregated Memory</t>
  </si>
  <si>
    <t>Estimated Power Budget</t>
  </si>
  <si>
    <t>From PV (sunny side)</t>
  </si>
  <si>
    <t>Aggregated Storage</t>
  </si>
  <si>
    <t>TERABYTE</t>
  </si>
  <si>
    <t>Total Estimated Weight</t>
  </si>
  <si>
    <t>Aggregated Inter-SDC Bandwidth</t>
  </si>
  <si>
    <t>Assuming 1-4 SDC connections</t>
  </si>
  <si>
    <t>Out (to Overview &amp; (time)Series)</t>
  </si>
  <si>
    <t>Total Estimated Volume</t>
  </si>
  <si>
    <t>m^3</t>
  </si>
  <si>
    <t>Serves also as kind of an overview…not all values are used here</t>
  </si>
  <si>
    <t>Aggregated Bandwidth to SDC from Clients</t>
  </si>
  <si>
    <t>Total Estimated BOM Cost</t>
  </si>
  <si>
    <t>Bill of Material only!!</t>
  </si>
  <si>
    <t>Technology Roadmap Parameters</t>
  </si>
  <si>
    <t>Per Spacecraft (SDC Satellite):</t>
  </si>
  <si>
    <t>Launch Cost to GEO per kg</t>
  </si>
  <si>
    <t>x</t>
  </si>
  <si>
    <t>Spacing between Satellites</t>
  </si>
  <si>
    <t>o</t>
  </si>
  <si>
    <t>Inter Satellite Bandwidth</t>
  </si>
  <si>
    <t>Ground Station Link Length</t>
  </si>
  <si>
    <t>Constellation Specific:</t>
  </si>
  <si>
    <t>Total Number of Spacecrafts</t>
  </si>
  <si>
    <t>Non Recurring Cost for Constellation</t>
  </si>
  <si>
    <t>NOT Ground-Segment</t>
  </si>
  <si>
    <t>Overall Compute Capability</t>
  </si>
  <si>
    <t>Total Memory Available</t>
  </si>
  <si>
    <t>Total Storage Available</t>
  </si>
  <si>
    <t>Inter SDC Bandwidth</t>
  </si>
  <si>
    <t>To SDC Upload Bandwidth</t>
  </si>
  <si>
    <t>Constellation Deployment Cost Estimate</t>
  </si>
  <si>
    <t>This is the summary of the entire Satellite, with payload, power, thermal and mechanical systems</t>
  </si>
  <si>
    <t>Requirements from Workload to Payload (SDC_Pod) will mostly feed through with no visibility here!</t>
  </si>
  <si>
    <t>Out (for reference only, as passed by global variables)</t>
  </si>
  <si>
    <t xml:space="preserve"> Power, Thermal and In from SDC Pod (by variable reference)</t>
  </si>
  <si>
    <t>Power &amp; Distribution</t>
  </si>
  <si>
    <t>Total buffer capacity</t>
  </si>
  <si>
    <t>Wh</t>
  </si>
  <si>
    <t>Power Provisioning</t>
  </si>
  <si>
    <t>Power Dissipation</t>
  </si>
  <si>
    <t>Max Dissipation</t>
  </si>
  <si>
    <t>Weight</t>
  </si>
  <si>
    <t>Cost</t>
  </si>
  <si>
    <t>Thermal &amp; Cooling</t>
  </si>
  <si>
    <t>Power Consumption</t>
  </si>
  <si>
    <t>Out (to SDC_Constellation)</t>
  </si>
  <si>
    <t>SDC_Compute_Pod - Aggregation</t>
  </si>
  <si>
    <t>Compute Capacity Target</t>
  </si>
  <si>
    <t>Memory Capacity Target</t>
  </si>
  <si>
    <t>Aggregated Network I BW</t>
  </si>
  <si>
    <t>External</t>
  </si>
  <si>
    <t>Aggregated Network II BW</t>
  </si>
  <si>
    <t>Internal</t>
  </si>
  <si>
    <t>Used Power Budget</t>
  </si>
  <si>
    <t>Small error: Pod Unused</t>
  </si>
  <si>
    <t>???</t>
  </si>
  <si>
    <t>Left for later</t>
  </si>
  <si>
    <t>POD Unused power (Reserve?)</t>
  </si>
  <si>
    <t>Total Estimated Cost</t>
  </si>
  <si>
    <t>This is the summary of the entire SDC Payload Section of the satellite</t>
  </si>
  <si>
    <t>Out to Compute_Storage_Network_Node</t>
  </si>
  <si>
    <t>Return from Compute_Storage_Network Node</t>
  </si>
  <si>
    <t>INPUT (link directly from Requirements_Overview)</t>
  </si>
  <si>
    <t>Intermediate Results (Local Pod-Model)</t>
  </si>
  <si>
    <t>Results from Lower</t>
  </si>
  <si>
    <t>Compute Node</t>
  </si>
  <si>
    <t>Compute per Workload</t>
  </si>
  <si>
    <t>Total Compute Required per Satellite/Pod</t>
  </si>
  <si>
    <t>Power per Node</t>
  </si>
  <si>
    <t>Memory per Workload</t>
  </si>
  <si>
    <t>Total Memory Required per Satellite/Pod</t>
  </si>
  <si>
    <t>GByte</t>
  </si>
  <si>
    <t>Cost per Node</t>
  </si>
  <si>
    <t>Number of Nodes Required</t>
  </si>
  <si>
    <t>(Memory &amp; Compute driven)</t>
  </si>
  <si>
    <t>Weight per Node</t>
  </si>
  <si>
    <t>g</t>
  </si>
  <si>
    <t>Mass Storage Node</t>
  </si>
  <si>
    <t>Capacity per workload</t>
  </si>
  <si>
    <t>Workload Storage Capacity Required</t>
  </si>
  <si>
    <t>Capacity per Node</t>
  </si>
  <si>
    <t>Communication Storage</t>
  </si>
  <si>
    <t>Network/Switch</t>
  </si>
  <si>
    <t>Number of Switches required</t>
  </si>
  <si>
    <t>Number of Ports Required</t>
  </si>
  <si>
    <t>Total Switch Power</t>
  </si>
  <si>
    <t>Internode Bandwidth</t>
  </si>
  <si>
    <t>All to all switch</t>
  </si>
  <si>
    <t>Total Switch Cost</t>
  </si>
  <si>
    <t>Internode Network Buffer Memory</t>
  </si>
  <si>
    <t>Total Switch Weight</t>
  </si>
  <si>
    <t>Optical Terminal</t>
  </si>
  <si>
    <t>Number of inter-Satellite Terminals</t>
  </si>
  <si>
    <t>In-Orbit:</t>
  </si>
  <si>
    <t>Inter-Satellite:</t>
  </si>
  <si>
    <t>Power per Terminal</t>
  </si>
  <si>
    <t>Intersatellite Bandwidth</t>
  </si>
  <si>
    <t>Link Bandwidth</t>
  </si>
  <si>
    <t>Cost per Terminal</t>
  </si>
  <si>
    <t>Number of Ground Station (GS) Terminals</t>
  </si>
  <si>
    <t>Weight per Terminal</t>
  </si>
  <si>
    <t>GS Link Distance</t>
  </si>
  <si>
    <t>GS Bandwidth</t>
  </si>
  <si>
    <t>To-Ground:</t>
  </si>
  <si>
    <t>To Ground Station:</t>
  </si>
  <si>
    <t>Link Distance</t>
  </si>
  <si>
    <t>Other</t>
  </si>
  <si>
    <t>Max number of clients per SDC</t>
  </si>
  <si>
    <t>Sub-System Aggregation Values</t>
  </si>
  <si>
    <t>POD Return (to SDC_Satellite)</t>
  </si>
  <si>
    <t>Power Envelope Perspective (power-limited FOMs)</t>
  </si>
  <si>
    <t>Total Power available for Payload/Pod</t>
  </si>
  <si>
    <t>Available minus system overhead</t>
  </si>
  <si>
    <t>Power Available for Compute and Storage</t>
  </si>
  <si>
    <t>GS-Terminal is neglected, low DutyC</t>
  </si>
  <si>
    <t>Power per Compute Node</t>
  </si>
  <si>
    <t>Maximum Number of Nodes within Power</t>
  </si>
  <si>
    <t>We assume requested SNs will be granted</t>
  </si>
  <si>
    <t>Resulting Available compute capacity</t>
  </si>
  <si>
    <t>GFLOPs</t>
  </si>
  <si>
    <t>Resulting Available Memory capacity</t>
  </si>
  <si>
    <t>Compute/Unit</t>
  </si>
  <si>
    <t>For statistics only</t>
  </si>
  <si>
    <t>Memory/Unit</t>
  </si>
  <si>
    <t>Number of Nodes Available</t>
  </si>
  <si>
    <t>Compute Capacity Required</t>
  </si>
  <si>
    <t>Power of All Compute Nodes</t>
  </si>
  <si>
    <t>Compute Capacity Available</t>
  </si>
  <si>
    <t>Power Limited</t>
  </si>
  <si>
    <t>Cost of All Nodes</t>
  </si>
  <si>
    <t>Memory Capacity Required</t>
  </si>
  <si>
    <t>Weight of All Nodes</t>
  </si>
  <si>
    <t>Memory Capacity Available</t>
  </si>
  <si>
    <t>Storage Capacity Required</t>
  </si>
  <si>
    <t>No power limit applied</t>
  </si>
  <si>
    <t>Power of All Storage Nodes</t>
  </si>
  <si>
    <t>Excluded from power env., as low!</t>
  </si>
  <si>
    <t>Number of Switches Required</t>
  </si>
  <si>
    <t>Aggregated Network I Bandwidth</t>
  </si>
  <si>
    <t>Power of all Switches</t>
  </si>
  <si>
    <t>Aggregated Network II Bandwidth</t>
  </si>
  <si>
    <t>Not differentiated yet</t>
  </si>
  <si>
    <t>Cost of all switches and ports</t>
  </si>
  <si>
    <t>Weight of all switches and ports</t>
  </si>
  <si>
    <t>Other FOMs</t>
  </si>
  <si>
    <t>Total Number of Optical Terminals</t>
  </si>
  <si>
    <t>Power of all communication terminals</t>
  </si>
  <si>
    <t>Total Pod Power Consumption</t>
  </si>
  <si>
    <t>Ground-Ts excluded</t>
  </si>
  <si>
    <t>To-Groundstation:</t>
  </si>
  <si>
    <t>Cost of all terminals</t>
  </si>
  <si>
    <t>Total Unused Power by Pod</t>
  </si>
  <si>
    <t>W.r. to power env.</t>
  </si>
  <si>
    <t>Weight of all terminals</t>
  </si>
  <si>
    <t>Total Pod Weight</t>
  </si>
  <si>
    <t>Total Pod Cost</t>
  </si>
  <si>
    <t xml:space="preserve"> </t>
  </si>
  <si>
    <t>Model of the SDC Satellite Cooling and Thermal Management System</t>
  </si>
  <si>
    <t>Simplified model where no Solarsail- or Structural co-use for thermal management is assumed</t>
  </si>
  <si>
    <t>IN (Requirements)</t>
  </si>
  <si>
    <t>Out (Return to SDC_Satellite)</t>
  </si>
  <si>
    <t>INPUT</t>
  </si>
  <si>
    <t>Output (The Models)</t>
  </si>
  <si>
    <t>Total Power Dissipated</t>
  </si>
  <si>
    <t>Maximum Temperature in Kelvin</t>
  </si>
  <si>
    <t>Aggregated Values</t>
  </si>
  <si>
    <t>Maximum Module Temperature</t>
  </si>
  <si>
    <t>Minimum Temperature in Kelvin</t>
  </si>
  <si>
    <t>Total Power</t>
  </si>
  <si>
    <t>No Active Cooling Assumed</t>
  </si>
  <si>
    <t>Radiator Calculations</t>
  </si>
  <si>
    <t>Total Weight</t>
  </si>
  <si>
    <t xml:space="preserve">Reference to Technology Roadmap Parameters </t>
  </si>
  <si>
    <t>Required Radiator Area</t>
  </si>
  <si>
    <t>m2</t>
  </si>
  <si>
    <t>Total Cost</t>
  </si>
  <si>
    <t>Resulting Radiator Weight</t>
  </si>
  <si>
    <t>Radiator Efficiency</t>
  </si>
  <si>
    <t>Radiator Cost</t>
  </si>
  <si>
    <t>Radiator Specific Weight</t>
  </si>
  <si>
    <t>Thermal Blanket Calculations (Proportional to Weight assumed)</t>
  </si>
  <si>
    <t>Payload and Power Distribution Weight</t>
  </si>
  <si>
    <t>Blanket Size</t>
  </si>
  <si>
    <t>m^2</t>
  </si>
  <si>
    <t>Blanket Weigth</t>
  </si>
  <si>
    <t>Blanket Cost</t>
  </si>
  <si>
    <t>Model of the SDC Satellite Power and Power-Delivery System</t>
  </si>
  <si>
    <t>Temporary Results</t>
  </si>
  <si>
    <t>Power Model Calculations</t>
  </si>
  <si>
    <t>Power Model Output</t>
  </si>
  <si>
    <t>SDC Payload Power Requirement</t>
  </si>
  <si>
    <t>Photovoltaics Total Design Capacityacity</t>
  </si>
  <si>
    <t>Including Safety Reserve</t>
  </si>
  <si>
    <t>Nominal (peak) load from Photovoltaics</t>
  </si>
  <si>
    <t>After Deducting Reserve</t>
  </si>
  <si>
    <t>Orbital Period</t>
  </si>
  <si>
    <t>Power available after convertors</t>
  </si>
  <si>
    <t>For System and Charging</t>
  </si>
  <si>
    <t>Total Usable Power</t>
  </si>
  <si>
    <t>Total Average Power Available</t>
  </si>
  <si>
    <t>Avalable power /2 - Chargin losses</t>
  </si>
  <si>
    <t>Total Dissipated Power Sun</t>
  </si>
  <si>
    <t>Equal battery losses assumed during dis/charging</t>
  </si>
  <si>
    <t>Battery Reserve Capacity</t>
  </si>
  <si>
    <t>Battery Charging Power</t>
  </si>
  <si>
    <t>Total Dissipated Power Shade</t>
  </si>
  <si>
    <t>Shady side (payload/System + dis-charging losses of Battery)</t>
  </si>
  <si>
    <t>Battery Depth of Discharge</t>
  </si>
  <si>
    <t>for # cycles</t>
  </si>
  <si>
    <t>Total Battery Capacity Required</t>
  </si>
  <si>
    <t>With Reserve &amp; DoD</t>
  </si>
  <si>
    <t>Solar Cell Reserve Capacity</t>
  </si>
  <si>
    <t>ageing etc.</t>
  </si>
  <si>
    <t>By Sub-System Components</t>
  </si>
  <si>
    <t>Solar Panel</t>
  </si>
  <si>
    <t>Power Convertors</t>
  </si>
  <si>
    <t>Specific Power</t>
  </si>
  <si>
    <t>Power Output</t>
  </si>
  <si>
    <t>Specific Weight</t>
  </si>
  <si>
    <t>Specific Cost</t>
  </si>
  <si>
    <t>Total Power output</t>
  </si>
  <si>
    <t>Battery</t>
  </si>
  <si>
    <t>Storing Efficiency</t>
  </si>
  <si>
    <t>Aerea</t>
  </si>
  <si>
    <t>Power Delivery/Distribution</t>
  </si>
  <si>
    <t>Weight per power delivered</t>
  </si>
  <si>
    <t>Cost per power delivered</t>
  </si>
  <si>
    <t>Euro</t>
  </si>
  <si>
    <t>This is the Model for a single Node/Pod Hardware</t>
  </si>
  <si>
    <t>Out</t>
  </si>
  <si>
    <t>INPUT Requirements</t>
  </si>
  <si>
    <t>NODE Return (To SDC_Pod)</t>
  </si>
  <si>
    <t>QTY</t>
  </si>
  <si>
    <t>Mass Storage Node (Separate Nodes from Compute)</t>
  </si>
  <si>
    <t>Minimum Capacity per Node</t>
  </si>
  <si>
    <t>Number of Ports</t>
  </si>
  <si>
    <t>Network-Switch Power</t>
  </si>
  <si>
    <t>Network-Switch Cost</t>
  </si>
  <si>
    <t>Internode Buffering Memory</t>
  </si>
  <si>
    <t>Not modeled yet</t>
  </si>
  <si>
    <t>Network-Switch Weight</t>
  </si>
  <si>
    <t>Inter SDC Terminal Power</t>
  </si>
  <si>
    <t>Inter SDC Terminal Cost</t>
  </si>
  <si>
    <t>Inter SDC Terminal Weight</t>
  </si>
  <si>
    <t>To-Ground(OTGS_):</t>
  </si>
  <si>
    <t>GS Terminal Power</t>
  </si>
  <si>
    <t>GS Terminal Cost</t>
  </si>
  <si>
    <t>GS Terminal Weight</t>
  </si>
  <si>
    <t>Compute Node (CN_)</t>
  </si>
  <si>
    <t>Cost per Compute</t>
  </si>
  <si>
    <t>Weight per GFOPS</t>
  </si>
  <si>
    <t>g/GFLOPS</t>
  </si>
  <si>
    <t>Mass Storage Node (SN_)</t>
  </si>
  <si>
    <t>Network/Switch (NS_)</t>
  </si>
  <si>
    <t>User-Scenarios</t>
  </si>
  <si>
    <t>SDC Pod Cost (Compute_Cost_XXX_GFLOPS</t>
  </si>
  <si>
    <t>SDC Pod Cost (Compute_Cost_XXX_GFLOPS)</t>
  </si>
  <si>
    <t>Q</t>
  </si>
  <si>
    <t>SDC Pod Power (Increase through improved component efficiency over time)</t>
  </si>
  <si>
    <t>SDC Pod Power</t>
  </si>
  <si>
    <t>SDC Pod Weight</t>
  </si>
  <si>
    <t>SDC Satellite Weight</t>
  </si>
  <si>
    <t>/FPGA</t>
  </si>
  <si>
    <t>SDC Payload to Total Weight Ratio</t>
  </si>
  <si>
    <t>SDC Pod Compute</t>
  </si>
  <si>
    <t>SDC Pod Memory</t>
  </si>
  <si>
    <t>SDC Pod Storage</t>
  </si>
  <si>
    <t>TeraByte</t>
  </si>
  <si>
    <t>SDC Compute per Satellite Weight</t>
  </si>
  <si>
    <t>GFLOPs/kg</t>
  </si>
  <si>
    <t>SDC Cost per Satellite Weight</t>
  </si>
  <si>
    <t>Power per TOps [Watt/TOps]</t>
  </si>
  <si>
    <t>Watt/TOPs</t>
  </si>
  <si>
    <t>Cost per Power [Euro/kW]</t>
  </si>
  <si>
    <t>Battery_Capacity_Effective</t>
  </si>
  <si>
    <t>=Power_Distribution!$G$11</t>
  </si>
  <si>
    <t>Battery_Capacity_Reserve</t>
  </si>
  <si>
    <t>Battery_Cost_Specific</t>
  </si>
  <si>
    <t>Battery_Cost_Specific_def</t>
  </si>
  <si>
    <t>Battery_Cost_Total</t>
  </si>
  <si>
    <t>=Power_Distribution!$G$25</t>
  </si>
  <si>
    <t>Battery_Cycle_Efficiency</t>
  </si>
  <si>
    <t>=Technology_Roadmap!$B$64</t>
  </si>
  <si>
    <t>Battery_Cycle_Efficiency_def</t>
  </si>
  <si>
    <t>=Technology_Roadmap!$C$64</t>
  </si>
  <si>
    <t>Battery_Cycle_Number_of</t>
  </si>
  <si>
    <t>=Technology_Roadmap!$B$65</t>
  </si>
  <si>
    <t>Battery_Cycle_Number_of_def</t>
  </si>
  <si>
    <t>=Technology_Roadmap!$C$65</t>
  </si>
  <si>
    <t>Battery_Depth_of_Discharge</t>
  </si>
  <si>
    <t>=Technology_Roadmap!$B$66</t>
  </si>
  <si>
    <t>Battery_Depth_of_Discharge_def</t>
  </si>
  <si>
    <t>=Technology_Roadmap!$C$66</t>
  </si>
  <si>
    <t>Battery_Energy_Density</t>
  </si>
  <si>
    <t>Battery_Energy_Density_def</t>
  </si>
  <si>
    <t>Battery_Weight_Total</t>
  </si>
  <si>
    <t>=Power_Distribution!$G$26</t>
  </si>
  <si>
    <t>Cables_Cost_Specific</t>
  </si>
  <si>
    <t>Cables_Cost_Specific_def</t>
  </si>
  <si>
    <t>Cables_Cost_Total</t>
  </si>
  <si>
    <t>=Power_Distribution!$G$37</t>
  </si>
  <si>
    <t>Cables_Weight_Specific</t>
  </si>
  <si>
    <t>Cables_Weight_Specific_def</t>
  </si>
  <si>
    <t>Cables_Weight_Total</t>
  </si>
  <si>
    <t>=Power_Distribution!$G$36</t>
  </si>
  <si>
    <t>CN_Cost</t>
  </si>
  <si>
    <t>=Compute_Storage_Network!$G$7</t>
  </si>
  <si>
    <t>CN_Cost_All</t>
  </si>
  <si>
    <t>=SDC_Pod!$G$50</t>
  </si>
  <si>
    <t>CN_Power</t>
  </si>
  <si>
    <t>=Compute_Storage_Network!$G$6</t>
  </si>
  <si>
    <t>CN_Power_All</t>
  </si>
  <si>
    <t>=SDC_Pod!$G$49</t>
  </si>
  <si>
    <t>CN_Weight</t>
  </si>
  <si>
    <t>=Compute_Storage_Network!$G$8</t>
  </si>
  <si>
    <t>CN_Weight_All</t>
  </si>
  <si>
    <t>=SDC_Pod!$G$51</t>
  </si>
  <si>
    <t>CommEncryptLevel_Default</t>
  </si>
  <si>
    <t>Compute_Cost_ASIC_GFLOPS</t>
  </si>
  <si>
    <t>=Technology_Roadmap!$B$13</t>
  </si>
  <si>
    <t>Compute_Cost_ASIC_GFLOPS_def</t>
  </si>
  <si>
    <t>=Technology_Roadmap!$C$13</t>
  </si>
  <si>
    <t>Compute_Cost_CPU_GFLOPS</t>
  </si>
  <si>
    <t>=Technology_Roadmap!$B$10</t>
  </si>
  <si>
    <t>Compute_Cost_CPU_GFLOPS_def</t>
  </si>
  <si>
    <t>=Technology_Roadmap!$C$10</t>
  </si>
  <si>
    <t>Compute_Cost_FPGA_GFLOPS</t>
  </si>
  <si>
    <t>Compute_Cost_FPGA_GFLOPS_def</t>
  </si>
  <si>
    <t>Compute_Cost_GBYTE</t>
  </si>
  <si>
    <t>=Technology_Roadmap!$B$28</t>
  </si>
  <si>
    <t>Compute_Cost_GBYTE_def</t>
  </si>
  <si>
    <t>=Technology_Roadmap!$C$28</t>
  </si>
  <si>
    <t>Compute_Cost_GFLOPS</t>
  </si>
  <si>
    <t>=Technology_Roadmap!$B$25</t>
  </si>
  <si>
    <t>Compute_Cost_GPU_GFLOPS</t>
  </si>
  <si>
    <t>Compute_Cost_GPU_GFLOPS_def</t>
  </si>
  <si>
    <t>Compute_Cost_Q_GFLOPS</t>
  </si>
  <si>
    <t>=Technology_Roadmap!$B$14</t>
  </si>
  <si>
    <t>Compute_Cost_Q_GFLOPS_def</t>
  </si>
  <si>
    <t>=Technology_Roadmap!$C$14</t>
  </si>
  <si>
    <t>Compute_Memory_Per_Module</t>
  </si>
  <si>
    <t>=Technology_Roadmap!$B$29</t>
  </si>
  <si>
    <t>Compute_Memory_Per_Module_def</t>
  </si>
  <si>
    <t>=Technology_Roadmap!$C$29</t>
  </si>
  <si>
    <t>Compute_Power_ASIC_GFLOPS</t>
  </si>
  <si>
    <t>Compute_Power_ASIC_GFLOPS_def</t>
  </si>
  <si>
    <t>Compute_Power_CPU_GFLOPS</t>
  </si>
  <si>
    <t>=Technology_Roadmap!$B$4</t>
  </si>
  <si>
    <t>Compute_Power_CPU_GFLOPS_def</t>
  </si>
  <si>
    <t>=Technology_Roadmap!$C$4</t>
  </si>
  <si>
    <t>Compute_Power_FPGA_GFLOPS</t>
  </si>
  <si>
    <t>=Technology_Roadmap!$B$6</t>
  </si>
  <si>
    <t>Compute_Power_FPGA_GFLOPS_def</t>
  </si>
  <si>
    <t>=Technology_Roadmap!$C$6</t>
  </si>
  <si>
    <t>Compute_Power_GFLOPS</t>
  </si>
  <si>
    <t>Compute_Power_GPU_GFLOPS</t>
  </si>
  <si>
    <t>=Technology_Roadmap!$B$5</t>
  </si>
  <si>
    <t>Compute_Power_GPU_GFLOPS_def</t>
  </si>
  <si>
    <t>=Technology_Roadmap!$C$5</t>
  </si>
  <si>
    <t>Compute_Power_Q_GFLOPS</t>
  </si>
  <si>
    <t>Compute_Power_Q_GFLOPS_def</t>
  </si>
  <si>
    <t>Compute_SpecWeight_ASIC</t>
  </si>
  <si>
    <t>=Technology_Roadmap!$B$19</t>
  </si>
  <si>
    <t>Compute_SpecWeight_ASIC_def</t>
  </si>
  <si>
    <t>=Technology_Roadmap!$C$19</t>
  </si>
  <si>
    <t>Compute_SpecWeight_CPU</t>
  </si>
  <si>
    <t>=Technology_Roadmap!$B$16</t>
  </si>
  <si>
    <t>Compute_SpecWeight_CPU_def</t>
  </si>
  <si>
    <t>=Technology_Roadmap!$C$16</t>
  </si>
  <si>
    <t>Compute_SpecWeight_FPGA</t>
  </si>
  <si>
    <t>Compute_SpecWeight_FPGA_def</t>
  </si>
  <si>
    <t>Compute_SpecWeight_GPU</t>
  </si>
  <si>
    <t>Compute_SpecWeight_GPU_def</t>
  </si>
  <si>
    <t>Compute_SpecWeight_Q</t>
  </si>
  <si>
    <t>=Technology_Roadmap!$B$20</t>
  </si>
  <si>
    <t>Compute_SpecWeight_Q_def</t>
  </si>
  <si>
    <t>=Technology_Roadmap!$C$20</t>
  </si>
  <si>
    <t>Compute_Weight_GFLOPS</t>
  </si>
  <si>
    <t>=Technology_Roadmap!$B$26</t>
  </si>
  <si>
    <t>Compute_Weight_GFLOPS_def</t>
  </si>
  <si>
    <t>ComputeIntensity_Default</t>
  </si>
  <si>
    <t>Const_Deployment_Cost</t>
  </si>
  <si>
    <t>=SDC_Constellation!$G$13</t>
  </si>
  <si>
    <t>Const_Inter_SDC_BW</t>
  </si>
  <si>
    <t>=SDC_Constellation!$G$19</t>
  </si>
  <si>
    <t>Const_To_Client_BW</t>
  </si>
  <si>
    <t>=SDC_Constellation!$G$20</t>
  </si>
  <si>
    <t>Const_Total_Compute</t>
  </si>
  <si>
    <t>=SDC_Constellation!$G$16</t>
  </si>
  <si>
    <t>Const_Total_Memory</t>
  </si>
  <si>
    <t>=SDC_Constellation!$G$17</t>
  </si>
  <si>
    <t>Const_Total_Storage</t>
  </si>
  <si>
    <t>=SDC_Constellation!$G$18</t>
  </si>
  <si>
    <t>Constant_Boltzmann</t>
  </si>
  <si>
    <t>Constant_Cosmic_Background_Temperature</t>
  </si>
  <si>
    <t>Constant_Days_per_year</t>
  </si>
  <si>
    <t>Constant_Earth_Mass</t>
  </si>
  <si>
    <t>Constant_Earth_Radius</t>
  </si>
  <si>
    <t>Constant_Gravitational</t>
  </si>
  <si>
    <t>Constant_hours_per_day</t>
  </si>
  <si>
    <t>Constant_SolarRadiation_LEO</t>
  </si>
  <si>
    <t>Constant_Water_Freezing_Temperature</t>
  </si>
  <si>
    <t>Exp_ASIC_Cost</t>
  </si>
  <si>
    <t>=Technology_Roadmap!$F$13</t>
  </si>
  <si>
    <t>Exp_ASIC_Performance</t>
  </si>
  <si>
    <t>Exp_ASIC_Weight</t>
  </si>
  <si>
    <t>=Technology_Roadmap!$F$19</t>
  </si>
  <si>
    <t>Exp_Batt_Cost</t>
  </si>
  <si>
    <t>Exp_Batt_CycEff</t>
  </si>
  <si>
    <t>=Technology_Roadmap!$F$64</t>
  </si>
  <si>
    <t>Exp_Batt_DoD</t>
  </si>
  <si>
    <t>=Technology_Roadmap!$F$66</t>
  </si>
  <si>
    <t>Exp_Batt_NumbCyc</t>
  </si>
  <si>
    <t>Exp_Batt_Weight</t>
  </si>
  <si>
    <t>Exp_Blanket_Cond</t>
  </si>
  <si>
    <t>Exp_Blanket_Cost</t>
  </si>
  <si>
    <t>Exp_Cables_Cost</t>
  </si>
  <si>
    <t>Exp_Cables_Weight</t>
  </si>
  <si>
    <t>Exp_CPU_Cost</t>
  </si>
  <si>
    <t>=Technology_Roadmap!$F$10</t>
  </si>
  <si>
    <t>Exp_CPU_Performance</t>
  </si>
  <si>
    <t>Exp_CPU_Weight</t>
  </si>
  <si>
    <t>=Technology_Roadmap!$F$16</t>
  </si>
  <si>
    <t>Exp_FPGA_Cost</t>
  </si>
  <si>
    <t>Exp_FPGA_Performance</t>
  </si>
  <si>
    <t>Exp_FPGA_Weight</t>
  </si>
  <si>
    <t>Exp_GPU_Cost</t>
  </si>
  <si>
    <t>Exp_GPU_Performance</t>
  </si>
  <si>
    <t>Exp_GPU_Weight</t>
  </si>
  <si>
    <t>Exp_Launch_GEO_Cost</t>
  </si>
  <si>
    <t>Exp_Launch_LEO_Cost</t>
  </si>
  <si>
    <t>Exp_Memory_Cost</t>
  </si>
  <si>
    <t>=Technology_Roadmap!$F$28</t>
  </si>
  <si>
    <t>Exp_Memory_per_Module</t>
  </si>
  <si>
    <t>=Technology_Roadmap!$F$29</t>
  </si>
  <si>
    <t>Exp_NRE_Cost</t>
  </si>
  <si>
    <t>Exp_NS_Cost</t>
  </si>
  <si>
    <t>Exp_NS_Power</t>
  </si>
  <si>
    <t>Exp_NS_Weight</t>
  </si>
  <si>
    <t>Exp_OTGS_BW</t>
  </si>
  <si>
    <t>=Technology_Roadmap!$F$53</t>
  </si>
  <si>
    <t>Exp_OTGS_Cost</t>
  </si>
  <si>
    <t>=Technology_Roadmap!$F$56</t>
  </si>
  <si>
    <t>Exp_OTGS_Power</t>
  </si>
  <si>
    <t>=Technology_Roadmap!$F$54</t>
  </si>
  <si>
    <t>Exp_OTGS_Range</t>
  </si>
  <si>
    <t>=Technology_Roadmap!$F$52</t>
  </si>
  <si>
    <t>Exp_OTGS_Weight</t>
  </si>
  <si>
    <t>Exp_OTIO_BW</t>
  </si>
  <si>
    <t>=Technology_Roadmap!$F$45</t>
  </si>
  <si>
    <t>Exp_OTIO_Cost</t>
  </si>
  <si>
    <t>=Technology_Roadmap!$F$49</t>
  </si>
  <si>
    <t>Exp_OTIO_NumbConn</t>
  </si>
  <si>
    <t>=Technology_Roadmap!$F$46</t>
  </si>
  <si>
    <t>Exp_OTIO_Power</t>
  </si>
  <si>
    <t>=Technology_Roadmap!$F$47</t>
  </si>
  <si>
    <t>Exp_OTIO_Range</t>
  </si>
  <si>
    <t>Exp_OTIO_Weight</t>
  </si>
  <si>
    <t>=Technology_Roadmap!$F$48</t>
  </si>
  <si>
    <t>Exp_PowerConv_Cost</t>
  </si>
  <si>
    <t>=Technology_Roadmap!$F$62</t>
  </si>
  <si>
    <t>Exp_PowerConv_Eff</t>
  </si>
  <si>
    <t>Exp_PowerConv_Weight</t>
  </si>
  <si>
    <t>=Technology_Roadmap!$F$61</t>
  </si>
  <si>
    <t>Exp_PV_Cost</t>
  </si>
  <si>
    <t>Exp_PV_Power</t>
  </si>
  <si>
    <t>=Technology_Roadmap!$F$71</t>
  </si>
  <si>
    <t>Exp_PV_Weight</t>
  </si>
  <si>
    <t>=Technology_Roadmap!$F$72</t>
  </si>
  <si>
    <t>Exp_Q_Cost</t>
  </si>
  <si>
    <t>=Technology_Roadmap!$F$14</t>
  </si>
  <si>
    <t>Exp_Q_Performance</t>
  </si>
  <si>
    <t>Exp_Q_Weight</t>
  </si>
  <si>
    <t>=Technology_Roadmap!$F$20</t>
  </si>
  <si>
    <t>Exp_Radiator_Cost</t>
  </si>
  <si>
    <t>Exp_Radiator_Weight</t>
  </si>
  <si>
    <t>Exp_Storage_Cost</t>
  </si>
  <si>
    <t>=Technology_Roadmap!$F$33</t>
  </si>
  <si>
    <t>Exp_Storage_Per_Module</t>
  </si>
  <si>
    <t>Exp_Storage_Power</t>
  </si>
  <si>
    <t>=Technology_Roadmap!$F$35</t>
  </si>
  <si>
    <t>Exp_Storage_Weight</t>
  </si>
  <si>
    <t>=Technology_Roadmap!$F$34</t>
  </si>
  <si>
    <t>GEO_Orbits_Altitude</t>
  </si>
  <si>
    <t>GEONodeCount_Default</t>
  </si>
  <si>
    <t>Launch_Cost_GEO_per_kg</t>
  </si>
  <si>
    <t>Launch_Cost_GEO_per_kg_def</t>
  </si>
  <si>
    <t>Launch_Cost_LEO_per_kg</t>
  </si>
  <si>
    <t>Launch_Cost_LEO_per_kg_def</t>
  </si>
  <si>
    <t>LEO_Orbits_Altitude</t>
  </si>
  <si>
    <t>LEO_Orbits_Intra_Distance</t>
  </si>
  <si>
    <t>LEO_Orbits_number_of</t>
  </si>
  <si>
    <t>LEO_Orbits_Period</t>
  </si>
  <si>
    <t>LEO_SDCs_Per_Orbit</t>
  </si>
  <si>
    <t>LEO_SDCs_Total_Number</t>
  </si>
  <si>
    <t>LEONodeCount_Default</t>
  </si>
  <si>
    <t>LEOOrbit_Default</t>
  </si>
  <si>
    <t>Lin_PV_Efficiency</t>
  </si>
  <si>
    <t>=Technology_Roadmap!$F$70</t>
  </si>
  <si>
    <t>Lin_Radiator_Eff</t>
  </si>
  <si>
    <t>MaxClientsPerNode_Default</t>
  </si>
  <si>
    <t>Network_Cost_Gbps_Port</t>
  </si>
  <si>
    <t>Network_Cost_Gbps_Port_def</t>
  </si>
  <si>
    <t>Network_Power_Gbps_Port</t>
  </si>
  <si>
    <t>Network_Power_Gbps_Port_def</t>
  </si>
  <si>
    <t>Network_Weight_Port</t>
  </si>
  <si>
    <t>Network_Weight_Port_def</t>
  </si>
  <si>
    <t>NetworkIntensity_Default</t>
  </si>
  <si>
    <t>NS_Cost</t>
  </si>
  <si>
    <t>=Compute_Storage_Network!$G$17</t>
  </si>
  <si>
    <t>NS_Cost_All</t>
  </si>
  <si>
    <t>=SDC_Pod!$G$63</t>
  </si>
  <si>
    <t>NS_Internode_BW</t>
  </si>
  <si>
    <t>NS_Ports_Number_of</t>
  </si>
  <si>
    <t>=SDC_Pod!$G$19</t>
  </si>
  <si>
    <t>NS_Power</t>
  </si>
  <si>
    <t>=Compute_Storage_Network!$G$16</t>
  </si>
  <si>
    <t>NS_Power_All</t>
  </si>
  <si>
    <t>=SDC_Pod!$G$62</t>
  </si>
  <si>
    <t>NS_Weight</t>
  </si>
  <si>
    <t>=Compute_Storage_Network!$G$18</t>
  </si>
  <si>
    <t>NS_Weight_ALL</t>
  </si>
  <si>
    <t>=SDC_Pod!$G$64</t>
  </si>
  <si>
    <t>Optical_Terminal_Weight_All</t>
  </si>
  <si>
    <t>=SDC_Pod!$G$70</t>
  </si>
  <si>
    <t>Optical_Terminals_Cost_All</t>
  </si>
  <si>
    <t>=SDC_Pod!$G$69</t>
  </si>
  <si>
    <t>Optical_Terminals_Number_of_Total</t>
  </si>
  <si>
    <t>=SDC_Pod!$G$67</t>
  </si>
  <si>
    <t>Optical_Terminals_Power_Total</t>
  </si>
  <si>
    <t>=SDC_Pod!$G$68</t>
  </si>
  <si>
    <t>OptTerminalInterSDCBandwidth_Default</t>
  </si>
  <si>
    <t>OTGS_Cost_Specific</t>
  </si>
  <si>
    <t>=Technology_Roadmap!$B$56</t>
  </si>
  <si>
    <t>OTGS_Cost_Specific_def</t>
  </si>
  <si>
    <t>=Technology_Roadmap!$C$56</t>
  </si>
  <si>
    <t>OTGS_DataRate_Max</t>
  </si>
  <si>
    <t>=Technology_Roadmap!$B$53</t>
  </si>
  <si>
    <t>OTGS_DataRate_Max_def</t>
  </si>
  <si>
    <t>=Technology_Roadmap!$C$53</t>
  </si>
  <si>
    <t>OTGS_DataRate_Nom</t>
  </si>
  <si>
    <t>OTGS_Distance_Max</t>
  </si>
  <si>
    <t>=Technology_Roadmap!$B$52</t>
  </si>
  <si>
    <t>OTGS_Distance_Max_def</t>
  </si>
  <si>
    <t>=Technology_Roadmap!$C$52</t>
  </si>
  <si>
    <t>OTGS_Link_Distance</t>
  </si>
  <si>
    <t>OTGS_Numb_Terminals</t>
  </si>
  <si>
    <t>OTGS_Power_Efficiency</t>
  </si>
  <si>
    <t>=Technology_Roadmap!$B$54</t>
  </si>
  <si>
    <t>OTGS_Power_Efficiency_def</t>
  </si>
  <si>
    <t>=Technology_Roadmap!$C$54</t>
  </si>
  <si>
    <t>OTGS_SDC_Cost</t>
  </si>
  <si>
    <t>=Compute_Storage_Network!$G$28</t>
  </si>
  <si>
    <t>OTGS_SDC_Power</t>
  </si>
  <si>
    <t>=Compute_Storage_Network!$G$27</t>
  </si>
  <si>
    <t>OTGS_SDC_Weight</t>
  </si>
  <si>
    <t>=Compute_Storage_Network!$G$29</t>
  </si>
  <si>
    <t>OTGS_Weight_Specific</t>
  </si>
  <si>
    <t>OTGS_Weight_Specific_def</t>
  </si>
  <si>
    <t>OTIO_Cost_Specific</t>
  </si>
  <si>
    <t>OTIO_Cost_Specific_def</t>
  </si>
  <si>
    <t>=Technology_Roadmap!$C$49</t>
  </si>
  <si>
    <t>OTIO_DataRate_Max</t>
  </si>
  <si>
    <t>=Technology_Roadmap!$B$45</t>
  </si>
  <si>
    <t>OTIO_DataRate_Max_def</t>
  </si>
  <si>
    <t>=Technology_Roadmap!$C$45</t>
  </si>
  <si>
    <t>OTIO_DataRate_Nominal</t>
  </si>
  <si>
    <t>OTIO_Max_Connection</t>
  </si>
  <si>
    <t>=Technology_Roadmap!$B$46</t>
  </si>
  <si>
    <t>OTIO_Max_Connection_def</t>
  </si>
  <si>
    <t>=Technology_Roadmap!$C$46</t>
  </si>
  <si>
    <t>OTIO_Network_Buffer_Memory</t>
  </si>
  <si>
    <t>OTIO_Number_Terminals</t>
  </si>
  <si>
    <t>OTIO_Power_Efficiency</t>
  </si>
  <si>
    <t>=Technology_Roadmap!$B$47</t>
  </si>
  <si>
    <t>OTIO_Power_Efficiency_def</t>
  </si>
  <si>
    <t>=Technology_Roadmap!$C$47</t>
  </si>
  <si>
    <t>OTIO_Range_Max</t>
  </si>
  <si>
    <t>OTIO_Range_Max_def</t>
  </si>
  <si>
    <t>OTIO_SDC_Cost</t>
  </si>
  <si>
    <t>=Compute_Storage_Network!$G$23</t>
  </si>
  <si>
    <t>OTIO_SDC_Power</t>
  </si>
  <si>
    <t>=Compute_Storage_Network!$G$22</t>
  </si>
  <si>
    <t>OTIO_SDC_Weight</t>
  </si>
  <si>
    <t>=Compute_Storage_Network!$G$24</t>
  </si>
  <si>
    <t>OTIO_Weight_Specific</t>
  </si>
  <si>
    <t>=Technology_Roadmap!$B$48</t>
  </si>
  <si>
    <t>OTIO_Weight_Specific_def</t>
  </si>
  <si>
    <t>=Technology_Roadmap!$C$48</t>
  </si>
  <si>
    <t>PerClientRecurrency_Default</t>
  </si>
  <si>
    <t>Power_Conversion_Cost_Specific</t>
  </si>
  <si>
    <t>=Technology_Roadmap!$B$62</t>
  </si>
  <si>
    <t>Power_Conversion_Cost_Specific_def</t>
  </si>
  <si>
    <t>=Technology_Roadmap!$C$62</t>
  </si>
  <si>
    <t>Power_Conversion_Cost_Total</t>
  </si>
  <si>
    <t>=Power_Distribution!$G$21</t>
  </si>
  <si>
    <t>Power_Conversion_Efficiency</t>
  </si>
  <si>
    <t>Power_Conversion_Efficiency_def</t>
  </si>
  <si>
    <t>Power_Conversion_Output_Max</t>
  </si>
  <si>
    <t>=Power_Distribution!$G$8</t>
  </si>
  <si>
    <t>Power_Conversion_Weight</t>
  </si>
  <si>
    <t>=Technology_Roadmap!$B$61</t>
  </si>
  <si>
    <t>Power_Conversion_Weight_def</t>
  </si>
  <si>
    <t>=Technology_Roadmap!$C$61</t>
  </si>
  <si>
    <t>Power_Conversion_Weight_Total</t>
  </si>
  <si>
    <t>=Power_Distribution!$G$22</t>
  </si>
  <si>
    <t>Power_Cost_Total</t>
  </si>
  <si>
    <t>=Power_Distribution!$L$12</t>
  </si>
  <si>
    <t>Power_Total_Dissipated_shade</t>
  </si>
  <si>
    <t>=Power_Distribution!$L$10</t>
  </si>
  <si>
    <t>Power_Total_Dissipated_sun</t>
  </si>
  <si>
    <t>=Power_Distribution!$L$9</t>
  </si>
  <si>
    <t>Power_Total_PV_Capacity</t>
  </si>
  <si>
    <t>Power_Total_PV_Draw</t>
  </si>
  <si>
    <t>=Power_Distribution!$G$7</t>
  </si>
  <si>
    <t>Power_Total_Usable</t>
  </si>
  <si>
    <t>=Power_Distribution!$G$9</t>
  </si>
  <si>
    <t>Power_Weight_Total</t>
  </si>
  <si>
    <t>=Power_Distribution!$L$11</t>
  </si>
  <si>
    <t>PV_Area_Total</t>
  </si>
  <si>
    <t>=Power_Distribution!$G$33</t>
  </si>
  <si>
    <t>PV_Capacity_Reserve</t>
  </si>
  <si>
    <t>PV_Cost_Specific</t>
  </si>
  <si>
    <t>PV_Cost_Specific_def</t>
  </si>
  <si>
    <t>PV_Cost_Total</t>
  </si>
  <si>
    <t>=Power_Distribution!$G$31</t>
  </si>
  <si>
    <t>PV_Density</t>
  </si>
  <si>
    <t>=Technology_Roadmap!$B$71</t>
  </si>
  <si>
    <t>PV_Density_def</t>
  </si>
  <si>
    <t>=Technology_Roadmap!$C$71</t>
  </si>
  <si>
    <t>PV_Efficiency</t>
  </si>
  <si>
    <t>=Technology_Roadmap!$B$70</t>
  </si>
  <si>
    <t>PV_Efficiency_def</t>
  </si>
  <si>
    <t>=Technology_Roadmap!$C$70</t>
  </si>
  <si>
    <t>PV_Weight_Specific</t>
  </si>
  <si>
    <t>=Technology_Roadmap!$B$72</t>
  </si>
  <si>
    <t>PV_Weight_Specific_def</t>
  </si>
  <si>
    <t>=Technology_Roadmap!$C$72</t>
  </si>
  <si>
    <t>PV_Weight_Total</t>
  </si>
  <si>
    <t>=Power_Distribution!$G$32</t>
  </si>
  <si>
    <t>Row_ID_SDC_Comp_per_SDC_Weight</t>
  </si>
  <si>
    <t>=temp_data!$A$63</t>
  </si>
  <si>
    <t>Row_ID_SDC_Cost_per_Compute</t>
  </si>
  <si>
    <t>=temp_data!$A$79</t>
  </si>
  <si>
    <t>Row_ID_SDC_Cost_per_Power</t>
  </si>
  <si>
    <t>=temp_data!$A$95</t>
  </si>
  <si>
    <t>Row_ID_SDC_Cost_per_Weight</t>
  </si>
  <si>
    <t>=temp_data!$A$71</t>
  </si>
  <si>
    <t>Row_ID_SDC_Payload_Weight_Ratio</t>
  </si>
  <si>
    <t>=temp_data!$A$36</t>
  </si>
  <si>
    <t>Row_ID_SDC_Pod_Compute</t>
  </si>
  <si>
    <t>=temp_data!$A$44</t>
  </si>
  <si>
    <t>Row_ID_SDC_Pod_Cost</t>
  </si>
  <si>
    <t>=temp_data!$A$3</t>
  </si>
  <si>
    <t>Row_ID_SDC_Pod_Memory</t>
  </si>
  <si>
    <t>=temp_data!$A$52</t>
  </si>
  <si>
    <t>Row_ID_SDC_Pod_Power</t>
  </si>
  <si>
    <t>=temp_data!$A$11</t>
  </si>
  <si>
    <t>Row_ID_SDC_Pod_Storage</t>
  </si>
  <si>
    <t>=temp_data!$A$60</t>
  </si>
  <si>
    <t>Row_ID_SDC_Pod_Weight</t>
  </si>
  <si>
    <t>=temp_data!$A$19</t>
  </si>
  <si>
    <t>Row_ID_SDC_Power_per_Compute</t>
  </si>
  <si>
    <t>=temp_data!$A$87</t>
  </si>
  <si>
    <t>Row_ID_SDC_Satellite_Weight</t>
  </si>
  <si>
    <t>=temp_data!$A$27</t>
  </si>
  <si>
    <t>Satellite_Power_Overhead_Fraction</t>
  </si>
  <si>
    <t>SDC_Compute_per_Node</t>
  </si>
  <si>
    <t>SDC_Compute_Type_of</t>
  </si>
  <si>
    <t>SDC_Cost_BOM</t>
  </si>
  <si>
    <t>=SDC_Satellite!$L$33</t>
  </si>
  <si>
    <t>SDC_Cost_Launch</t>
  </si>
  <si>
    <t>=SDC_Satellite!$L$34</t>
  </si>
  <si>
    <t>SDC_Design_NRE</t>
  </si>
  <si>
    <t>SDC_Design_NRE_def</t>
  </si>
  <si>
    <t>SDC_Memory_per_Node</t>
  </si>
  <si>
    <t>SDC_NetworkSwitches_Number_of</t>
  </si>
  <si>
    <t>SDC_Pod_Compute_Power_Limit</t>
  </si>
  <si>
    <t>=SDC_Pod!$G$43</t>
  </si>
  <si>
    <t>SDC_Pod_Compute_Req</t>
  </si>
  <si>
    <t>=SDC_Pod!$L$48</t>
  </si>
  <si>
    <t>SDC_Pod_Cost</t>
  </si>
  <si>
    <t>=SDC_Pod!$L$71</t>
  </si>
  <si>
    <t>SDC_Pod_Memory</t>
  </si>
  <si>
    <t>=SDC_Pod!$L$50</t>
  </si>
  <si>
    <t>SDC_Pod_Memory_P_Limit</t>
  </si>
  <si>
    <t>=SDC_Pod!$G$44</t>
  </si>
  <si>
    <t>SDC_Pod_Network_I_BW</t>
  </si>
  <si>
    <t>=SDC_Pod!$L$61</t>
  </si>
  <si>
    <t>SDC_Pod_Network_II_BW</t>
  </si>
  <si>
    <t>=SDC_Pod!$L$62</t>
  </si>
  <si>
    <t>SDC_Pod_Number_Nodes_P_Limit</t>
  </si>
  <si>
    <t>=SDC_Pod!$G$42</t>
  </si>
  <si>
    <t>SDC_Pod_Number_Nodes_Required</t>
  </si>
  <si>
    <t>=SDC_Pod!$G$11</t>
  </si>
  <si>
    <t>SDC_Pod_Power</t>
  </si>
  <si>
    <t>=SDC_Pod!$L$68</t>
  </si>
  <si>
    <t>SDC_Pod_Power_CompStore</t>
  </si>
  <si>
    <t>=SDC_Pod!$G$40</t>
  </si>
  <si>
    <t>SDC_Pod_Power_limit</t>
  </si>
  <si>
    <t>=SDC_Pod!$G$39</t>
  </si>
  <si>
    <t>SDC_Pod_Power_Spare</t>
  </si>
  <si>
    <t>=SDC_Pod!$L$69</t>
  </si>
  <si>
    <t>SDC_Pod_Storage</t>
  </si>
  <si>
    <t>=SDC_Pod!$L$54</t>
  </si>
  <si>
    <t>SDC_Pod_Weight</t>
  </si>
  <si>
    <t>=SDC_Pod!$L$70</t>
  </si>
  <si>
    <t>SDC_Power</t>
  </si>
  <si>
    <t>=SDC_Satellite!$L$30</t>
  </si>
  <si>
    <t>SDC_Storage_Capacity</t>
  </si>
  <si>
    <t>=SDC_Pod!$G$16</t>
  </si>
  <si>
    <t>SDC_Storage_numb_hours</t>
  </si>
  <si>
    <t>SDC_Storage_per_Node</t>
  </si>
  <si>
    <t>SDC_Volume</t>
  </si>
  <si>
    <t>=SDC_Satellite!$L$32</t>
  </si>
  <si>
    <t>SDC_Weight</t>
  </si>
  <si>
    <t>=SDC_Satellite!$L$31</t>
  </si>
  <si>
    <t>SingleObjectSize_Default</t>
  </si>
  <si>
    <t>SN_Cost</t>
  </si>
  <si>
    <t>=Compute_Storage_Network!$G$12</t>
  </si>
  <si>
    <t>SN_Cost_All</t>
  </si>
  <si>
    <t>=SDC_Pod!$G$56</t>
  </si>
  <si>
    <t>SN_Number_of</t>
  </si>
  <si>
    <t>=SDC_Pod!$G$15</t>
  </si>
  <si>
    <t>SN_Power</t>
  </si>
  <si>
    <t>=Compute_Storage_Network!$G$11</t>
  </si>
  <si>
    <t>SN_Power_All</t>
  </si>
  <si>
    <t>=SDC_Pod!$G$55</t>
  </si>
  <si>
    <t>SN_Weight</t>
  </si>
  <si>
    <t>=Compute_Storage_Network!$G$13</t>
  </si>
  <si>
    <t>SN_Weight_All</t>
  </si>
  <si>
    <t>=SDC_Pod!$G$57</t>
  </si>
  <si>
    <t>Storage_Capacity_perModule</t>
  </si>
  <si>
    <t>Storage_Capacity_perModule_def</t>
  </si>
  <si>
    <t>Storage_Cost_Specific</t>
  </si>
  <si>
    <t>=Technology_Roadmap!$B$33</t>
  </si>
  <si>
    <t>Storage_Cost_Specific_def</t>
  </si>
  <si>
    <t>=Technology_Roadmap!$C$33</t>
  </si>
  <si>
    <t>Storage_Power_Specific</t>
  </si>
  <si>
    <t>=Technology_Roadmap!$B$35</t>
  </si>
  <si>
    <t>Storage_Power_Specific_def</t>
  </si>
  <si>
    <t>=Technology_Roadmap!$C$35</t>
  </si>
  <si>
    <t>Storage_Weight_Specific</t>
  </si>
  <si>
    <t>=Technology_Roadmap!$B$34</t>
  </si>
  <si>
    <t>Storage_Weight_Specific_def</t>
  </si>
  <si>
    <t>=Technology_Roadmap!$C$34</t>
  </si>
  <si>
    <t>Structural_Mass_Fraction</t>
  </si>
  <si>
    <t>System_Lifetime</t>
  </si>
  <si>
    <t>Thermal_Blanket_Cost_Specific</t>
  </si>
  <si>
    <t>Thermal_Blanket_Cost_Specific_def</t>
  </si>
  <si>
    <t>Thermal_Blanket_Specific_Size_Required</t>
  </si>
  <si>
    <t>Thermal_Blanket_T_Conductivity</t>
  </si>
  <si>
    <t>Thermal_Blanket_T_Conductivity_def</t>
  </si>
  <si>
    <t>Thermal_Blanket_Weight_Specific</t>
  </si>
  <si>
    <t>Thermal_Blanket_Weight_Specific_def</t>
  </si>
  <si>
    <t>Thermal_Cost_Total</t>
  </si>
  <si>
    <t>=Thermal_and_Cooling!$L$11</t>
  </si>
  <si>
    <t>Thermal_Power_Total</t>
  </si>
  <si>
    <t>=Thermal_and_Cooling!$L$9</t>
  </si>
  <si>
    <t>Thermal_Radiator_Cost_Specific</t>
  </si>
  <si>
    <t>Thermal_Radiator_Cost_Specific_def</t>
  </si>
  <si>
    <t>Thermal_Radiator_Efficiency</t>
  </si>
  <si>
    <t>Thermal_Radiator_Efficiency_def</t>
  </si>
  <si>
    <t>Thermal_Radiator_Weight_Specific</t>
  </si>
  <si>
    <t>Thermal_Radiator_Weight_Specific_def</t>
  </si>
  <si>
    <t>Thermal_Temperature_max</t>
  </si>
  <si>
    <t>Thermal_Temperature_min</t>
  </si>
  <si>
    <t>Thermal_Weight_Total</t>
  </si>
  <si>
    <t>=Thermal_and_Cooling!$L$10</t>
  </si>
  <si>
    <t>Timeline_Year_def</t>
  </si>
  <si>
    <t>='SDC Summary'!$H$25</t>
  </si>
  <si>
    <t>Timeline_Year_this</t>
  </si>
  <si>
    <t>ToplevelArchitecture</t>
  </si>
  <si>
    <t>ToplevelArchitecture_Default</t>
  </si>
  <si>
    <t>Workload_Bandwidth_InterSDC</t>
  </si>
  <si>
    <t>Workload_Bandwidth_IntraPod</t>
  </si>
  <si>
    <t>Workload_Compute_total</t>
  </si>
  <si>
    <t>Workload_Memory_total</t>
  </si>
  <si>
    <t>Workload_Storage_total</t>
  </si>
  <si>
    <t>Comment</t>
  </si>
  <si>
    <t>Gbit/MB</t>
  </si>
  <si>
    <t># of LEO Orbits</t>
  </si>
  <si>
    <t>LEO-GEO</t>
  </si>
  <si>
    <t>Allow fraction of connections for numerical reasons</t>
  </si>
  <si>
    <t># of GEO Orbits</t>
  </si>
  <si>
    <t>Fixed!!</t>
  </si>
  <si>
    <t># SDCs per LEO Orbit</t>
  </si>
  <si>
    <t>There is only 1 GEO Stationary Orbit</t>
  </si>
  <si>
    <t># SDCs on GEO Orbit</t>
  </si>
  <si>
    <t>Not Implemented yet</t>
  </si>
  <si>
    <t>Satellite and HW Configuration</t>
  </si>
  <si>
    <t>Target Power Envelope</t>
  </si>
  <si>
    <t>System Power Fraction</t>
  </si>
  <si>
    <t>Battery Capacity Reserve</t>
  </si>
  <si>
    <t>Power &amp; Thermal</t>
  </si>
  <si>
    <t>°K</t>
  </si>
  <si>
    <t>General and Use-Case Configuration</t>
  </si>
  <si>
    <t>Memory per Node (Granularity)</t>
  </si>
  <si>
    <t>Compute per Node (Granularity)</t>
  </si>
  <si>
    <t>Compute Type</t>
  </si>
  <si>
    <t>Some Other Roadmaps for Your Reference - They may be linked with respective cost and weight roadmaps and included in the technology selection process above</t>
  </si>
  <si>
    <t>E.g. Efficiency, Cost and Weight of PV cells …</t>
  </si>
  <si>
    <t>VBA Scripts only affect cells above this line!!!</t>
  </si>
  <si>
    <t>Weight per Satellite</t>
  </si>
  <si>
    <t>Power on Satellite</t>
  </si>
  <si>
    <t>Type of Compute on Satellite</t>
  </si>
  <si>
    <t>Selected Use Case</t>
  </si>
  <si>
    <t>Year of Simulation</t>
  </si>
  <si>
    <t>Technology Roadmap: Select by UI Radio</t>
  </si>
  <si>
    <t>red = exponential, yellow = linear</t>
  </si>
  <si>
    <t>E.G. PV Technology</t>
  </si>
  <si>
    <t>Si:H - amorphous - Efficiency</t>
  </si>
  <si>
    <t>Si:H - amorphous - Cost</t>
  </si>
  <si>
    <t>Si:H - amorphous - Weight</t>
  </si>
  <si>
    <t>Si - single crystal - Efficiency</t>
  </si>
  <si>
    <t>Si - single crystal - Cost</t>
  </si>
  <si>
    <t>Si - single crystal - Weight</t>
  </si>
  <si>
    <t>Si - heterostructures - Efficiency</t>
  </si>
  <si>
    <t>Si - heterostructures - Cost</t>
  </si>
  <si>
    <t>Si - heterostructures - Weight</t>
  </si>
  <si>
    <t>Orgaic Solar Cells - Efficiency</t>
  </si>
  <si>
    <t>Orgaic Solar Cells - Cost</t>
  </si>
  <si>
    <t>Orgaic Solar Cells - Weight</t>
  </si>
  <si>
    <t>Organic</t>
  </si>
  <si>
    <t>Technology Selection (to be expanded at will)</t>
  </si>
  <si>
    <t>Storage Capacity in Client Data Hours</t>
  </si>
  <si>
    <t>Black-Body Efficiency</t>
  </si>
  <si>
    <t>OS Management Overhead</t>
  </si>
  <si>
    <t>Cost per Satellite (incl. Launch)</t>
  </si>
  <si>
    <t>sec to next</t>
  </si>
  <si>
    <t>Depends on AI model</t>
  </si>
  <si>
    <t>Year on Technology Roadmaps</t>
  </si>
  <si>
    <t>Workload Memory Requirement</t>
  </si>
  <si>
    <t>Total Workload(s) related Compute</t>
  </si>
  <si>
    <t>Total Storage SDC</t>
  </si>
  <si>
    <r>
      <t>N⋅m</t>
    </r>
    <r>
      <rPr>
        <vertAlign val="superscript"/>
        <sz val="16"/>
        <color theme="1"/>
        <rFont val="Calibri"/>
        <family val="2"/>
        <scheme val="minor"/>
      </rPr>
      <t>2</t>
    </r>
    <r>
      <rPr>
        <sz val="16"/>
        <color theme="1"/>
        <rFont val="Calibri"/>
        <family val="2"/>
        <scheme val="minor"/>
      </rPr>
      <t>/kg</t>
    </r>
    <r>
      <rPr>
        <vertAlign val="superscript"/>
        <sz val="16"/>
        <color theme="1"/>
        <rFont val="Calibri"/>
        <family val="2"/>
        <scheme val="minor"/>
      </rPr>
      <t>2</t>
    </r>
  </si>
  <si>
    <t>LEO Intra Orbit SDC-to-SDC Distance</t>
  </si>
  <si>
    <t>worth of client data</t>
  </si>
  <si>
    <t># Max Clients per SDC</t>
  </si>
  <si>
    <t>Design &amp; Technology Decisions</t>
  </si>
  <si>
    <t>TFLOps</t>
  </si>
  <si>
    <t>(Optical) Communication</t>
  </si>
  <si>
    <t>273K = 0 Celsius</t>
  </si>
  <si>
    <t>323K = 50 Celsius</t>
  </si>
  <si>
    <t>323K = 50 C</t>
  </si>
  <si>
    <t>This space left blank on purpose!</t>
  </si>
  <si>
    <t>This way the VBA script can copy directly corresponding row-values without translation!</t>
  </si>
  <si>
    <t>Please make sure rows in this tab correspond to rows in "SDC Summary" !</t>
  </si>
  <si>
    <t>"Shape" Factor - Divide by 100!!</t>
  </si>
  <si>
    <t>"Shape" Factor - devide by 100!</t>
  </si>
  <si>
    <t>Scout</t>
  </si>
  <si>
    <t>Lunar</t>
  </si>
  <si>
    <t>Selection does NOT Affect Results</t>
  </si>
  <si>
    <t>Select Predefined Use-Cases and Compute the Model!</t>
  </si>
  <si>
    <t>Red means lack of resource!</t>
  </si>
  <si>
    <t>YOCTO</t>
  </si>
  <si>
    <t>RedHat</t>
  </si>
  <si>
    <t>Docker</t>
  </si>
  <si>
    <t>Hetero</t>
  </si>
  <si>
    <t>Interactive Dependency Series</t>
  </si>
  <si>
    <t>Maybe need to clean-up/delete Graph from time to time, as new graphs will be created on top of each other!</t>
  </si>
  <si>
    <t>Select Trace to display</t>
  </si>
  <si>
    <t>CUSTOM DATA</t>
  </si>
  <si>
    <t>Lower Bound</t>
  </si>
  <si>
    <t>Upper Bound</t>
  </si>
  <si>
    <t>Increment</t>
  </si>
  <si>
    <t>CUSTOM Data</t>
  </si>
  <si>
    <t>This section not implemented yet</t>
  </si>
  <si>
    <t>"Power_Total_PV_Capacity"</t>
  </si>
  <si>
    <t>Key Figures of Merit</t>
  </si>
  <si>
    <t>External Bandwidth</t>
  </si>
  <si>
    <t>Descrioption of Use-Cases</t>
  </si>
  <si>
    <t>Use-Case 1 (LEO-Scout)</t>
  </si>
  <si>
    <t>In this scenario the client is a single (small) satellite, which is moving at a fixed distance on the same orbit as the space-data-center satellite.</t>
  </si>
  <si>
    <t>The main benefit of this scenario is that small satellite will NOT have to provide any significant compute capabilities, which are (almost) entirely delegated to the SDC satellite</t>
  </si>
  <si>
    <t>Even though NOT explicitly mentioned, we assume that the SDC satellite is permanently connected to the rest of the SDC constellation, thus (virtually) uninterrupted down-link and thus real-time capabilities are possible</t>
  </si>
  <si>
    <t>Additionally to compute capabilities, the SDC satellite is assumed to have narrow FoV high-resolution EO capabilities</t>
  </si>
  <si>
    <t xml:space="preserve">Default year for the application is 2030 </t>
  </si>
  <si>
    <t>Equals 10.7MPixel/s per Band (Sentinel 1 equivalent) -&gt; Brute Force!</t>
  </si>
  <si>
    <t>Based on U-NET (standard, no compression)</t>
  </si>
  <si>
    <t>Assuming dedicated client-SDC link without interruption</t>
  </si>
  <si>
    <t>Based on Model (saignificant overprovisioning here)</t>
  </si>
  <si>
    <t>Different architectures are built using different parameters - nothing affected by this choice here</t>
  </si>
  <si>
    <t>Assuming moderatly dense interconnections between SDCs (4000 km)</t>
  </si>
  <si>
    <t>Something reasonable in the middle (~ Sentinel 2 Orbit)</t>
  </si>
  <si>
    <t>No GEO SDC in this use-Case</t>
  </si>
  <si>
    <t>No GEO SDC here</t>
  </si>
  <si>
    <t>Dedicated SDC for this client</t>
  </si>
  <si>
    <t>Assuming 1 Ground terminal per satellite - 0 would also work, if SDC constellation is available</t>
  </si>
  <si>
    <t>Only Actionable insights are to be transmitted = very little bandwidth required</t>
  </si>
  <si>
    <t>Educated Guess</t>
  </si>
  <si>
    <t>Granularity, may vary over time … maybe part of Techn. Roadmap in Future</t>
  </si>
  <si>
    <t>Educated Guess - Small, as only one client!</t>
  </si>
  <si>
    <t>Workload estimates at 4 bands at 10Mbyte/Seconds -&gt; 320 Mbit/sec</t>
  </si>
  <si>
    <t>Default compute may be GPU in this time-frame</t>
  </si>
  <si>
    <t>From Literature (e.g. Starlink)</t>
  </si>
  <si>
    <t>Not used in model yet</t>
  </si>
  <si>
    <t>Assuming 10 m resolution, 290 km swath, and 3.7km/s ground speed, 4 bands and 10x saving by predefined ROIs</t>
  </si>
  <si>
    <t>Use-Case 1 (Scout-Mothership) Value Comments</t>
  </si>
  <si>
    <t>Use-Case 2 (LEO client, GEO SDC) Value Comments</t>
  </si>
  <si>
    <t>Default Year for the application is 2035 - Some technological advancement needed</t>
  </si>
  <si>
    <t>https://www.sciencedirect.com/topics/engineering/geostationary-satellite</t>
  </si>
  <si>
    <t>Assume 1 seconds between high-res image and maximum of ~ 5 Gbps Link to GEO (625 MB)</t>
  </si>
  <si>
    <t>Need to find a tradeoff between power-usage for compute and communication!</t>
  </si>
  <si>
    <t>I.e. We CANNOT afford to do expensive computation, as power will NOT be available for it!</t>
  </si>
  <si>
    <t xml:space="preserve">Assuming relatively large Client objects </t>
  </si>
  <si>
    <t>Assuming a small, full-fledged data-center there, only limited by power</t>
  </si>
  <si>
    <t xml:space="preserve">Only SDC on GEO considered … </t>
  </si>
  <si>
    <t>For full global coverage</t>
  </si>
  <si>
    <t>Considering only 1 concurrent client, but fully exploiting the communication bandwidth (TDM)</t>
  </si>
  <si>
    <t>Only one terminal per SDC needed</t>
  </si>
  <si>
    <t>Assuming GEO orbit and neglecting few 1000 km deviation from NADIR</t>
  </si>
  <si>
    <t>Needs to be experimented with, what still yields sufficient compute - 3000 seems quite a lot today!</t>
  </si>
  <si>
    <t>Literature points to 2-3 kW overall budget!</t>
  </si>
  <si>
    <t>Assuming same as for LEO</t>
  </si>
  <si>
    <t>Assuming higher value as default year is 2035</t>
  </si>
  <si>
    <t>Going big to insure workload and longer lifetime/relevance</t>
  </si>
  <si>
    <t>Default is GPU … if mostly compression is desired, likely an ASIC will do a better job in the long run!</t>
  </si>
  <si>
    <t>For GEO, LEO-Orbit is set to 1 for math</t>
  </si>
  <si>
    <t>USE "Scout" for ALL LEO applications</t>
  </si>
  <si>
    <t>See SDC_Satellite L34, E_S_N G22-24</t>
  </si>
  <si>
    <t>TESAT TOSIRIS/Skyloom</t>
  </si>
  <si>
    <t>Either Compute or communication: If Communication: Skyloom: 1-10 Gbps</t>
  </si>
  <si>
    <t>Assuming raw-data to be transferred</t>
  </si>
  <si>
    <t>Canot have high bandwidth communication AND high number of clients</t>
  </si>
  <si>
    <t>Use-Case 3 (Lunar lander as SDC, GEO/LaGrange Relais, Rovers as clients)</t>
  </si>
  <si>
    <t>Default year of application -&gt; 2040</t>
  </si>
  <si>
    <t>Relatively low resolution per time images or sensor data</t>
  </si>
  <si>
    <t>Assuming some autonomy of rover, thus average data-recurrency rather low</t>
  </si>
  <si>
    <t>Rather moderate workload per data expected through redundancy of acquisitions</t>
  </si>
  <si>
    <t>Relatively high storage volume foreseen for redundancy and key-frame storage</t>
  </si>
  <si>
    <t>Small chunks of data don't require a lot of working memory</t>
  </si>
  <si>
    <t>Small workloads expected with rather virualization than distributed high-performance computing</t>
  </si>
  <si>
    <t>Some Rovers, 1 SDC (Lander), direct optical link to earth (with relay at laGrange Point - not modeled)</t>
  </si>
  <si>
    <t>1 equivalent on lunar surface</t>
  </si>
  <si>
    <t>1 equvalent to lander</t>
  </si>
  <si>
    <t>Lunar Surface…should not make any notable difference here</t>
  </si>
  <si>
    <t>1 - with adjustment…Distance Moon-Earth serves as GEO substitute here</t>
  </si>
  <si>
    <t>Single one to mimick Moon-Earth Communication Distance</t>
  </si>
  <si>
    <t>Higher number of rovers here</t>
  </si>
  <si>
    <t>1 Terminal from lander to Earth</t>
  </si>
  <si>
    <t>Relatively small given thee large distance, otherwise power would go through the roof!!</t>
  </si>
  <si>
    <t>Wild Assumption here - Check if communication and compute fit in!!</t>
  </si>
  <si>
    <t>Educated assumption</t>
  </si>
  <si>
    <t>Educated assumption - rather high</t>
  </si>
  <si>
    <t>Somewhere low for 2040 probably</t>
  </si>
  <si>
    <t>Mimicking efficiency and behind hill capabilities of RF links through optical links at low distance of 100 km</t>
  </si>
  <si>
    <t xml:space="preserve">To account for software updates, something fully programmable is assumed </t>
  </si>
  <si>
    <t>6 years is probably rather high … better values appreciated!</t>
  </si>
  <si>
    <t>Moon-Earth Distance distance would yield too high power consumption for communication -&gt; GEO Orbit Distance (~/10) Nedd to Check!!!</t>
  </si>
  <si>
    <t>Rover-SDC RF links modeled as low-data-rate optical links up to 100 km, Launch-Cost assumed 5x of GEO</t>
  </si>
  <si>
    <t>Battery Required vs. Available cycles</t>
  </si>
  <si>
    <t>https://www.nsr.com/space-traffic-data-volumes-increase-14x-over-the-next-ten-years/</t>
  </si>
  <si>
    <t>Eventually needs to level-off!! - finite orbits and trend towards larger satellites!</t>
  </si>
  <si>
    <t>(LEO) Data Acquistion Volume per second</t>
  </si>
  <si>
    <t>Download Cost of all Data (per Second)</t>
  </si>
  <si>
    <t>See columns AJ and following</t>
  </si>
  <si>
    <t>Cost per GFLOP</t>
  </si>
  <si>
    <t>CPU [Euro/GFLOP)</t>
  </si>
  <si>
    <t>Cost to compress all Data by 1000x (U-Net Insights)</t>
  </si>
  <si>
    <t>Total cost of compression and downloading</t>
  </si>
  <si>
    <t>Download Cost of 1000x compressed Data [Euro/sec]</t>
  </si>
  <si>
    <t>Below is a static figure, based on the assumption that download capacity from space will always be 1 to several orders of magnitude behind required bandwidth from data-acquisition perspective</t>
  </si>
  <si>
    <t>Here we assume 3-times aggregated Starlink Downlink capacity with "reasonable" growth-rates</t>
  </si>
  <si>
    <t xml:space="preserve">With quite conservative assumptions on the AI model which will not change over time, for a GPU-Scenario, we observe that eventually edge-computing will not just require faster insights, </t>
  </si>
  <si>
    <t>But will also be more cost-effective, than downlinking raw-data!</t>
  </si>
  <si>
    <t>Link-Distance LEO-LEO</t>
  </si>
  <si>
    <t>Intersattelite Distance LEO-LEO</t>
  </si>
  <si>
    <t>Circular orbit only! Invalid for "Lunar"</t>
  </si>
  <si>
    <t>Just significant!</t>
  </si>
  <si>
    <t>Considering storage is not very expensive! - CHECK "equivalent Orbit-Time"!</t>
  </si>
  <si>
    <t>(Fully exploiting available power)</t>
  </si>
  <si>
    <t>User Defined 1 (Generic LEO-LEO shared compute resources)</t>
  </si>
  <si>
    <t>User Defined 2 (copy of Generic LEO-LEO shared compute resources)</t>
  </si>
  <si>
    <t>Orbital night times a factor</t>
  </si>
  <si>
    <t>No GEO component!</t>
  </si>
  <si>
    <t>Reasonable coverage - see SDC_Constellation sheet</t>
  </si>
  <si>
    <t>Trying to be reasonable</t>
  </si>
  <si>
    <t>Account for future workloads</t>
  </si>
  <si>
    <t>1 day worth of today's satellite data</t>
  </si>
  <si>
    <t>Account for multiple clients and limited number of ground stations</t>
  </si>
  <si>
    <t>Given Time-Horizon, probably GPU</t>
  </si>
  <si>
    <t>Same as Starlink</t>
  </si>
  <si>
    <t>='SDC Summary'!$H$93</t>
  </si>
  <si>
    <t>Battery_Cycles_Required</t>
  </si>
  <si>
    <t>='SDC Summary'!$H$95</t>
  </si>
  <si>
    <t>=Technology_Roadmap!$B$57</t>
  </si>
  <si>
    <t>=Technology_Roadmap!$C$57</t>
  </si>
  <si>
    <t>Col_ID_User_Scenarios</t>
  </si>
  <si>
    <t>=temp_data!$AG$1</t>
  </si>
  <si>
    <t>='Use-Case Definitions'!$Q$20</t>
  </si>
  <si>
    <t>=Technology_Roadmap!$B$117</t>
  </si>
  <si>
    <t>=Technology_Roadmap!$C$117</t>
  </si>
  <si>
    <t>=Technology_Roadmap!$B$114</t>
  </si>
  <si>
    <t>=Technology_Roadmap!$C$114</t>
  </si>
  <si>
    <t>=Technology_Roadmap!$B$116</t>
  </si>
  <si>
    <t>=Technology_Roadmap!$C$116</t>
  </si>
  <si>
    <t>=Technology_Roadmap!$B$9</t>
  </si>
  <si>
    <t>=Technology_Roadmap!$C$9</t>
  </si>
  <si>
    <t>Compute_Cost_GFLOPS_def</t>
  </si>
  <si>
    <t>=Technology_Roadmap!$B$115</t>
  </si>
  <si>
    <t>=Technology_Roadmap!$C$115</t>
  </si>
  <si>
    <t>=Technology_Roadmap!$B$118</t>
  </si>
  <si>
    <t>=Technology_Roadmap!$C$118</t>
  </si>
  <si>
    <t>Compute_Intensity</t>
  </si>
  <si>
    <t>='SDC Summary'!$H$24</t>
  </si>
  <si>
    <t>=Technology_Roadmap!$B$111</t>
  </si>
  <si>
    <t>=Technology_Roadmap!$C$111</t>
  </si>
  <si>
    <t>=Technology_Roadmap!$B$108</t>
  </si>
  <si>
    <t>=Technology_Roadmap!$C$108</t>
  </si>
  <si>
    <t>=Technology_Roadmap!$B$110</t>
  </si>
  <si>
    <t>=Technology_Roadmap!$C$110</t>
  </si>
  <si>
    <t>Compute_Power_GFLOPS_def</t>
  </si>
  <si>
    <t>=Technology_Roadmap!$B$109</t>
  </si>
  <si>
    <t>=Technology_Roadmap!$C$109</t>
  </si>
  <si>
    <t>=Technology_Roadmap!$B$112</t>
  </si>
  <si>
    <t>=Technology_Roadmap!$C$112</t>
  </si>
  <si>
    <t>=Technology_Roadmap!$B$123</t>
  </si>
  <si>
    <t>=Technology_Roadmap!$C$123</t>
  </si>
  <si>
    <t>=Technology_Roadmap!$B$120</t>
  </si>
  <si>
    <t>=Technology_Roadmap!$C$120</t>
  </si>
  <si>
    <t>=Technology_Roadmap!$B$122</t>
  </si>
  <si>
    <t>=Technology_Roadmap!$C$122</t>
  </si>
  <si>
    <t>=Technology_Roadmap!$B$121</t>
  </si>
  <si>
    <t>=Technology_Roadmap!$C$121</t>
  </si>
  <si>
    <t>=Technology_Roadmap!$B$124</t>
  </si>
  <si>
    <t>=Technology_Roadmap!$C$124</t>
  </si>
  <si>
    <t>='Use-Case Definitions'!$Q$18</t>
  </si>
  <si>
    <t>='SDC Summary'!$AH$66</t>
  </si>
  <si>
    <t>='SDC Summary'!$AH$65</t>
  </si>
  <si>
    <t>='SDC Summary'!$AH$61</t>
  </si>
  <si>
    <t>='SDC Summary'!$AH$56</t>
  </si>
  <si>
    <t>='SDC Summary'!$AH$57</t>
  </si>
  <si>
    <t>='SDC Summary'!$AH$59</t>
  </si>
  <si>
    <t>='SDC Summary'!$AH$63</t>
  </si>
  <si>
    <t>='SDC Summary'!$AH$67</t>
  </si>
  <si>
    <t>='SDC Summary'!$AH$64</t>
  </si>
  <si>
    <t>CUSTOM_DATA_LOWER</t>
  </si>
  <si>
    <t>='SDC Summary'!$W$122</t>
  </si>
  <si>
    <t>CUSTOM_DATA_REF</t>
  </si>
  <si>
    <t>='SDC Summary'!$V$122</t>
  </si>
  <si>
    <t>CUSTOM_DATA_UPPER</t>
  </si>
  <si>
    <t>='SDC Summary'!$X$122</t>
  </si>
  <si>
    <t>=Technology_Roadmap!$F$117</t>
  </si>
  <si>
    <t>=Technology_Roadmap!$F$111</t>
  </si>
  <si>
    <t>=Technology_Roadmap!$F$123</t>
  </si>
  <si>
    <t>=Technology_Roadmap!$F$57</t>
  </si>
  <si>
    <t>=Technology_Roadmap!$F$114</t>
  </si>
  <si>
    <t>=Technology_Roadmap!$F$108</t>
  </si>
  <si>
    <t>=Technology_Roadmap!$F$120</t>
  </si>
  <si>
    <t>=Technology_Roadmap!$F$116</t>
  </si>
  <si>
    <t>=Technology_Roadmap!$F$110</t>
  </si>
  <si>
    <t>=Technology_Roadmap!$F$122</t>
  </si>
  <si>
    <t>=Technology_Roadmap!$F$115</t>
  </si>
  <si>
    <t>=Technology_Roadmap!$F$109</t>
  </si>
  <si>
    <t>=Technology_Roadmap!$F$121</t>
  </si>
  <si>
    <t>=Technology_Roadmap!$F$9</t>
  </si>
  <si>
    <t>=Technology_Roadmap!$F$21</t>
  </si>
  <si>
    <t>=Technology_Roadmap!$F$37</t>
  </si>
  <si>
    <t>=Technology_Roadmap!$F$36</t>
  </si>
  <si>
    <t>=Technology_Roadmap!$F$26</t>
  </si>
  <si>
    <t>=Technology_Roadmap!$F$30</t>
  </si>
  <si>
    <t>=Technology_Roadmap!$F$27</t>
  </si>
  <si>
    <t>=Technology_Roadmap!$F$25</t>
  </si>
  <si>
    <t>=Technology_Roadmap!$F$43</t>
  </si>
  <si>
    <t>=Technology_Roadmap!$F$41</t>
  </si>
  <si>
    <t>=Technology_Roadmap!$F$42</t>
  </si>
  <si>
    <t>=Technology_Roadmap!$F$118</t>
  </si>
  <si>
    <t>=Technology_Roadmap!$F$112</t>
  </si>
  <si>
    <t>=Technology_Roadmap!$F$124</t>
  </si>
  <si>
    <t>=Technology_Roadmap!$F$63</t>
  </si>
  <si>
    <t>=Technology_Roadmap!$F$15</t>
  </si>
  <si>
    <t>Frequency_of_DataObjects</t>
  </si>
  <si>
    <t>='SDC Summary'!$H$22</t>
  </si>
  <si>
    <t>='SDC Summary'!$H$71</t>
  </si>
  <si>
    <t>GEO_SDCs_on_Orbit</t>
  </si>
  <si>
    <t>='SDC Summary'!$H$69</t>
  </si>
  <si>
    <t>='Use-Case Definitions'!$Q$6</t>
  </si>
  <si>
    <t>='SDC Summary'!$H$61</t>
  </si>
  <si>
    <t>='SDC Summary'!$H$64</t>
  </si>
  <si>
    <t>='SDC Summary'!$H$57</t>
  </si>
  <si>
    <t>='SDC Summary'!$H$65</t>
  </si>
  <si>
    <t>='SDC Summary'!$H$59</t>
  </si>
  <si>
    <t>='SDC Summary'!$H$63</t>
  </si>
  <si>
    <t>='Use-Case Definitions'!$Q$5</t>
  </si>
  <si>
    <t>='Use-Case Definitions'!$Q$7</t>
  </si>
  <si>
    <t>=Technology_Roadmap!$F$51</t>
  </si>
  <si>
    <t>='Use-Case Definitions'!$Q$8</t>
  </si>
  <si>
    <t>=Technology_Roadmap!$B$21</t>
  </si>
  <si>
    <t>=Technology_Roadmap!$C$21</t>
  </si>
  <si>
    <t>='Use-Case Definitions'!$Q$19</t>
  </si>
  <si>
    <t>='SDC Summary'!$H$41</t>
  </si>
  <si>
    <t>='Use-Case Definitions'!$Q$9</t>
  </si>
  <si>
    <t>=Technology_Roadmap!$B$37</t>
  </si>
  <si>
    <t>=Technology_Roadmap!$C$37</t>
  </si>
  <si>
    <t>='SDC Summary'!$H$77</t>
  </si>
  <si>
    <t>='SDC Summary'!$H$79</t>
  </si>
  <si>
    <t>='SDC Summary'!$H$75</t>
  </si>
  <si>
    <t>=Technology_Roadmap!$B$36</t>
  </si>
  <si>
    <t>=Technology_Roadmap!$C$36</t>
  </si>
  <si>
    <t>=Technology_Roadmap!$B$30</t>
  </si>
  <si>
    <t>=Technology_Roadmap!$C$30</t>
  </si>
  <si>
    <t>=Technology_Roadmap!$C$26</t>
  </si>
  <si>
    <t>='SDC Summary'!$H$117</t>
  </si>
  <si>
    <t>=Technology_Roadmap!$B$27</t>
  </si>
  <si>
    <t>=Technology_Roadmap!$C$27</t>
  </si>
  <si>
    <t>='SDC Summary'!$H$37</t>
  </si>
  <si>
    <t>='SDC Summary'!$H$119</t>
  </si>
  <si>
    <t>=Technology_Roadmap!$C$25</t>
  </si>
  <si>
    <t>='Use-Case Definitions'!$Q$17</t>
  </si>
  <si>
    <t>=Technology_Roadmap!$B$43</t>
  </si>
  <si>
    <t>=Technology_Roadmap!$C$43</t>
  </si>
  <si>
    <t>=Technology_Roadmap!$B$41</t>
  </si>
  <si>
    <t>=Technology_Roadmap!$C$41</t>
  </si>
  <si>
    <t>=Technology_Roadmap!$B$42</t>
  </si>
  <si>
    <t>=Technology_Roadmap!$C$42</t>
  </si>
  <si>
    <t>='SDC Summary'!$H$89</t>
  </si>
  <si>
    <t>='SDC Summary'!$H$97</t>
  </si>
  <si>
    <t>=Technology_Roadmap!$B$51</t>
  </si>
  <si>
    <t>=Technology_Roadmap!$C$51</t>
  </si>
  <si>
    <t>Row_ID_ASIC_Cost</t>
  </si>
  <si>
    <t>=Technology_Roadmap!$A$117</t>
  </si>
  <si>
    <t>Row_ID_ASIC_Performance</t>
  </si>
  <si>
    <t>=Technology_Roadmap!$A$111</t>
  </si>
  <si>
    <t>Row_ID_ASIC_Weight</t>
  </si>
  <si>
    <t>=Technology_Roadmap!$A$123</t>
  </si>
  <si>
    <t>Row_ID_Cost_Per_Compute</t>
  </si>
  <si>
    <t>=Technology_Roadmap!$A$5</t>
  </si>
  <si>
    <t>Row_ID_CPU_Cost</t>
  </si>
  <si>
    <t>=Technology_Roadmap!$A$114</t>
  </si>
  <si>
    <t>Row_ID_CPU_Performance</t>
  </si>
  <si>
    <t>=Technology_Roadmap!$A$108</t>
  </si>
  <si>
    <t>Row_ID_CPU_Weight</t>
  </si>
  <si>
    <t>=Technology_Roadmap!$A$120</t>
  </si>
  <si>
    <t>Row_ID_FPGA_Cost</t>
  </si>
  <si>
    <t>=Technology_Roadmap!$A$116</t>
  </si>
  <si>
    <t>Row_ID_FPGA_Performance</t>
  </si>
  <si>
    <t>=Technology_Roadmap!$A$110</t>
  </si>
  <si>
    <t>Row_ID_FPGA_Weight</t>
  </si>
  <si>
    <t>=Technology_Roadmap!$A$122</t>
  </si>
  <si>
    <t>Row_ID_GPU_Cost</t>
  </si>
  <si>
    <t>=Technology_Roadmap!$A$115</t>
  </si>
  <si>
    <t>Row_ID_GPU_Performance</t>
  </si>
  <si>
    <t>=Technology_Roadmap!$A$109</t>
  </si>
  <si>
    <t>Row_ID_GPU_Weight</t>
  </si>
  <si>
    <t>=Technology_Roadmap!$A$121</t>
  </si>
  <si>
    <t>Row_ID_Interactive_Plot_Data</t>
  </si>
  <si>
    <t>=temp_data!$A$120</t>
  </si>
  <si>
    <t>Row_ID_Power_Per_Compute</t>
  </si>
  <si>
    <t>=Technology_Roadmap!$A$4</t>
  </si>
  <si>
    <t>Row_ID_Q_Cost</t>
  </si>
  <si>
    <t>=Technology_Roadmap!$A$118</t>
  </si>
  <si>
    <t>Row_ID_Q_Performance</t>
  </si>
  <si>
    <t>=Technology_Roadmap!$A$112</t>
  </si>
  <si>
    <t>Row_ID_Q_Weight</t>
  </si>
  <si>
    <t>=Technology_Roadmap!$A$124</t>
  </si>
  <si>
    <t>Row_ID_SDC_Cost_per_GFLOP</t>
  </si>
  <si>
    <t>=temp_data!$A$103</t>
  </si>
  <si>
    <t>Row_ID_SDC_YEAR</t>
  </si>
  <si>
    <t>=temp_data!$A$1</t>
  </si>
  <si>
    <t>Row_ID_Weight_Per_Compute</t>
  </si>
  <si>
    <t>=Technology_Roadmap!$A$6</t>
  </si>
  <si>
    <t>='SDC Summary'!$H$91</t>
  </si>
  <si>
    <t>='SDC Summary'!$H$106</t>
  </si>
  <si>
    <t>='SDC Summary'!$H$125</t>
  </si>
  <si>
    <t>='SDC Summary'!$H$108</t>
  </si>
  <si>
    <t>='SDC Summary'!$H$39</t>
  </si>
  <si>
    <t>='SDC Summary'!$H$28</t>
  </si>
  <si>
    <t>SDC_Storage_numb_hours_def</t>
  </si>
  <si>
    <t>='SDC Summary'!$I$28</t>
  </si>
  <si>
    <t>='SDC Summary'!$H$110</t>
  </si>
  <si>
    <t>SDCs_Numb_Clients</t>
  </si>
  <si>
    <t>='SDC Summary'!$H$73</t>
  </si>
  <si>
    <t>Select_Trace_Comp_per_Weight</t>
  </si>
  <si>
    <t>='SDC Summary'!$P$101</t>
  </si>
  <si>
    <t>Select_Trace_Cost_Compute</t>
  </si>
  <si>
    <t>='SDC Summary'!$P$103</t>
  </si>
  <si>
    <t>Select_Trace_Cost_per_Power</t>
  </si>
  <si>
    <t>='SDC Summary'!$P$105</t>
  </si>
  <si>
    <t>Select_Trace_Cost_Sat</t>
  </si>
  <si>
    <t>='SDC Summary'!$P$102</t>
  </si>
  <si>
    <t>Select_Trace_Custom</t>
  </si>
  <si>
    <t>='SDC Summary'!$P$106</t>
  </si>
  <si>
    <t>Select_Trace_Pod_Compute</t>
  </si>
  <si>
    <t>='SDC Summary'!$P$99</t>
  </si>
  <si>
    <t>Select_Trace_Pod_Cost</t>
  </si>
  <si>
    <t>='SDC Summary'!$P$94</t>
  </si>
  <si>
    <t>Select_Trace_Pod_Memory</t>
  </si>
  <si>
    <t>='SDC Summary'!$P$100</t>
  </si>
  <si>
    <t>Select_Trace_Pod_Power</t>
  </si>
  <si>
    <t>='SDC Summary'!$P$95</t>
  </si>
  <si>
    <t>Select_Trace_Pod_Weight</t>
  </si>
  <si>
    <t>='SDC Summary'!$P$96</t>
  </si>
  <si>
    <t>Select_Trace_Power_Compute</t>
  </si>
  <si>
    <t>='SDC Summary'!$P$104</t>
  </si>
  <si>
    <t>Select_Trace_Sat_Weight</t>
  </si>
  <si>
    <t>='SDC Summary'!$P$97</t>
  </si>
  <si>
    <t>Select_Trace_Weight_Ratio</t>
  </si>
  <si>
    <t>='SDC Summary'!$P$98</t>
  </si>
  <si>
    <t>Single_Object_Size</t>
  </si>
  <si>
    <t>='SDC Summary'!$H$20</t>
  </si>
  <si>
    <t>='Use-Case Definitions'!$Q$16</t>
  </si>
  <si>
    <t>=Technology_Roadmap!$B$15</t>
  </si>
  <si>
    <t>=Technology_Roadmap!$C$15</t>
  </si>
  <si>
    <t>='SDC Summary'!$H$132</t>
  </si>
  <si>
    <t>='SDC Summary'!$H$134</t>
  </si>
  <si>
    <t>='SDC Summary'!$H$136</t>
  </si>
  <si>
    <t>=Technology_Roadmap!$B$63</t>
  </si>
  <si>
    <t>=Technology_Roadmap!$C$63</t>
  </si>
  <si>
    <t>='SDC Summary'!$H$101</t>
  </si>
  <si>
    <t>='SDC Summary'!$H$99</t>
  </si>
  <si>
    <t>=Technology_Roadmap!$C$3</t>
  </si>
  <si>
    <t>='SDC Summary'!$H$18</t>
  </si>
  <si>
    <t>='SDC Summary'!$H$55</t>
  </si>
  <si>
    <t>='Use-Case Definitions'!$Q$4</t>
  </si>
  <si>
    <t>UI_Comm_Encrypt_Level</t>
  </si>
  <si>
    <t>='SDC Summary'!$H$47</t>
  </si>
  <si>
    <t>UI_Network_Intensity</t>
  </si>
  <si>
    <t>='SDC Summary'!$H$35</t>
  </si>
  <si>
    <t>UI_PV_Type</t>
  </si>
  <si>
    <t>='SDC Summary'!$H$129</t>
  </si>
  <si>
    <t>UI_Workload_Memory_total</t>
  </si>
  <si>
    <t>='SDC Summary'!$H$112</t>
  </si>
  <si>
    <t>USECASE</t>
  </si>
  <si>
    <t>='SDC Summary'!$K$8</t>
  </si>
  <si>
    <t>USR_Cost_per_kg</t>
  </si>
  <si>
    <t>=temp_data!$AG$71</t>
  </si>
  <si>
    <t>USR_Cost_per_kW</t>
  </si>
  <si>
    <t>=temp_data!$AG$95</t>
  </si>
  <si>
    <t>USR_Cost_per_TOPs</t>
  </si>
  <si>
    <t>=temp_data!$AG$79</t>
  </si>
  <si>
    <t>USR_GFLOPs_per_kg</t>
  </si>
  <si>
    <t>=temp_data!$AG$63</t>
  </si>
  <si>
    <t>USR_Independent_lower</t>
  </si>
  <si>
    <t>='SDC Summary'!$R$119</t>
  </si>
  <si>
    <t>USR_Independent_variable</t>
  </si>
  <si>
    <t>=temp_data!$A$121</t>
  </si>
  <si>
    <t>USR_Independet_upper</t>
  </si>
  <si>
    <t>='SDC Summary'!$T$119</t>
  </si>
  <si>
    <t>USR_PayloadRatio</t>
  </si>
  <si>
    <t>=temp_data!$AG$36</t>
  </si>
  <si>
    <t>USR_Pod_Compute</t>
  </si>
  <si>
    <t>=temp_data!$AG$44</t>
  </si>
  <si>
    <t>USR_Pod_Cost</t>
  </si>
  <si>
    <t>=temp_data!$AG$3</t>
  </si>
  <si>
    <t>USR_Pod_Memory</t>
  </si>
  <si>
    <t>=temp_data!$AG$52</t>
  </si>
  <si>
    <t>USR_Pod_Power</t>
  </si>
  <si>
    <t>=temp_data!$AG$11</t>
  </si>
  <si>
    <t>USR_Pod_Storage</t>
  </si>
  <si>
    <t>=temp_data!$AG$60</t>
  </si>
  <si>
    <t>USR_Pod_Weight</t>
  </si>
  <si>
    <t>=temp_data!$AG$19</t>
  </si>
  <si>
    <t>USR_SDC_Weight</t>
  </si>
  <si>
    <t>=temp_data!$AG$27</t>
  </si>
  <si>
    <t>USR_Sensitivity_Comp_Type</t>
  </si>
  <si>
    <t>='SDC Summary'!$P$122</t>
  </si>
  <si>
    <t>USR_Sensitivity_independent</t>
  </si>
  <si>
    <t>='SDC Summary'!$P$116</t>
  </si>
  <si>
    <t>USR_Total_Cost_Satellite</t>
  </si>
  <si>
    <t>='SDC Summary'!$AH$24</t>
  </si>
  <si>
    <t>USR_Watt_per_TOPs</t>
  </si>
  <si>
    <t>=temp_data!$AG$87</t>
  </si>
  <si>
    <t>='SDC Summary'!$H$45</t>
  </si>
  <si>
    <t>='SDC Summary'!$H$43</t>
  </si>
  <si>
    <t>Workload_Compute_all_clients</t>
  </si>
  <si>
    <t>='SDC Summary'!$H$26</t>
  </si>
  <si>
    <t>='SDC Summary'!$H$33</t>
  </si>
  <si>
    <t>='SDC Summary'!$H$30</t>
  </si>
  <si>
    <t>This value is key and affects everything!</t>
  </si>
  <si>
    <t>Compare to AI compression ratio</t>
  </si>
  <si>
    <t>https://www.nsr.com/?research=space-traffic-study-3rd-edition</t>
  </si>
  <si>
    <t>https://www.statista.com/statistics/897719/number-of-active-satellites-by-year/</t>
  </si>
  <si>
    <t>On this sheet we aim at deriving a figure that depicts an inflection point, where total cost of data-compression at the edge becomes economically more viable than downloading data.</t>
  </si>
  <si>
    <t>For this purpose we look at total aggregated data produced in space, but acknowledge, that the economy will also apply to individual satellites.</t>
  </si>
  <si>
    <t>Performance  Roadmap for different Compute Technologies -&gt; Sanity Checking of Data</t>
  </si>
  <si>
    <t>Assumed Growth-Rate for 2x after 2022 in years</t>
  </si>
  <si>
    <t>Assumed Growth time for 2x in years</t>
  </si>
  <si>
    <t>Aggregated Data-Generation all Satellites [GB/s]</t>
  </si>
  <si>
    <t>TBD</t>
  </si>
  <si>
    <t>Compute Type Preselected:</t>
  </si>
  <si>
    <t>Compute Intensity:</t>
  </si>
  <si>
    <t>GFLOP/MB of Client Data</t>
  </si>
  <si>
    <t>(Must change in Formula of following row)</t>
  </si>
  <si>
    <t>Cost to download compressed data [Euro/per second]</t>
  </si>
  <si>
    <t>Cost to download all data [Euro/per second] (starts 2023)</t>
  </si>
  <si>
    <t>Cost to compress all data (1000x) AND download to GS [Euro/second]</t>
  </si>
  <si>
    <t>Cost to compress AND download [Euro/second]</t>
  </si>
  <si>
    <t>Reference Benchmark Data (See EdgeAI_vs_download Sheet)</t>
  </si>
  <si>
    <t>In case you observe a "jump" on one of the graphs, this is due to too low a power envelope, such that no compute will be available at that time in the roadmap. Data after the jump can be interpreted as for other cases.</t>
  </si>
  <si>
    <t>As an example for a cost estimation we extrapolate estimated Starlink data- downlink cost. Feel free to use ground station or other data available to you.</t>
  </si>
  <si>
    <t>Data produced per EO Satellite [GB/s]</t>
  </si>
  <si>
    <t>Total Number of Satellites in Orbit (Statista reconstruction)</t>
  </si>
  <si>
    <t>Euro/GOPs</t>
  </si>
  <si>
    <t>UseCase 1</t>
  </si>
  <si>
    <t>Cost per Power (spent)</t>
  </si>
  <si>
    <t>Use Case 2</t>
  </si>
  <si>
    <t>Use Case 3</t>
  </si>
  <si>
    <t>Compute Efficiency (W/TOPS)</t>
  </si>
  <si>
    <t>UseCase 2</t>
  </si>
  <si>
    <t>UseCase3</t>
  </si>
  <si>
    <t>Cost of Compute [Euro/GOPS]</t>
  </si>
  <si>
    <t>SDC Cost per GOps</t>
  </si>
  <si>
    <t>IBM Research Europe</t>
  </si>
  <si>
    <t>Licensed under Apache-2.0 License</t>
  </si>
  <si>
    <t>Please read accompanying manual and other documents.</t>
  </si>
  <si>
    <t>Default year - 2032</t>
  </si>
  <si>
    <t>For questions or suggestions, please use github tools or reach out to Jonas: jwe@zurich.ibm.com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</si>
</sst>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00"/>
    <numFmt numFmtId="166" formatCode="0.000"/>
    <numFmt numFmtId="167" formatCode="0_ ;[Red]\-0\ "/>
    <numFmt numFmtId="168" formatCode="0.0_ ;[Red]\-0.0\ "/>
    <numFmt numFmtId="169" formatCode="#,##0_ ;[Red]\-#,##0\ "/>
    <numFmt numFmtId="170" formatCode="0.00_ ;[Red]\-0.00\ "/>
    <numFmt numFmtId="171" formatCode="0.0000"/>
  </numFmts>
  <fonts count="49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1"/>
      <name val="Calibri (Body)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C000"/>
      <name val="Calibri"/>
      <family val="2"/>
      <scheme val="minor"/>
    </font>
    <font>
      <sz val="16"/>
      <color theme="0" tint="-0.249977111117893"/>
      <name val="Calibri"/>
      <family val="2"/>
      <scheme val="minor"/>
    </font>
    <font>
      <sz val="13"/>
      <color rgb="FF000000"/>
      <name val="Lucida Grande"/>
      <family val="2"/>
    </font>
    <font>
      <sz val="16"/>
      <color rgb="FFFF0000"/>
      <name val="Calibri"/>
      <family val="2"/>
      <scheme val="minor"/>
    </font>
    <font>
      <sz val="16"/>
      <color rgb="FF00B05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theme="1"/>
      <name val="Arial"/>
      <family val="2"/>
    </font>
    <font>
      <sz val="12"/>
      <color theme="0" tint="-0.249977111117893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6"/>
      <color theme="1"/>
      <name val="Calibri (Body)"/>
    </font>
    <font>
      <sz val="16"/>
      <color theme="0" tint="-0.14999847407452621"/>
      <name val="Calibri"/>
      <family val="2"/>
      <scheme val="minor"/>
    </font>
    <font>
      <vertAlign val="superscript"/>
      <sz val="16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0"/>
      <color rgb="FF0C0D0E"/>
      <name val="Inherit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FF0000"/>
      <name val="Calibri"/>
      <family val="2"/>
    </font>
    <font>
      <b/>
      <sz val="36"/>
      <color rgb="FF000000"/>
      <name val="Calibri"/>
      <family val="2"/>
    </font>
    <font>
      <sz val="9.6"/>
      <color rgb="FF000000"/>
      <name val="Aptos Narrow"/>
    </font>
    <font>
      <sz val="12"/>
      <color rgb="FF000000"/>
      <name val="Aptos Narrow"/>
    </font>
    <font>
      <b/>
      <sz val="26"/>
      <color theme="1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53">
    <border>
      <left/>
      <right/>
      <top/>
      <bottom/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/>
      <top/>
      <bottom/>
      <diagonal/>
    </border>
    <border>
      <left/>
      <right style="medium">
        <color rgb="FF00B050"/>
      </right>
      <top/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B0F0"/>
      </left>
      <right/>
      <top style="medium">
        <color rgb="FF00B0F0"/>
      </top>
      <bottom/>
      <diagonal/>
    </border>
    <border>
      <left/>
      <right/>
      <top style="medium">
        <color rgb="FF00B0F0"/>
      </top>
      <bottom/>
      <diagonal/>
    </border>
    <border>
      <left/>
      <right style="medium">
        <color rgb="FF00B0F0"/>
      </right>
      <top style="medium">
        <color rgb="FF00B0F0"/>
      </top>
      <bottom/>
      <diagonal/>
    </border>
    <border>
      <left style="medium">
        <color rgb="FF00B0F0"/>
      </left>
      <right/>
      <top/>
      <bottom/>
      <diagonal/>
    </border>
    <border>
      <left/>
      <right style="medium">
        <color rgb="FF00B0F0"/>
      </right>
      <top/>
      <bottom/>
      <diagonal/>
    </border>
    <border>
      <left style="medium">
        <color rgb="FF00B0F0"/>
      </left>
      <right/>
      <top/>
      <bottom style="medium">
        <color rgb="FF00B0F0"/>
      </bottom>
      <diagonal/>
    </border>
    <border>
      <left/>
      <right/>
      <top/>
      <bottom style="medium">
        <color rgb="FF00B0F0"/>
      </bottom>
      <diagonal/>
    </border>
    <border>
      <left/>
      <right style="medium">
        <color rgb="FF00B0F0"/>
      </right>
      <top/>
      <bottom style="medium">
        <color rgb="FF00B0F0"/>
      </bottom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/>
      <diagonal/>
    </border>
    <border>
      <left/>
      <right style="medium">
        <color rgb="FFFFC000"/>
      </right>
      <top/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 style="thick">
        <color rgb="FF00B050"/>
      </left>
      <right/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/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/>
      <top/>
      <bottom/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3" fillId="4" borderId="0" applyNumberFormat="0" applyBorder="0" applyAlignment="0" applyProtection="0"/>
    <xf numFmtId="0" fontId="14" fillId="5" borderId="0" applyNumberFormat="0" applyBorder="0" applyAlignment="0" applyProtection="0"/>
    <xf numFmtId="0" fontId="48" fillId="0" borderId="0" applyNumberFormat="0" applyFill="0" applyBorder="0" applyAlignment="0" applyProtection="0"/>
  </cellStyleXfs>
  <cellXfs count="32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1" fillId="2" borderId="0" xfId="0" applyFont="1" applyFill="1"/>
    <xf numFmtId="0" fontId="0" fillId="2" borderId="0" xfId="0" applyFill="1"/>
    <xf numFmtId="0" fontId="6" fillId="0" borderId="0" xfId="0" applyFont="1"/>
    <xf numFmtId="0" fontId="5" fillId="0" borderId="0" xfId="0" applyFont="1"/>
    <xf numFmtId="0" fontId="7" fillId="0" borderId="0" xfId="0" applyFont="1"/>
    <xf numFmtId="0" fontId="8" fillId="0" borderId="0" xfId="0" applyFont="1"/>
    <xf numFmtId="0" fontId="3" fillId="2" borderId="0" xfId="0" applyFont="1" applyFill="1"/>
    <xf numFmtId="0" fontId="9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1" fillId="2" borderId="4" xfId="0" applyFont="1" applyFill="1" applyBorder="1"/>
    <xf numFmtId="0" fontId="0" fillId="2" borderId="5" xfId="0" applyFill="1" applyBorder="1"/>
    <xf numFmtId="0" fontId="0" fillId="0" borderId="4" xfId="0" applyBorder="1"/>
    <xf numFmtId="0" fontId="0" fillId="0" borderId="5" xfId="0" applyBorder="1"/>
    <xf numFmtId="0" fontId="9" fillId="0" borderId="4" xfId="0" applyFont="1" applyBorder="1"/>
    <xf numFmtId="0" fontId="0" fillId="0" borderId="6" xfId="0" applyBorder="1"/>
    <xf numFmtId="0" fontId="5" fillId="0" borderId="7" xfId="0" applyFont="1" applyBorder="1"/>
    <xf numFmtId="0" fontId="0" fillId="0" borderId="7" xfId="0" applyBorder="1"/>
    <xf numFmtId="0" fontId="0" fillId="0" borderId="8" xfId="0" applyBorder="1"/>
    <xf numFmtId="0" fontId="0" fillId="0" borderId="2" xfId="0" applyBorder="1"/>
    <xf numFmtId="0" fontId="0" fillId="0" borderId="3" xfId="0" applyBorder="1"/>
    <xf numFmtId="0" fontId="1" fillId="0" borderId="4" xfId="0" applyFont="1" applyBorder="1"/>
    <xf numFmtId="0" fontId="5" fillId="0" borderId="4" xfId="0" applyFont="1" applyBorder="1"/>
    <xf numFmtId="0" fontId="1" fillId="0" borderId="2" xfId="0" applyFont="1" applyBorder="1"/>
    <xf numFmtId="0" fontId="10" fillId="0" borderId="4" xfId="0" applyFont="1" applyBorder="1"/>
    <xf numFmtId="0" fontId="4" fillId="0" borderId="1" xfId="0" applyFont="1" applyBorder="1"/>
    <xf numFmtId="0" fontId="10" fillId="0" borderId="0" xfId="0" applyFont="1"/>
    <xf numFmtId="0" fontId="11" fillId="0" borderId="4" xfId="0" applyFont="1" applyBorder="1"/>
    <xf numFmtId="0" fontId="11" fillId="0" borderId="0" xfId="0" applyFont="1"/>
    <xf numFmtId="0" fontId="11" fillId="0" borderId="6" xfId="0" applyFont="1" applyBorder="1"/>
    <xf numFmtId="0" fontId="11" fillId="0" borderId="7" xfId="0" applyFont="1" applyBorder="1"/>
    <xf numFmtId="0" fontId="2" fillId="0" borderId="4" xfId="0" applyFont="1" applyBorder="1"/>
    <xf numFmtId="0" fontId="7" fillId="0" borderId="4" xfId="0" applyFont="1" applyBorder="1"/>
    <xf numFmtId="0" fontId="7" fillId="0" borderId="5" xfId="0" applyFont="1" applyBorder="1"/>
    <xf numFmtId="0" fontId="5" fillId="0" borderId="5" xfId="0" applyFont="1" applyBorder="1"/>
    <xf numFmtId="0" fontId="5" fillId="0" borderId="6" xfId="0" applyFont="1" applyBorder="1"/>
    <xf numFmtId="1" fontId="3" fillId="0" borderId="0" xfId="0" applyNumberFormat="1" applyFont="1"/>
    <xf numFmtId="1" fontId="7" fillId="0" borderId="0" xfId="0" applyNumberFormat="1" applyFont="1"/>
    <xf numFmtId="1" fontId="5" fillId="0" borderId="0" xfId="0" applyNumberFormat="1" applyFont="1"/>
    <xf numFmtId="1" fontId="11" fillId="0" borderId="0" xfId="0" applyNumberFormat="1" applyFont="1"/>
    <xf numFmtId="1" fontId="11" fillId="0" borderId="7" xfId="0" applyNumberFormat="1" applyFont="1" applyBorder="1"/>
    <xf numFmtId="1" fontId="0" fillId="0" borderId="0" xfId="0" applyNumberFormat="1"/>
    <xf numFmtId="0" fontId="12" fillId="0" borderId="4" xfId="0" applyFont="1" applyBorder="1"/>
    <xf numFmtId="0" fontId="12" fillId="0" borderId="5" xfId="0" applyFont="1" applyBorder="1"/>
    <xf numFmtId="1" fontId="12" fillId="0" borderId="0" xfId="0" applyNumberFormat="1" applyFont="1"/>
    <xf numFmtId="0" fontId="12" fillId="0" borderId="0" xfId="0" applyFont="1"/>
    <xf numFmtId="0" fontId="7" fillId="0" borderId="7" xfId="0" applyFont="1" applyBorder="1"/>
    <xf numFmtId="0" fontId="7" fillId="0" borderId="6" xfId="0" applyFont="1" applyBorder="1"/>
    <xf numFmtId="0" fontId="7" fillId="0" borderId="8" xfId="0" applyFont="1" applyBorder="1"/>
    <xf numFmtId="0" fontId="0" fillId="3" borderId="0" xfId="0" applyFill="1"/>
    <xf numFmtId="1" fontId="0" fillId="2" borderId="0" xfId="0" applyNumberFormat="1" applyFill="1"/>
    <xf numFmtId="164" fontId="0" fillId="2" borderId="0" xfId="0" applyNumberFormat="1" applyFill="1"/>
    <xf numFmtId="164" fontId="3" fillId="2" borderId="0" xfId="0" applyNumberFormat="1" applyFont="1" applyFill="1"/>
    <xf numFmtId="2" fontId="0" fillId="2" borderId="0" xfId="0" applyNumberFormat="1" applyFill="1"/>
    <xf numFmtId="2" fontId="0" fillId="0" borderId="0" xfId="0" applyNumberForma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0" fillId="6" borderId="0" xfId="0" applyFill="1"/>
    <xf numFmtId="0" fontId="18" fillId="0" borderId="0" xfId="0" applyFont="1"/>
    <xf numFmtId="0" fontId="19" fillId="0" borderId="0" xfId="0" applyFont="1"/>
    <xf numFmtId="0" fontId="14" fillId="3" borderId="0" xfId="2" applyFill="1" applyBorder="1"/>
    <xf numFmtId="0" fontId="19" fillId="6" borderId="0" xfId="0" applyFont="1" applyFill="1"/>
    <xf numFmtId="0" fontId="20" fillId="0" borderId="0" xfId="0" applyFont="1"/>
    <xf numFmtId="0" fontId="3" fillId="0" borderId="0" xfId="0" applyFont="1" applyAlignment="1">
      <alignment horizontal="right"/>
    </xf>
    <xf numFmtId="0" fontId="1" fillId="0" borderId="3" xfId="0" applyFont="1" applyBorder="1"/>
    <xf numFmtId="0" fontId="3" fillId="0" borderId="7" xfId="0" applyFont="1" applyBorder="1"/>
    <xf numFmtId="0" fontId="5" fillId="0" borderId="0" xfId="0" applyFont="1" applyAlignment="1">
      <alignment horizontal="right"/>
    </xf>
    <xf numFmtId="3" fontId="0" fillId="0" borderId="0" xfId="0" applyNumberFormat="1"/>
    <xf numFmtId="3" fontId="5" fillId="0" borderId="0" xfId="0" applyNumberFormat="1" applyFont="1"/>
    <xf numFmtId="3" fontId="7" fillId="0" borderId="0" xfId="0" applyNumberFormat="1" applyFont="1"/>
    <xf numFmtId="3" fontId="2" fillId="0" borderId="2" xfId="0" applyNumberFormat="1" applyFont="1" applyBorder="1"/>
    <xf numFmtId="3" fontId="0" fillId="0" borderId="7" xfId="0" applyNumberForma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0" fontId="0" fillId="7" borderId="0" xfId="0" applyFill="1"/>
    <xf numFmtId="0" fontId="0" fillId="8" borderId="0" xfId="0" applyFill="1"/>
    <xf numFmtId="0" fontId="0" fillId="8" borderId="10" xfId="0" applyFill="1" applyBorder="1"/>
    <xf numFmtId="0" fontId="5" fillId="2" borderId="0" xfId="0" applyFont="1" applyFill="1"/>
    <xf numFmtId="0" fontId="2" fillId="0" borderId="13" xfId="0" applyFont="1" applyBorder="1"/>
    <xf numFmtId="0" fontId="1" fillId="0" borderId="14" xfId="0" applyFont="1" applyBorder="1"/>
    <xf numFmtId="0" fontId="0" fillId="0" borderId="15" xfId="0" applyBorder="1"/>
    <xf numFmtId="0" fontId="1" fillId="2" borderId="16" xfId="0" applyFont="1" applyFill="1" applyBorder="1"/>
    <xf numFmtId="0" fontId="0" fillId="2" borderId="17" xfId="0" applyFill="1" applyBorder="1"/>
    <xf numFmtId="0" fontId="0" fillId="0" borderId="16" xfId="0" applyBorder="1"/>
    <xf numFmtId="0" fontId="0" fillId="0" borderId="17" xfId="0" applyBorder="1"/>
    <xf numFmtId="0" fontId="3" fillId="0" borderId="17" xfId="0" applyFont="1" applyBorder="1"/>
    <xf numFmtId="0" fontId="9" fillId="0" borderId="16" xfId="0" applyFont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4" fillId="0" borderId="13" xfId="0" applyFont="1" applyBorder="1"/>
    <xf numFmtId="0" fontId="1" fillId="0" borderId="15" xfId="0" applyFont="1" applyBorder="1"/>
    <xf numFmtId="0" fontId="2" fillId="0" borderId="16" xfId="0" applyFont="1" applyBorder="1"/>
    <xf numFmtId="0" fontId="7" fillId="0" borderId="16" xfId="0" applyFont="1" applyBorder="1"/>
    <xf numFmtId="0" fontId="5" fillId="0" borderId="16" xfId="0" applyFont="1" applyBorder="1"/>
    <xf numFmtId="0" fontId="5" fillId="0" borderId="17" xfId="0" applyFont="1" applyBorder="1"/>
    <xf numFmtId="0" fontId="11" fillId="0" borderId="5" xfId="0" applyFont="1" applyBorder="1"/>
    <xf numFmtId="0" fontId="2" fillId="0" borderId="14" xfId="0" applyFont="1" applyBorder="1"/>
    <xf numFmtId="0" fontId="2" fillId="0" borderId="15" xfId="0" applyFont="1" applyBorder="1"/>
    <xf numFmtId="0" fontId="11" fillId="0" borderId="16" xfId="0" applyFont="1" applyBorder="1"/>
    <xf numFmtId="0" fontId="12" fillId="0" borderId="16" xfId="0" applyFont="1" applyBorder="1"/>
    <xf numFmtId="0" fontId="7" fillId="0" borderId="17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5" fillId="0" borderId="24" xfId="0" applyFont="1" applyBorder="1"/>
    <xf numFmtId="0" fontId="0" fillId="0" borderId="25" xfId="0" applyBorder="1"/>
    <xf numFmtId="0" fontId="0" fillId="0" borderId="24" xfId="0" applyBorder="1"/>
    <xf numFmtId="0" fontId="1" fillId="0" borderId="24" xfId="0" applyFont="1" applyBorder="1"/>
    <xf numFmtId="0" fontId="5" fillId="0" borderId="25" xfId="0" applyFont="1" applyBorder="1"/>
    <xf numFmtId="0" fontId="1" fillId="0" borderId="26" xfId="0" applyFont="1" applyBorder="1"/>
    <xf numFmtId="0" fontId="0" fillId="0" borderId="27" xfId="0" applyBorder="1"/>
    <xf numFmtId="0" fontId="0" fillId="0" borderId="28" xfId="0" applyBorder="1"/>
    <xf numFmtId="0" fontId="0" fillId="0" borderId="22" xfId="0" applyBorder="1"/>
    <xf numFmtId="0" fontId="0" fillId="0" borderId="23" xfId="0" applyBorder="1"/>
    <xf numFmtId="0" fontId="1" fillId="0" borderId="25" xfId="0" applyFont="1" applyBorder="1"/>
    <xf numFmtId="0" fontId="5" fillId="0" borderId="26" xfId="0" applyFont="1" applyBorder="1"/>
    <xf numFmtId="0" fontId="5" fillId="0" borderId="27" xfId="0" applyFont="1" applyBorder="1"/>
    <xf numFmtId="0" fontId="10" fillId="0" borderId="24" xfId="0" applyFont="1" applyBorder="1"/>
    <xf numFmtId="0" fontId="0" fillId="0" borderId="26" xfId="0" applyBorder="1"/>
    <xf numFmtId="0" fontId="4" fillId="0" borderId="21" xfId="0" applyFont="1" applyBorder="1"/>
    <xf numFmtId="0" fontId="3" fillId="0" borderId="27" xfId="0" applyFont="1" applyBorder="1"/>
    <xf numFmtId="0" fontId="0" fillId="0" borderId="14" xfId="0" applyBorder="1"/>
    <xf numFmtId="0" fontId="10" fillId="0" borderId="16" xfId="0" applyFont="1" applyBorder="1"/>
    <xf numFmtId="0" fontId="7" fillId="0" borderId="18" xfId="0" applyFont="1" applyBorder="1"/>
    <xf numFmtId="1" fontId="7" fillId="0" borderId="19" xfId="0" applyNumberFormat="1" applyFont="1" applyBorder="1"/>
    <xf numFmtId="0" fontId="7" fillId="0" borderId="19" xfId="0" applyFont="1" applyBorder="1"/>
    <xf numFmtId="0" fontId="7" fillId="0" borderId="20" xfId="0" applyFont="1" applyBorder="1"/>
    <xf numFmtId="0" fontId="1" fillId="2" borderId="21" xfId="0" applyFont="1" applyFill="1" applyBorder="1"/>
    <xf numFmtId="0" fontId="0" fillId="2" borderId="22" xfId="0" applyFill="1" applyBorder="1"/>
    <xf numFmtId="0" fontId="0" fillId="2" borderId="23" xfId="0" applyFill="1" applyBorder="1"/>
    <xf numFmtId="0" fontId="11" fillId="0" borderId="24" xfId="0" applyFont="1" applyBorder="1"/>
    <xf numFmtId="0" fontId="11" fillId="0" borderId="26" xfId="0" applyFont="1" applyBorder="1"/>
    <xf numFmtId="1" fontId="11" fillId="0" borderId="27" xfId="0" applyNumberFormat="1" applyFont="1" applyBorder="1"/>
    <xf numFmtId="0" fontId="11" fillId="0" borderId="27" xfId="0" applyFont="1" applyBorder="1"/>
    <xf numFmtId="1" fontId="0" fillId="2" borderId="22" xfId="0" applyNumberFormat="1" applyFill="1" applyBorder="1"/>
    <xf numFmtId="0" fontId="5" fillId="2" borderId="22" xfId="0" applyFont="1" applyFill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10" fillId="0" borderId="32" xfId="0" applyFont="1" applyBorder="1"/>
    <xf numFmtId="0" fontId="0" fillId="0" borderId="33" xfId="0" applyBorder="1"/>
    <xf numFmtId="0" fontId="5" fillId="0" borderId="32" xfId="0" applyFont="1" applyBorder="1"/>
    <xf numFmtId="0" fontId="0" fillId="0" borderId="32" xfId="0" applyBorder="1"/>
    <xf numFmtId="0" fontId="5" fillId="0" borderId="34" xfId="0" applyFont="1" applyBorder="1"/>
    <xf numFmtId="0" fontId="3" fillId="0" borderId="35" xfId="0" applyFont="1" applyBorder="1"/>
    <xf numFmtId="0" fontId="5" fillId="0" borderId="35" xfId="0" applyFont="1" applyBorder="1"/>
    <xf numFmtId="0" fontId="0" fillId="0" borderId="36" xfId="0" applyBorder="1"/>
    <xf numFmtId="1" fontId="5" fillId="0" borderId="27" xfId="0" applyNumberFormat="1" applyFont="1" applyBorder="1"/>
    <xf numFmtId="0" fontId="9" fillId="0" borderId="26" xfId="0" applyFont="1" applyBorder="1"/>
    <xf numFmtId="0" fontId="1" fillId="2" borderId="24" xfId="0" applyFont="1" applyFill="1" applyBorder="1"/>
    <xf numFmtId="0" fontId="0" fillId="2" borderId="25" xfId="0" applyFill="1" applyBorder="1"/>
    <xf numFmtId="0" fontId="1" fillId="2" borderId="32" xfId="0" applyFont="1" applyFill="1" applyBorder="1"/>
    <xf numFmtId="0" fontId="0" fillId="2" borderId="33" xfId="0" applyFill="1" applyBorder="1"/>
    <xf numFmtId="0" fontId="0" fillId="0" borderId="34" xfId="0" applyBorder="1"/>
    <xf numFmtId="0" fontId="0" fillId="0" borderId="35" xfId="0" applyBorder="1"/>
    <xf numFmtId="0" fontId="4" fillId="0" borderId="21" xfId="0" applyFont="1" applyBorder="1" applyAlignment="1">
      <alignment wrapText="1"/>
    </xf>
    <xf numFmtId="0" fontId="1" fillId="0" borderId="22" xfId="0" applyFont="1" applyBorder="1"/>
    <xf numFmtId="0" fontId="1" fillId="0" borderId="23" xfId="0" applyFont="1" applyBorder="1"/>
    <xf numFmtId="0" fontId="1" fillId="2" borderId="25" xfId="0" applyFont="1" applyFill="1" applyBorder="1"/>
    <xf numFmtId="0" fontId="9" fillId="0" borderId="24" xfId="0" applyFont="1" applyBorder="1"/>
    <xf numFmtId="1" fontId="5" fillId="2" borderId="0" xfId="0" applyNumberFormat="1" applyFont="1" applyFill="1"/>
    <xf numFmtId="0" fontId="23" fillId="0" borderId="0" xfId="0" applyFont="1"/>
    <xf numFmtId="0" fontId="24" fillId="0" borderId="0" xfId="0" applyFont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166" fontId="0" fillId="0" borderId="0" xfId="0" applyNumberFormat="1"/>
    <xf numFmtId="164" fontId="3" fillId="0" borderId="0" xfId="0" applyNumberFormat="1" applyFont="1"/>
    <xf numFmtId="164" fontId="0" fillId="0" borderId="0" xfId="0" applyNumberFormat="1"/>
    <xf numFmtId="2" fontId="5" fillId="0" borderId="0" xfId="0" applyNumberFormat="1" applyFont="1"/>
    <xf numFmtId="2" fontId="5" fillId="2" borderId="0" xfId="0" applyNumberFormat="1" applyFont="1" applyFill="1"/>
    <xf numFmtId="2" fontId="7" fillId="0" borderId="0" xfId="0" applyNumberFormat="1" applyFont="1"/>
    <xf numFmtId="2" fontId="7" fillId="2" borderId="0" xfId="0" applyNumberFormat="1" applyFont="1" applyFill="1"/>
    <xf numFmtId="2" fontId="0" fillId="0" borderId="7" xfId="0" applyNumberFormat="1" applyBorder="1"/>
    <xf numFmtId="0" fontId="26" fillId="0" borderId="0" xfId="0" applyFont="1"/>
    <xf numFmtId="0" fontId="28" fillId="0" borderId="0" xfId="0" applyFont="1"/>
    <xf numFmtId="0" fontId="29" fillId="0" borderId="0" xfId="0" applyFont="1"/>
    <xf numFmtId="1" fontId="29" fillId="0" borderId="0" xfId="0" applyNumberFormat="1" applyFont="1"/>
    <xf numFmtId="0" fontId="28" fillId="0" borderId="0" xfId="0" applyFont="1" applyAlignment="1">
      <alignment horizontal="right"/>
    </xf>
    <xf numFmtId="0" fontId="19" fillId="2" borderId="0" xfId="0" applyFont="1" applyFill="1"/>
    <xf numFmtId="0" fontId="30" fillId="0" borderId="0" xfId="0" applyFont="1"/>
    <xf numFmtId="167" fontId="4" fillId="0" borderId="9" xfId="2" applyNumberFormat="1" applyFont="1" applyFill="1" applyBorder="1"/>
    <xf numFmtId="0" fontId="31" fillId="0" borderId="0" xfId="0" applyFont="1"/>
    <xf numFmtId="165" fontId="0" fillId="2" borderId="0" xfId="0" applyNumberFormat="1" applyFill="1"/>
    <xf numFmtId="165" fontId="0" fillId="0" borderId="0" xfId="0" applyNumberFormat="1"/>
    <xf numFmtId="2" fontId="3" fillId="2" borderId="0" xfId="0" applyNumberFormat="1" applyFont="1" applyFill="1"/>
    <xf numFmtId="2" fontId="0" fillId="3" borderId="0" xfId="0" applyNumberFormat="1" applyFill="1"/>
    <xf numFmtId="165" fontId="3" fillId="0" borderId="0" xfId="0" applyNumberFormat="1" applyFont="1"/>
    <xf numFmtId="165" fontId="3" fillId="2" borderId="0" xfId="0" applyNumberFormat="1" applyFont="1" applyFill="1"/>
    <xf numFmtId="1" fontId="0" fillId="3" borderId="0" xfId="0" applyNumberFormat="1" applyFill="1"/>
    <xf numFmtId="1" fontId="2" fillId="3" borderId="0" xfId="0" applyNumberFormat="1" applyFont="1" applyFill="1"/>
    <xf numFmtId="164" fontId="0" fillId="3" borderId="0" xfId="0" applyNumberFormat="1" applyFill="1"/>
    <xf numFmtId="3" fontId="0" fillId="2" borderId="0" xfId="0" applyNumberFormat="1" applyFill="1"/>
    <xf numFmtId="164" fontId="25" fillId="0" borderId="0" xfId="0" applyNumberFormat="1" applyFont="1"/>
    <xf numFmtId="164" fontId="25" fillId="2" borderId="0" xfId="0" applyNumberFormat="1" applyFont="1" applyFill="1"/>
    <xf numFmtId="0" fontId="2" fillId="0" borderId="37" xfId="0" applyFont="1" applyBorder="1" applyAlignment="1">
      <alignment wrapText="1"/>
    </xf>
    <xf numFmtId="0" fontId="0" fillId="0" borderId="38" xfId="0" applyBorder="1"/>
    <xf numFmtId="0" fontId="0" fillId="0" borderId="39" xfId="0" applyBorder="1"/>
    <xf numFmtId="0" fontId="1" fillId="0" borderId="40" xfId="0" applyFont="1" applyBorder="1"/>
    <xf numFmtId="0" fontId="0" fillId="0" borderId="41" xfId="0" applyBorder="1"/>
    <xf numFmtId="0" fontId="10" fillId="0" borderId="40" xfId="0" applyFont="1" applyBorder="1"/>
    <xf numFmtId="0" fontId="0" fillId="2" borderId="40" xfId="0" applyFill="1" applyBorder="1"/>
    <xf numFmtId="165" fontId="0" fillId="2" borderId="41" xfId="0" applyNumberFormat="1" applyFill="1" applyBorder="1"/>
    <xf numFmtId="0" fontId="0" fillId="0" borderId="40" xfId="0" applyBorder="1"/>
    <xf numFmtId="165" fontId="0" fillId="0" borderId="41" xfId="0" applyNumberFormat="1" applyBorder="1"/>
    <xf numFmtId="2" fontId="0" fillId="2" borderId="40" xfId="0" applyNumberFormat="1" applyFill="1" applyBorder="1"/>
    <xf numFmtId="2" fontId="0" fillId="2" borderId="41" xfId="0" applyNumberFormat="1" applyFill="1" applyBorder="1"/>
    <xf numFmtId="2" fontId="0" fillId="0" borderId="40" xfId="0" applyNumberFormat="1" applyBorder="1"/>
    <xf numFmtId="2" fontId="0" fillId="0" borderId="41" xfId="0" applyNumberFormat="1" applyBorder="1"/>
    <xf numFmtId="165" fontId="3" fillId="0" borderId="41" xfId="0" applyNumberFormat="1" applyFont="1" applyBorder="1"/>
    <xf numFmtId="0" fontId="1" fillId="2" borderId="40" xfId="0" applyFont="1" applyFill="1" applyBorder="1"/>
    <xf numFmtId="165" fontId="3" fillId="2" borderId="41" xfId="0" applyNumberFormat="1" applyFont="1" applyFill="1" applyBorder="1"/>
    <xf numFmtId="1" fontId="0" fillId="0" borderId="40" xfId="0" applyNumberFormat="1" applyBorder="1"/>
    <xf numFmtId="1" fontId="0" fillId="0" borderId="41" xfId="0" applyNumberFormat="1" applyBorder="1"/>
    <xf numFmtId="0" fontId="9" fillId="2" borderId="40" xfId="0" applyFont="1" applyFill="1" applyBorder="1"/>
    <xf numFmtId="164" fontId="0" fillId="2" borderId="40" xfId="0" applyNumberFormat="1" applyFill="1" applyBorder="1"/>
    <xf numFmtId="164" fontId="0" fillId="2" borderId="41" xfId="0" applyNumberFormat="1" applyFill="1" applyBorder="1"/>
    <xf numFmtId="1" fontId="0" fillId="2" borderId="40" xfId="0" applyNumberFormat="1" applyFill="1" applyBorder="1"/>
    <xf numFmtId="1" fontId="0" fillId="2" borderId="41" xfId="0" applyNumberFormat="1" applyFill="1" applyBorder="1"/>
    <xf numFmtId="0" fontId="0" fillId="2" borderId="41" xfId="0" applyFill="1" applyBorder="1"/>
    <xf numFmtId="3" fontId="0" fillId="0" borderId="41" xfId="0" applyNumberFormat="1" applyBorder="1"/>
    <xf numFmtId="0" fontId="0" fillId="0" borderId="42" xfId="0" applyBorder="1"/>
    <xf numFmtId="0" fontId="0" fillId="0" borderId="43" xfId="0" applyBorder="1"/>
    <xf numFmtId="0" fontId="0" fillId="3" borderId="43" xfId="0" applyFill="1" applyBorder="1"/>
    <xf numFmtId="0" fontId="0" fillId="0" borderId="44" xfId="0" applyBorder="1"/>
    <xf numFmtId="0" fontId="0" fillId="0" borderId="37" xfId="0" applyBorder="1"/>
    <xf numFmtId="0" fontId="2" fillId="0" borderId="40" xfId="0" applyFont="1" applyBorder="1"/>
    <xf numFmtId="0" fontId="10" fillId="2" borderId="40" xfId="0" applyFont="1" applyFill="1" applyBorder="1"/>
    <xf numFmtId="0" fontId="0" fillId="2" borderId="10" xfId="0" applyFill="1" applyBorder="1"/>
    <xf numFmtId="0" fontId="32" fillId="0" borderId="0" xfId="0" applyFont="1"/>
    <xf numFmtId="2" fontId="33" fillId="4" borderId="9" xfId="1" applyNumberFormat="1" applyFont="1" applyBorder="1"/>
    <xf numFmtId="1" fontId="33" fillId="4" borderId="9" xfId="1" applyNumberFormat="1" applyFont="1" applyBorder="1"/>
    <xf numFmtId="0" fontId="34" fillId="0" borderId="0" xfId="0" applyFont="1"/>
    <xf numFmtId="1" fontId="33" fillId="0" borderId="9" xfId="1" applyNumberFormat="1" applyFont="1" applyFill="1" applyBorder="1"/>
    <xf numFmtId="2" fontId="33" fillId="0" borderId="9" xfId="1" applyNumberFormat="1" applyFont="1" applyFill="1" applyBorder="1"/>
    <xf numFmtId="167" fontId="4" fillId="0" borderId="9" xfId="2" applyNumberFormat="1" applyFont="1" applyFill="1" applyBorder="1" applyAlignment="1">
      <alignment horizontal="right"/>
    </xf>
    <xf numFmtId="0" fontId="33" fillId="0" borderId="9" xfId="0" applyFont="1" applyBorder="1"/>
    <xf numFmtId="2" fontId="33" fillId="4" borderId="9" xfId="1" applyNumberFormat="1" applyFont="1" applyBorder="1" applyAlignment="1">
      <alignment horizontal="right"/>
    </xf>
    <xf numFmtId="1" fontId="19" fillId="0" borderId="0" xfId="0" applyNumberFormat="1" applyFont="1"/>
    <xf numFmtId="0" fontId="29" fillId="9" borderId="0" xfId="0" applyFont="1" applyFill="1"/>
    <xf numFmtId="0" fontId="19" fillId="9" borderId="0" xfId="0" applyFont="1" applyFill="1"/>
    <xf numFmtId="0" fontId="0" fillId="9" borderId="0" xfId="0" applyFill="1"/>
    <xf numFmtId="1" fontId="29" fillId="9" borderId="0" xfId="0" applyNumberFormat="1" applyFont="1" applyFill="1"/>
    <xf numFmtId="0" fontId="26" fillId="9" borderId="0" xfId="0" applyFont="1" applyFill="1"/>
    <xf numFmtId="0" fontId="35" fillId="0" borderId="0" xfId="0" applyFont="1"/>
    <xf numFmtId="11" fontId="19" fillId="0" borderId="0" xfId="0" applyNumberFormat="1" applyFont="1"/>
    <xf numFmtId="0" fontId="19" fillId="0" borderId="0" xfId="0" applyFont="1" applyAlignment="1">
      <alignment horizontal="right"/>
    </xf>
    <xf numFmtId="0" fontId="29" fillId="2" borderId="0" xfId="0" applyFont="1" applyFill="1"/>
    <xf numFmtId="1" fontId="29" fillId="2" borderId="0" xfId="0" applyNumberFormat="1" applyFont="1" applyFill="1"/>
    <xf numFmtId="0" fontId="4" fillId="9" borderId="0" xfId="0" applyFont="1" applyFill="1"/>
    <xf numFmtId="0" fontId="35" fillId="9" borderId="0" xfId="0" applyFont="1" applyFill="1"/>
    <xf numFmtId="0" fontId="19" fillId="9" borderId="0" xfId="0" applyFont="1" applyFill="1" applyAlignment="1">
      <alignment horizontal="right"/>
    </xf>
    <xf numFmtId="0" fontId="0" fillId="9" borderId="0" xfId="0" applyFill="1" applyAlignment="1">
      <alignment horizontal="right"/>
    </xf>
    <xf numFmtId="0" fontId="0" fillId="0" borderId="0" xfId="0" applyAlignment="1">
      <alignment horizontal="right"/>
    </xf>
    <xf numFmtId="0" fontId="26" fillId="9" borderId="0" xfId="0" applyFont="1" applyFill="1" applyAlignment="1">
      <alignment horizontal="right"/>
    </xf>
    <xf numFmtId="0" fontId="26" fillId="0" borderId="0" xfId="0" applyFont="1" applyAlignment="1">
      <alignment horizontal="right"/>
    </xf>
    <xf numFmtId="0" fontId="37" fillId="0" borderId="0" xfId="0" applyFont="1"/>
    <xf numFmtId="0" fontId="32" fillId="9" borderId="0" xfId="0" applyFont="1" applyFill="1" applyAlignment="1">
      <alignment horizontal="right"/>
    </xf>
    <xf numFmtId="0" fontId="32" fillId="0" borderId="0" xfId="0" applyFont="1" applyAlignment="1">
      <alignment horizontal="right"/>
    </xf>
    <xf numFmtId="0" fontId="38" fillId="0" borderId="0" xfId="0" applyFont="1"/>
    <xf numFmtId="0" fontId="39" fillId="0" borderId="0" xfId="0" applyFont="1"/>
    <xf numFmtId="164" fontId="12" fillId="0" borderId="0" xfId="0" applyNumberFormat="1" applyFont="1"/>
    <xf numFmtId="0" fontId="46" fillId="0" borderId="0" xfId="0" applyFont="1"/>
    <xf numFmtId="0" fontId="28" fillId="6" borderId="0" xfId="0" applyFont="1" applyFill="1"/>
    <xf numFmtId="0" fontId="26" fillId="6" borderId="0" xfId="0" applyFont="1" applyFill="1"/>
    <xf numFmtId="0" fontId="4" fillId="6" borderId="0" xfId="0" applyFont="1" applyFill="1"/>
    <xf numFmtId="1" fontId="19" fillId="6" borderId="0" xfId="0" applyNumberFormat="1" applyFont="1" applyFill="1"/>
    <xf numFmtId="0" fontId="19" fillId="6" borderId="0" xfId="0" applyFont="1" applyFill="1" applyAlignment="1">
      <alignment horizontal="right"/>
    </xf>
    <xf numFmtId="0" fontId="29" fillId="6" borderId="0" xfId="0" applyFont="1" applyFill="1"/>
    <xf numFmtId="0" fontId="31" fillId="6" borderId="0" xfId="0" applyFont="1" applyFill="1"/>
    <xf numFmtId="0" fontId="47" fillId="0" borderId="5" xfId="0" applyFont="1" applyBorder="1"/>
    <xf numFmtId="167" fontId="33" fillId="0" borderId="9" xfId="0" applyNumberFormat="1" applyFont="1" applyBorder="1"/>
    <xf numFmtId="169" fontId="33" fillId="0" borderId="9" xfId="0" applyNumberFormat="1" applyFont="1" applyBorder="1"/>
    <xf numFmtId="167" fontId="33" fillId="4" borderId="9" xfId="1" applyNumberFormat="1" applyFont="1" applyBorder="1"/>
    <xf numFmtId="170" fontId="33" fillId="4" borderId="9" xfId="1" applyNumberFormat="1" applyFont="1" applyBorder="1"/>
    <xf numFmtId="169" fontId="33" fillId="4" borderId="9" xfId="1" applyNumberFormat="1" applyFont="1" applyBorder="1"/>
    <xf numFmtId="168" fontId="33" fillId="0" borderId="9" xfId="1" applyNumberFormat="1" applyFont="1" applyFill="1" applyBorder="1"/>
    <xf numFmtId="170" fontId="33" fillId="0" borderId="9" xfId="1" applyNumberFormat="1" applyFont="1" applyFill="1" applyBorder="1"/>
    <xf numFmtId="169" fontId="33" fillId="0" borderId="9" xfId="1" applyNumberFormat="1" applyFont="1" applyFill="1" applyBorder="1"/>
    <xf numFmtId="171" fontId="0" fillId="0" borderId="0" xfId="0" applyNumberFormat="1"/>
    <xf numFmtId="0" fontId="2" fillId="3" borderId="38" xfId="0" applyFont="1" applyFill="1" applyBorder="1"/>
    <xf numFmtId="0" fontId="2" fillId="3" borderId="0" xfId="0" applyFont="1" applyFill="1"/>
    <xf numFmtId="0" fontId="0" fillId="3" borderId="38" xfId="0" applyFill="1" applyBorder="1"/>
    <xf numFmtId="0" fontId="1" fillId="3" borderId="0" xfId="0" applyFont="1" applyFill="1"/>
    <xf numFmtId="0" fontId="1" fillId="2" borderId="13" xfId="0" applyFont="1" applyFill="1" applyBorder="1"/>
    <xf numFmtId="0" fontId="0" fillId="2" borderId="14" xfId="0" applyFill="1" applyBorder="1"/>
    <xf numFmtId="164" fontId="0" fillId="2" borderId="14" xfId="0" applyNumberFormat="1" applyFill="1" applyBorder="1"/>
    <xf numFmtId="0" fontId="0" fillId="3" borderId="14" xfId="0" applyFill="1" applyBorder="1"/>
    <xf numFmtId="0" fontId="0" fillId="2" borderId="15" xfId="0" applyFill="1" applyBorder="1"/>
    <xf numFmtId="171" fontId="0" fillId="0" borderId="17" xfId="0" applyNumberFormat="1" applyBorder="1"/>
    <xf numFmtId="0" fontId="0" fillId="2" borderId="16" xfId="0" applyFill="1" applyBorder="1"/>
    <xf numFmtId="1" fontId="0" fillId="2" borderId="17" xfId="0" applyNumberFormat="1" applyFill="1" applyBorder="1"/>
    <xf numFmtId="3" fontId="0" fillId="2" borderId="17" xfId="0" applyNumberFormat="1" applyFill="1" applyBorder="1"/>
    <xf numFmtId="0" fontId="0" fillId="2" borderId="18" xfId="0" applyFill="1" applyBorder="1"/>
    <xf numFmtId="0" fontId="0" fillId="2" borderId="19" xfId="0" applyFill="1" applyBorder="1"/>
    <xf numFmtId="0" fontId="0" fillId="3" borderId="19" xfId="0" applyFill="1" applyBorder="1"/>
    <xf numFmtId="3" fontId="0" fillId="2" borderId="19" xfId="0" applyNumberFormat="1" applyFill="1" applyBorder="1"/>
    <xf numFmtId="3" fontId="0" fillId="2" borderId="20" xfId="0" applyNumberFormat="1" applyFill="1" applyBorder="1"/>
    <xf numFmtId="166" fontId="0" fillId="2" borderId="0" xfId="0" applyNumberFormat="1" applyFill="1"/>
    <xf numFmtId="0" fontId="19" fillId="8" borderId="0" xfId="0" applyFont="1" applyFill="1"/>
    <xf numFmtId="3" fontId="7" fillId="0" borderId="19" xfId="0" applyNumberFormat="1" applyFont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170" fontId="4" fillId="0" borderId="9" xfId="2" applyNumberFormat="1" applyFont="1" applyFill="1" applyBorder="1"/>
    <xf numFmtId="170" fontId="0" fillId="0" borderId="0" xfId="0" applyNumberFormat="1"/>
    <xf numFmtId="0" fontId="48" fillId="2" borderId="0" xfId="3" applyFill="1"/>
    <xf numFmtId="171" fontId="0" fillId="2" borderId="0" xfId="0" applyNumberFormat="1" applyFill="1"/>
    <xf numFmtId="1" fontId="0" fillId="2" borderId="19" xfId="0" applyNumberFormat="1" applyFill="1" applyBorder="1"/>
    <xf numFmtId="171" fontId="7" fillId="0" borderId="0" xfId="0" applyNumberFormat="1" applyFont="1"/>
    <xf numFmtId="166" fontId="23" fillId="0" borderId="0" xfId="0" applyNumberFormat="1" applyFont="1"/>
    <xf numFmtId="2" fontId="23" fillId="0" borderId="0" xfId="0" applyNumberFormat="1" applyFont="1"/>
  </cellXfs>
  <cellStyles count="4">
    <cellStyle name="Bad" xfId="2" builtinId="27"/>
    <cellStyle name="Good" xfId="1" builtinId="26"/>
    <cellStyle name="Hyperlink" xfId="3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SDC Pod Cost [ $/Euro]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temp_data!$A$4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temp_data!$B$4:$AC$4</c:f>
              <c:numCache>
                <c:formatCode>0</c:formatCode>
                <c:ptCount val="28"/>
                <c:pt idx="0">
                  <c:v>7190</c:v>
                </c:pt>
                <c:pt idx="1">
                  <c:v>6846.3053661779277</c:v>
                </c:pt>
                <c:pt idx="2">
                  <c:v>6195.9607169495002</c:v>
                </c:pt>
                <c:pt idx="3">
                  <c:v>5770.2374364654788</c:v>
                </c:pt>
                <c:pt idx="4">
                  <c:v>5429.0032718554339</c:v>
                </c:pt>
                <c:pt idx="5">
                  <c:v>5037.3751391109417</c:v>
                </c:pt>
                <c:pt idx="6">
                  <c:v>4686.1954079470306</c:v>
                </c:pt>
                <c:pt idx="7">
                  <c:v>4353.352719546665</c:v>
                </c:pt>
                <c:pt idx="8">
                  <c:v>4057.3560324233422</c:v>
                </c:pt>
                <c:pt idx="9">
                  <c:v>3811.7368965384412</c:v>
                </c:pt>
                <c:pt idx="10">
                  <c:v>3565.3749999999991</c:v>
                </c:pt>
                <c:pt idx="11">
                  <c:v>3343.3109109476968</c:v>
                </c:pt>
                <c:pt idx="12">
                  <c:v>3144.4485097657698</c:v>
                </c:pt>
                <c:pt idx="13">
                  <c:v>2960.6033778933656</c:v>
                </c:pt>
                <c:pt idx="14">
                  <c:v>2790.5620677409943</c:v>
                </c:pt>
                <c:pt idx="15">
                  <c:v>2635.3293867929319</c:v>
                </c:pt>
                <c:pt idx="16">
                  <c:v>2492.1016186082816</c:v>
                </c:pt>
                <c:pt idx="17">
                  <c:v>2361.3163678539036</c:v>
                </c:pt>
                <c:pt idx="18">
                  <c:v>2240.9105716727281</c:v>
                </c:pt>
                <c:pt idx="19">
                  <c:v>2129.1226065214464</c:v>
                </c:pt>
                <c:pt idx="20">
                  <c:v>2026.9257812499989</c:v>
                </c:pt>
                <c:pt idx="21">
                  <c:v>1932.5255089362188</c:v>
                </c:pt>
                <c:pt idx="22">
                  <c:v>1845.2612145806393</c:v>
                </c:pt>
                <c:pt idx="23">
                  <c:v>1764.9075873287461</c:v>
                </c:pt>
                <c:pt idx="24">
                  <c:v>1690.714110573816</c:v>
                </c:pt>
                <c:pt idx="25">
                  <c:v>1622.1137638593655</c:v>
                </c:pt>
                <c:pt idx="26">
                  <c:v>1558.7439266347067</c:v>
                </c:pt>
                <c:pt idx="27">
                  <c:v>1500.1201358804394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A9-BA41-B8A3-F379165882DB}"/>
            </c:ext>
          </c:extLst>
        </c:ser>
        <c:ser>
          <c:idx val="1"/>
          <c:order val="1"/>
          <c:tx>
            <c:strRef>
              <c:f>temp_data!$A$5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temp_data!$B$5:$AC$5</c:f>
              <c:numCache>
                <c:formatCode>0</c:formatCode>
                <c:ptCount val="28"/>
                <c:pt idx="0">
                  <c:v>7902</c:v>
                </c:pt>
                <c:pt idx="1">
                  <c:v>7334.1318075753752</c:v>
                </c:pt>
                <c:pt idx="2">
                  <c:v>7119.3352393790319</c:v>
                </c:pt>
                <c:pt idx="3">
                  <c:v>6713.1915454760965</c:v>
                </c:pt>
                <c:pt idx="4">
                  <c:v>6418.4622097921911</c:v>
                </c:pt>
                <c:pt idx="5">
                  <c:v>6208.9324602189299</c:v>
                </c:pt>
                <c:pt idx="6">
                  <c:v>6041.942334627076</c:v>
                </c:pt>
                <c:pt idx="7">
                  <c:v>5880.7240667381229</c:v>
                </c:pt>
                <c:pt idx="8">
                  <c:v>5758.5219269158661</c:v>
                </c:pt>
                <c:pt idx="9">
                  <c:v>5702.5077460143093</c:v>
                </c:pt>
                <c:pt idx="10">
                  <c:v>5684.8445197787878</c:v>
                </c:pt>
                <c:pt idx="11">
                  <c:v>5702.1309934179808</c:v>
                </c:pt>
                <c:pt idx="12">
                  <c:v>5748.4251801916926</c:v>
                </c:pt>
                <c:pt idx="13">
                  <c:v>5848.6293480383974</c:v>
                </c:pt>
                <c:pt idx="14">
                  <c:v>5984.3867467392029</c:v>
                </c:pt>
                <c:pt idx="15">
                  <c:v>6165.7816849962364</c:v>
                </c:pt>
                <c:pt idx="16">
                  <c:v>6392.9758327813233</c:v>
                </c:pt>
                <c:pt idx="17">
                  <c:v>6670.1030112488897</c:v>
                </c:pt>
                <c:pt idx="18">
                  <c:v>6999.4581026512042</c:v>
                </c:pt>
                <c:pt idx="19">
                  <c:v>7385.3332095202113</c:v>
                </c:pt>
                <c:pt idx="20">
                  <c:v>7832.404177914138</c:v>
                </c:pt>
                <c:pt idx="21">
                  <c:v>8345.5577316454328</c:v>
                </c:pt>
                <c:pt idx="22">
                  <c:v>8931.3734273617411</c:v>
                </c:pt>
                <c:pt idx="23">
                  <c:v>9596.5215993032198</c:v>
                </c:pt>
                <c:pt idx="24">
                  <c:v>10348.89592827774</c:v>
                </c:pt>
                <c:pt idx="25">
                  <c:v>11197.175385328399</c:v>
                </c:pt>
                <c:pt idx="26">
                  <c:v>12150.91183340852</c:v>
                </c:pt>
                <c:pt idx="27">
                  <c:v>13221.368413370428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A9-BA41-B8A3-F379165882DB}"/>
            </c:ext>
          </c:extLst>
        </c:ser>
        <c:ser>
          <c:idx val="2"/>
          <c:order val="2"/>
          <c:tx>
            <c:strRef>
              <c:f>temp_data!$A$6</c:f>
              <c:strCache>
                <c:ptCount val="1"/>
                <c:pt idx="0">
                  <c:v>FPGA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temp_data!$B$6:$AC$6</c:f>
              <c:numCache>
                <c:formatCode>0</c:formatCode>
                <c:ptCount val="28"/>
                <c:pt idx="0">
                  <c:v>8168</c:v>
                </c:pt>
                <c:pt idx="1">
                  <c:v>7507.1960616638571</c:v>
                </c:pt>
                <c:pt idx="2">
                  <c:v>7029.5176632280691</c:v>
                </c:pt>
                <c:pt idx="3">
                  <c:v>6619.8616974450415</c:v>
                </c:pt>
                <c:pt idx="4">
                  <c:v>6134.4453356386257</c:v>
                </c:pt>
                <c:pt idx="5">
                  <c:v>5696.9969924695179</c:v>
                </c:pt>
                <c:pt idx="6">
                  <c:v>5285.7527074187947</c:v>
                </c:pt>
                <c:pt idx="7">
                  <c:v>4930.1491088083767</c:v>
                </c:pt>
                <c:pt idx="8">
                  <c:v>4600.1914186831964</c:v>
                </c:pt>
                <c:pt idx="9">
                  <c:v>4283.5921752839076</c:v>
                </c:pt>
                <c:pt idx="10">
                  <c:v>3992.4009131273642</c:v>
                </c:pt>
                <c:pt idx="11">
                  <c:v>3715.6117412468411</c:v>
                </c:pt>
                <c:pt idx="12">
                  <c:v>3475.8558690493005</c:v>
                </c:pt>
                <c:pt idx="13">
                  <c:v>3246.9872410589742</c:v>
                </c:pt>
                <c:pt idx="14">
                  <c:v>3040.420361543439</c:v>
                </c:pt>
                <c:pt idx="15">
                  <c:v>2852.6632389667848</c:v>
                </c:pt>
                <c:pt idx="16">
                  <c:v>2676.7111652250096</c:v>
                </c:pt>
                <c:pt idx="17">
                  <c:v>2517.949269111713</c:v>
                </c:pt>
                <c:pt idx="18">
                  <c:v>2370.1753498413282</c:v>
                </c:pt>
                <c:pt idx="19">
                  <c:v>2235.1159220984264</c:v>
                </c:pt>
                <c:pt idx="20">
                  <c:v>2111.3237457814739</c:v>
                </c:pt>
                <c:pt idx="21">
                  <c:v>1997.2093281285108</c:v>
                </c:pt>
                <c:pt idx="22">
                  <c:v>1893.0885724002169</c:v>
                </c:pt>
                <c:pt idx="23">
                  <c:v>1796.7318473531454</c:v>
                </c:pt>
                <c:pt idx="24">
                  <c:v>1708.5763873140745</c:v>
                </c:pt>
                <c:pt idx="25">
                  <c:v>1627.1334005435597</c:v>
                </c:pt>
                <c:pt idx="26">
                  <c:v>1552.5841106997093</c:v>
                </c:pt>
                <c:pt idx="27">
                  <c:v>1483.6472394329076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A9-BA41-B8A3-F379165882DB}"/>
            </c:ext>
          </c:extLst>
        </c:ser>
        <c:ser>
          <c:idx val="3"/>
          <c:order val="3"/>
          <c:tx>
            <c:strRef>
              <c:f>temp_data!$A$7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temp_data!$B$7:$AC$7</c:f>
              <c:numCache>
                <c:formatCode>0</c:formatCode>
                <c:ptCount val="28"/>
                <c:pt idx="0">
                  <c:v>9026</c:v>
                </c:pt>
                <c:pt idx="1">
                  <c:v>8939.341438490108</c:v>
                </c:pt>
                <c:pt idx="2">
                  <c:v>8593.9607169494993</c:v>
                </c:pt>
                <c:pt idx="3">
                  <c:v>8296.0228588638256</c:v>
                </c:pt>
                <c:pt idx="4">
                  <c:v>8083.0032718554321</c:v>
                </c:pt>
                <c:pt idx="5">
                  <c:v>7906.4609037753562</c:v>
                </c:pt>
                <c:pt idx="6">
                  <c:v>7710.1954079470288</c:v>
                </c:pt>
                <c:pt idx="7">
                  <c:v>7538.1616620108725</c:v>
                </c:pt>
                <c:pt idx="8">
                  <c:v>7381.1060324233395</c:v>
                </c:pt>
                <c:pt idx="9">
                  <c:v>7240.2325134690627</c:v>
                </c:pt>
                <c:pt idx="10">
                  <c:v>7096.5624999999964</c:v>
                </c:pt>
                <c:pt idx="11">
                  <c:v>6974.7903682526812</c:v>
                </c:pt>
                <c:pt idx="12">
                  <c:v>6863.8547597657653</c:v>
                </c:pt>
                <c:pt idx="13">
                  <c:v>6756.7724239540785</c:v>
                </c:pt>
                <c:pt idx="14">
                  <c:v>6661.4995677409906</c:v>
                </c:pt>
                <c:pt idx="15">
                  <c:v>6574.731750217743</c:v>
                </c:pt>
                <c:pt idx="16">
                  <c:v>6494.2266186082761</c:v>
                </c:pt>
                <c:pt idx="17">
                  <c:v>6420.2694957447929</c:v>
                </c:pt>
                <c:pt idx="18">
                  <c:v>6352.0980716727208</c:v>
                </c:pt>
                <c:pt idx="19">
                  <c:v>6289.437834213908</c:v>
                </c:pt>
                <c:pt idx="20">
                  <c:v>6232.0156249999927</c:v>
                </c:pt>
                <c:pt idx="21">
                  <c:v>6179.2610624738918</c:v>
                </c:pt>
                <c:pt idx="22">
                  <c:v>6130.6967614556315</c:v>
                </c:pt>
                <c:pt idx="23">
                  <c:v>6086.1835203605224</c:v>
                </c:pt>
                <c:pt idx="24">
                  <c:v>6045.2316886988083</c:v>
                </c:pt>
                <c:pt idx="25">
                  <c:v>6007.5689594923615</c:v>
                </c:pt>
                <c:pt idx="26">
                  <c:v>5973.0100399159473</c:v>
                </c:pt>
                <c:pt idx="27">
                  <c:v>5941.181442293243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A9-BA41-B8A3-F379165882DB}"/>
            </c:ext>
          </c:extLst>
        </c:ser>
        <c:ser>
          <c:idx val="4"/>
          <c:order val="4"/>
          <c:tx>
            <c:strRef>
              <c:f>temp_data!$A$8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temp_data!$B$8:$AC$8</c:f>
              <c:numCache>
                <c:formatCode>0</c:formatCode>
                <c:ptCount val="28"/>
                <c:pt idx="7">
                  <c:v>6698.5016434172112</c:v>
                </c:pt>
                <c:pt idx="8">
                  <c:v>6867.9632163629321</c:v>
                </c:pt>
                <c:pt idx="9">
                  <c:v>7097.3262915752521</c:v>
                </c:pt>
                <c:pt idx="10">
                  <c:v>7421.4999999999964</c:v>
                </c:pt>
                <c:pt idx="11">
                  <c:v>7842.9053789561094</c:v>
                </c:pt>
                <c:pt idx="12">
                  <c:v>8363.8436900362103</c:v>
                </c:pt>
                <c:pt idx="13">
                  <c:v>8999.2791514707606</c:v>
                </c:pt>
                <c:pt idx="14">
                  <c:v>9754.4291792663189</c:v>
                </c:pt>
                <c:pt idx="15">
                  <c:v>10643.88136750635</c:v>
                </c:pt>
                <c:pt idx="16">
                  <c:v>11680.265681108269</c:v>
                </c:pt>
                <c:pt idx="17">
                  <c:v>12878.984067968908</c:v>
                </c:pt>
                <c:pt idx="18">
                  <c:v>14257.488171982153</c:v>
                </c:pt>
                <c:pt idx="19">
                  <c:v>15836.69894480031</c:v>
                </c:pt>
                <c:pt idx="20">
                  <c:v>17639.020579374155</c:v>
                </c:pt>
                <c:pt idx="21">
                  <c:v>19690.018907655678</c:v>
                </c:pt>
                <c:pt idx="22">
                  <c:v>22019.341292705605</c:v>
                </c:pt>
                <c:pt idx="23">
                  <c:v>24659.911280756238</c:v>
                </c:pt>
                <c:pt idx="24">
                  <c:v>27648.818916277713</c:v>
                </c:pt>
                <c:pt idx="25">
                  <c:v>31028.074477909802</c:v>
                </c:pt>
                <c:pt idx="26">
                  <c:v>34844.805818748697</c:v>
                </c:pt>
                <c:pt idx="27">
                  <c:v>39152.246877708189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8A9-BA41-B8A3-F379165882DB}"/>
            </c:ext>
          </c:extLst>
        </c:ser>
        <c:ser>
          <c:idx val="5"/>
          <c:order val="5"/>
          <c:tx>
            <c:v>User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15875">
                <a:solidFill>
                  <a:srgbClr val="FF0000"/>
                </a:solidFill>
              </a:ln>
              <a:effectLst/>
            </c:spPr>
          </c:marker>
          <c:dPt>
            <c:idx val="0"/>
            <c:marker>
              <c:symbol val="circle"/>
              <c:size val="8"/>
              <c:spPr>
                <a:solidFill>
                  <a:srgbClr val="FF0000"/>
                </a:solidFill>
                <a:ln w="1587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3F8-B548-B94E-8C7C2FB31FB3}"/>
              </c:ext>
            </c:extLst>
          </c:dPt>
          <c:xVal>
            <c:numRef>
              <c:f>temp_data!$AF$3</c:f>
              <c:numCache>
                <c:formatCode>General</c:formatCode>
                <c:ptCount val="1"/>
                <c:pt idx="0">
                  <c:v>2031</c:v>
                </c:pt>
              </c:numCache>
            </c:numRef>
          </c:xVal>
          <c:yVal>
            <c:numRef>
              <c:f>temp_data!$AG$3</c:f>
              <c:numCache>
                <c:formatCode>0</c:formatCode>
                <c:ptCount val="1"/>
                <c:pt idx="0">
                  <c:v>5758.5219269158661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F8-B548-B94E-8C7C2FB31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965999"/>
        <c:axId val="455998799"/>
      </c:scatterChart>
      <c:valAx>
        <c:axId val="455965999"/>
        <c:scaling>
          <c:orientation val="minMax"/>
          <c:max val="20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455998799"/>
        <c:crosses val="autoZero"/>
        <c:crossBetween val="midCat"/>
      </c:valAx>
      <c:valAx>
        <c:axId val="45599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455965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SDC Pod Power [W]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temp_data!$A$12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temp_data!$B$12:$AC$12</c:f>
              <c:numCache>
                <c:formatCode>0</c:formatCode>
                <c:ptCount val="28"/>
                <c:pt idx="0">
                  <c:v>58.785000000000004</c:v>
                </c:pt>
                <c:pt idx="1">
                  <c:v>122.79542807448456</c:v>
                </c:pt>
                <c:pt idx="2">
                  <c:v>96.201649063295108</c:v>
                </c:pt>
                <c:pt idx="3">
                  <c:v>111.74174832136869</c:v>
                </c:pt>
                <c:pt idx="4">
                  <c:v>136.48230871911309</c:v>
                </c:pt>
                <c:pt idx="5">
                  <c:v>138.54267798148547</c:v>
                </c:pt>
                <c:pt idx="6">
                  <c:v>141.44577801499364</c:v>
                </c:pt>
                <c:pt idx="7">
                  <c:v>140.73510830499384</c:v>
                </c:pt>
                <c:pt idx="8">
                  <c:v>141.82842496116623</c:v>
                </c:pt>
                <c:pt idx="9">
                  <c:v>148.80840887059819</c:v>
                </c:pt>
                <c:pt idx="10">
                  <c:v>149.74171256574789</c:v>
                </c:pt>
                <c:pt idx="11">
                  <c:v>151.37571902961747</c:v>
                </c:pt>
                <c:pt idx="12">
                  <c:v>153.95333229499408</c:v>
                </c:pt>
                <c:pt idx="13">
                  <c:v>155.91393543558661</c:v>
                </c:pt>
                <c:pt idx="14">
                  <c:v>157.36393539713509</c:v>
                </c:pt>
                <c:pt idx="15">
                  <c:v>158.91257258144799</c:v>
                </c:pt>
                <c:pt idx="16">
                  <c:v>160.19292669162897</c:v>
                </c:pt>
                <c:pt idx="17">
                  <c:v>161.60295917440683</c:v>
                </c:pt>
                <c:pt idx="18">
                  <c:v>162.89519664918564</c:v>
                </c:pt>
                <c:pt idx="19">
                  <c:v>163.87032426848353</c:v>
                </c:pt>
                <c:pt idx="20">
                  <c:v>164.97953063320205</c:v>
                </c:pt>
                <c:pt idx="21">
                  <c:v>165.97170909428061</c:v>
                </c:pt>
                <c:pt idx="22">
                  <c:v>166.85677018931116</c:v>
                </c:pt>
                <c:pt idx="23">
                  <c:v>167.73550920369752</c:v>
                </c:pt>
                <c:pt idx="24">
                  <c:v>168.56477109122909</c:v>
                </c:pt>
                <c:pt idx="25">
                  <c:v>169.33353524318196</c:v>
                </c:pt>
                <c:pt idx="26">
                  <c:v>170.06941322532012</c:v>
                </c:pt>
                <c:pt idx="27">
                  <c:v>170.75948725390612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D4-FC46-B65D-5B9C148F9DFC}"/>
            </c:ext>
          </c:extLst>
        </c:ser>
        <c:ser>
          <c:idx val="1"/>
          <c:order val="1"/>
          <c:tx>
            <c:strRef>
              <c:f>temp_data!$A$13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temp_data!$B$13:$AC$13</c:f>
              <c:numCache>
                <c:formatCode>0</c:formatCode>
                <c:ptCount val="28"/>
                <c:pt idx="0">
                  <c:v>118.78500000000001</c:v>
                </c:pt>
                <c:pt idx="1">
                  <c:v>114.57405137348934</c:v>
                </c:pt>
                <c:pt idx="2">
                  <c:v>132.97748887811969</c:v>
                </c:pt>
                <c:pt idx="3">
                  <c:v>131.40709703536581</c:v>
                </c:pt>
                <c:pt idx="4">
                  <c:v>134.09402099499576</c:v>
                </c:pt>
                <c:pt idx="5">
                  <c:v>138.97914463416427</c:v>
                </c:pt>
                <c:pt idx="6">
                  <c:v>143.22812027257027</c:v>
                </c:pt>
                <c:pt idx="7">
                  <c:v>144.85398522967714</c:v>
                </c:pt>
                <c:pt idx="8">
                  <c:v>146.23004475379511</c:v>
                </c:pt>
                <c:pt idx="9">
                  <c:v>148.90628293544628</c:v>
                </c:pt>
                <c:pt idx="10">
                  <c:v>151.29284483551598</c:v>
                </c:pt>
                <c:pt idx="11">
                  <c:v>153.26713564495321</c:v>
                </c:pt>
                <c:pt idx="12">
                  <c:v>154.60906591514112</c:v>
                </c:pt>
                <c:pt idx="13">
                  <c:v>156.41855634069617</c:v>
                </c:pt>
                <c:pt idx="14">
                  <c:v>157.8391884526186</c:v>
                </c:pt>
                <c:pt idx="15">
                  <c:v>159.23175667455638</c:v>
                </c:pt>
                <c:pt idx="16">
                  <c:v>160.52024692418919</c:v>
                </c:pt>
                <c:pt idx="17">
                  <c:v>161.75618721262273</c:v>
                </c:pt>
                <c:pt idx="18">
                  <c:v>162.90921147256822</c:v>
                </c:pt>
                <c:pt idx="19">
                  <c:v>163.99550202911954</c:v>
                </c:pt>
                <c:pt idx="20">
                  <c:v>165.02157774978761</c:v>
                </c:pt>
                <c:pt idx="21">
                  <c:v>165.98206750193211</c:v>
                </c:pt>
                <c:pt idx="22">
                  <c:v>166.89380163458196</c:v>
                </c:pt>
                <c:pt idx="23">
                  <c:v>167.755412428775</c:v>
                </c:pt>
                <c:pt idx="24">
                  <c:v>168.57225960965476</c:v>
                </c:pt>
                <c:pt idx="25">
                  <c:v>169.34536764553829</c:v>
                </c:pt>
                <c:pt idx="26">
                  <c:v>170.07278687138765</c:v>
                </c:pt>
                <c:pt idx="27">
                  <c:v>170.76070253316792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6D4-FC46-B65D-5B9C148F9DFC}"/>
            </c:ext>
          </c:extLst>
        </c:ser>
        <c:ser>
          <c:idx val="2"/>
          <c:order val="2"/>
          <c:tx>
            <c:strRef>
              <c:f>temp_data!$A$14</c:f>
              <c:strCache>
                <c:ptCount val="1"/>
                <c:pt idx="0">
                  <c:v>FPGA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temp_data!$B$14:$AC$14</c:f>
              <c:numCache>
                <c:formatCode>0</c:formatCode>
                <c:ptCount val="28"/>
                <c:pt idx="0">
                  <c:v>118.78500000000001</c:v>
                </c:pt>
                <c:pt idx="1">
                  <c:v>116.05580844515654</c:v>
                </c:pt>
                <c:pt idx="2">
                  <c:v>122.93220514288625</c:v>
                </c:pt>
                <c:pt idx="3">
                  <c:v>133.0660994068281</c:v>
                </c:pt>
                <c:pt idx="4">
                  <c:v>134.60861265716781</c:v>
                </c:pt>
                <c:pt idx="5">
                  <c:v>137.09738627954917</c:v>
                </c:pt>
                <c:pt idx="6">
                  <c:v>138.74786357835487</c:v>
                </c:pt>
                <c:pt idx="7">
                  <c:v>142.89951699257719</c:v>
                </c:pt>
                <c:pt idx="8">
                  <c:v>146.78139246398194</c:v>
                </c:pt>
                <c:pt idx="9">
                  <c:v>148.97086860906469</c:v>
                </c:pt>
                <c:pt idx="10">
                  <c:v>151.03483060213793</c:v>
                </c:pt>
                <c:pt idx="11">
                  <c:v>151.63086002416327</c:v>
                </c:pt>
                <c:pt idx="12">
                  <c:v>154.31972066171721</c:v>
                </c:pt>
                <c:pt idx="13">
                  <c:v>155.48622539988253</c:v>
                </c:pt>
                <c:pt idx="14">
                  <c:v>157.14487648354782</c:v>
                </c:pt>
                <c:pt idx="15">
                  <c:v>159.03510030855654</c:v>
                </c:pt>
                <c:pt idx="16">
                  <c:v>160.14386858212279</c:v>
                </c:pt>
                <c:pt idx="17">
                  <c:v>161.70016075402697</c:v>
                </c:pt>
                <c:pt idx="18">
                  <c:v>162.75209755450004</c:v>
                </c:pt>
                <c:pt idx="19">
                  <c:v>163.85586583588653</c:v>
                </c:pt>
                <c:pt idx="20">
                  <c:v>164.9369847850522</c:v>
                </c:pt>
                <c:pt idx="21">
                  <c:v>165.85810165556339</c:v>
                </c:pt>
                <c:pt idx="22">
                  <c:v>166.88556885204775</c:v>
                </c:pt>
                <c:pt idx="23">
                  <c:v>167.6965337585377</c:v>
                </c:pt>
                <c:pt idx="24">
                  <c:v>168.56113587416024</c:v>
                </c:pt>
                <c:pt idx="25">
                  <c:v>169.28602855732939</c:v>
                </c:pt>
                <c:pt idx="26">
                  <c:v>170.06365108317812</c:v>
                </c:pt>
                <c:pt idx="27">
                  <c:v>170.71661452271613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6D4-FC46-B65D-5B9C148F9DFC}"/>
            </c:ext>
          </c:extLst>
        </c:ser>
        <c:ser>
          <c:idx val="3"/>
          <c:order val="3"/>
          <c:tx>
            <c:strRef>
              <c:f>temp_data!$A$15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temp_data!$B$15:$AC$15</c:f>
              <c:numCache>
                <c:formatCode>0</c:formatCode>
                <c:ptCount val="28"/>
                <c:pt idx="0">
                  <c:v>118.78500000000001</c:v>
                </c:pt>
                <c:pt idx="1">
                  <c:v>129.86649588635004</c:v>
                </c:pt>
                <c:pt idx="2">
                  <c:v>131.20164906329512</c:v>
                </c:pt>
                <c:pt idx="3">
                  <c:v>132.9549517569651</c:v>
                </c:pt>
                <c:pt idx="4">
                  <c:v>136.48230871911309</c:v>
                </c:pt>
                <c:pt idx="5">
                  <c:v>140.31044493445182</c:v>
                </c:pt>
                <c:pt idx="6">
                  <c:v>142.69577801499364</c:v>
                </c:pt>
                <c:pt idx="7">
                  <c:v>145.15452568740974</c:v>
                </c:pt>
                <c:pt idx="8">
                  <c:v>147.45342496116623</c:v>
                </c:pt>
                <c:pt idx="9">
                  <c:v>149.69229234708141</c:v>
                </c:pt>
                <c:pt idx="10">
                  <c:v>151.30421256574792</c:v>
                </c:pt>
                <c:pt idx="11">
                  <c:v>153.14348598258385</c:v>
                </c:pt>
                <c:pt idx="12">
                  <c:v>154.89083229499411</c:v>
                </c:pt>
                <c:pt idx="13">
                  <c:v>156.35587717382825</c:v>
                </c:pt>
                <c:pt idx="14">
                  <c:v>157.83268539713515</c:v>
                </c:pt>
                <c:pt idx="15">
                  <c:v>159.24402888512921</c:v>
                </c:pt>
                <c:pt idx="16">
                  <c:v>160.544489191629</c:v>
                </c:pt>
                <c:pt idx="17">
                  <c:v>161.76868732624746</c:v>
                </c:pt>
                <c:pt idx="18">
                  <c:v>162.91472789918566</c:v>
                </c:pt>
                <c:pt idx="19">
                  <c:v>163.99462038236402</c:v>
                </c:pt>
                <c:pt idx="20">
                  <c:v>165.01859313320207</c:v>
                </c:pt>
                <c:pt idx="21">
                  <c:v>165.98551977360066</c:v>
                </c:pt>
                <c:pt idx="22">
                  <c:v>166.89583268931119</c:v>
                </c:pt>
                <c:pt idx="23">
                  <c:v>167.75967789250765</c:v>
                </c:pt>
                <c:pt idx="24">
                  <c:v>168.57453671622912</c:v>
                </c:pt>
                <c:pt idx="25">
                  <c:v>169.34389325267202</c:v>
                </c:pt>
                <c:pt idx="26">
                  <c:v>170.07307533469515</c:v>
                </c:pt>
                <c:pt idx="27">
                  <c:v>170.76035042136365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6D4-FC46-B65D-5B9C148F9DFC}"/>
            </c:ext>
          </c:extLst>
        </c:ser>
        <c:ser>
          <c:idx val="4"/>
          <c:order val="4"/>
          <c:tx>
            <c:strRef>
              <c:f>temp_data!$A$16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temp_data!$B$16:$AC$16</c:f>
              <c:numCache>
                <c:formatCode>0</c:formatCode>
                <c:ptCount val="28"/>
                <c:pt idx="7">
                  <c:v>144.83025636217994</c:v>
                </c:pt>
                <c:pt idx="8">
                  <c:v>147.81060890075878</c:v>
                </c:pt>
                <c:pt idx="9">
                  <c:v>149.62164025295274</c:v>
                </c:pt>
                <c:pt idx="10">
                  <c:v>151.49171256574797</c:v>
                </c:pt>
                <c:pt idx="11">
                  <c:v>153.28492277952571</c:v>
                </c:pt>
                <c:pt idx="12">
                  <c:v>154.87976256543985</c:v>
                </c:pt>
                <c:pt idx="13">
                  <c:v>156.45022485267327</c:v>
                </c:pt>
                <c:pt idx="14">
                  <c:v>157.88729692246687</c:v>
                </c:pt>
                <c:pt idx="15">
                  <c:v>159.25928548810444</c:v>
                </c:pt>
                <c:pt idx="16">
                  <c:v>160.55230169162917</c:v>
                </c:pt>
                <c:pt idx="17">
                  <c:v>161.76992019244472</c:v>
                </c:pt>
                <c:pt idx="18">
                  <c:v>162.9142032086296</c:v>
                </c:pt>
                <c:pt idx="19">
                  <c:v>163.99940827911954</c:v>
                </c:pt>
                <c:pt idx="20">
                  <c:v>165.02354750738436</c:v>
                </c:pt>
                <c:pt idx="21">
                  <c:v>165.98780556331062</c:v>
                </c:pt>
                <c:pt idx="22">
                  <c:v>166.89973893931145</c:v>
                </c:pt>
                <c:pt idx="23">
                  <c:v>167.76169938869285</c:v>
                </c:pt>
                <c:pt idx="24">
                  <c:v>168.57582679517495</c:v>
                </c:pt>
                <c:pt idx="25">
                  <c:v>169.34552248106201</c:v>
                </c:pt>
                <c:pt idx="26">
                  <c:v>170.0729557299972</c:v>
                </c:pt>
                <c:pt idx="27">
                  <c:v>170.76110963253632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6D4-FC46-B65D-5B9C148F9DFC}"/>
            </c:ext>
          </c:extLst>
        </c:ser>
        <c:ser>
          <c:idx val="5"/>
          <c:order val="5"/>
          <c:tx>
            <c:v>User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temp_data!$AF$11</c:f>
              <c:numCache>
                <c:formatCode>General</c:formatCode>
                <c:ptCount val="1"/>
                <c:pt idx="0">
                  <c:v>2031</c:v>
                </c:pt>
              </c:numCache>
            </c:numRef>
          </c:xVal>
          <c:yVal>
            <c:numRef>
              <c:f>temp_data!$AG$11</c:f>
              <c:numCache>
                <c:formatCode>0</c:formatCode>
                <c:ptCount val="1"/>
                <c:pt idx="0">
                  <c:v>146.23004475379511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BA-6F41-B331-102D86D6D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5372879"/>
        <c:axId val="685462719"/>
      </c:scatterChart>
      <c:valAx>
        <c:axId val="685372879"/>
        <c:scaling>
          <c:orientation val="minMax"/>
          <c:max val="20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685462719"/>
        <c:crosses val="autoZero"/>
        <c:crossBetween val="midCat"/>
      </c:valAx>
      <c:valAx>
        <c:axId val="685462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6853728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SDC Pod Weight [ kg]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temp_data!$A$20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temp_data!$B$20:$AC$20</c:f>
              <c:numCache>
                <c:formatCode>0</c:formatCode>
                <c:ptCount val="28"/>
                <c:pt idx="0">
                  <c:v>2.6395</c:v>
                </c:pt>
                <c:pt idx="1">
                  <c:v>2.4610384296412184</c:v>
                </c:pt>
                <c:pt idx="2">
                  <c:v>2.2920057753515946</c:v>
                </c:pt>
                <c:pt idx="3">
                  <c:v>2.1425205552447828</c:v>
                </c:pt>
                <c:pt idx="4">
                  <c:v>2.0069118679437667</c:v>
                </c:pt>
                <c:pt idx="5">
                  <c:v>1.8801735883789097</c:v>
                </c:pt>
                <c:pt idx="6">
                  <c:v>1.7632445149111937</c:v>
                </c:pt>
                <c:pt idx="7">
                  <c:v>1.6545599331180236</c:v>
                </c:pt>
                <c:pt idx="8">
                  <c:v>1.5537585606752915</c:v>
                </c:pt>
                <c:pt idx="9">
                  <c:v>1.4605056508628402</c:v>
                </c:pt>
                <c:pt idx="10">
                  <c:v>1.3729848480983498</c:v>
                </c:pt>
                <c:pt idx="11">
                  <c:v>1.2913390984071311</c:v>
                </c:pt>
                <c:pt idx="12">
                  <c:v>1.2151313707153752</c:v>
                </c:pt>
                <c:pt idx="13">
                  <c:v>1.1437996841794609</c:v>
                </c:pt>
                <c:pt idx="14">
                  <c:v>1.0769931424821293</c:v>
                </c:pt>
                <c:pt idx="15">
                  <c:v>1.0144473809169106</c:v>
                </c:pt>
                <c:pt idx="16">
                  <c:v>0.95583059627016453</c:v>
                </c:pt>
                <c:pt idx="17">
                  <c:v>0.9009130600697608</c:v>
                </c:pt>
                <c:pt idx="18">
                  <c:v>0.8494225617366753</c:v>
                </c:pt>
                <c:pt idx="19">
                  <c:v>0.80111101461024425</c:v>
                </c:pt>
                <c:pt idx="20">
                  <c:v>0.75581249999999978</c:v>
                </c:pt>
                <c:pt idx="21">
                  <c:v>0.71330621085366097</c:v>
                </c:pt>
                <c:pt idx="22">
                  <c:v>0.67341131419926303</c:v>
                </c:pt>
                <c:pt idx="23">
                  <c:v>0.63596870061434307</c:v>
                </c:pt>
                <c:pt idx="24">
                  <c:v>0.6008164401945344</c:v>
                </c:pt>
                <c:pt idx="25">
                  <c:v>0.56780646770517629</c:v>
                </c:pt>
                <c:pt idx="26">
                  <c:v>0.53680441745457774</c:v>
                </c:pt>
                <c:pt idx="27">
                  <c:v>0.50768097957461644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31-8A46-99C5-74A4419C947E}"/>
            </c:ext>
          </c:extLst>
        </c:ser>
        <c:ser>
          <c:idx val="1"/>
          <c:order val="1"/>
          <c:tx>
            <c:strRef>
              <c:f>temp_data!$A$21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temp_data!$B$21:$AC$21</c:f>
              <c:numCache>
                <c:formatCode>0</c:formatCode>
                <c:ptCount val="28"/>
                <c:pt idx="0">
                  <c:v>2.6515</c:v>
                </c:pt>
                <c:pt idx="1">
                  <c:v>2.4678785890258284</c:v>
                </c:pt>
                <c:pt idx="2">
                  <c:v>2.3085082466973663</c:v>
                </c:pt>
                <c:pt idx="3">
                  <c:v>2.1603766344476445</c:v>
                </c:pt>
                <c:pt idx="4">
                  <c:v>2.0268794042199718</c:v>
                </c:pt>
                <c:pt idx="5">
                  <c:v>1.9059617268375078</c:v>
                </c:pt>
                <c:pt idx="6">
                  <c:v>1.7954643305119962</c:v>
                </c:pt>
                <c:pt idx="7">
                  <c:v>1.6934626546747125</c:v>
                </c:pt>
                <c:pt idx="8">
                  <c:v>1.5999210143448428</c:v>
                </c:pt>
                <c:pt idx="9">
                  <c:v>1.5149703574456694</c:v>
                </c:pt>
                <c:pt idx="10">
                  <c:v>1.4374005192850772</c:v>
                </c:pt>
                <c:pt idx="11">
                  <c:v>1.3666928313545286</c:v>
                </c:pt>
                <c:pt idx="12">
                  <c:v>1.3022993459409307</c:v>
                </c:pt>
                <c:pt idx="13">
                  <c:v>1.2447190279936993</c:v>
                </c:pt>
                <c:pt idx="14">
                  <c:v>1.193129498222022</c:v>
                </c:pt>
                <c:pt idx="15">
                  <c:v>1.1476628062941709</c:v>
                </c:pt>
                <c:pt idx="16">
                  <c:v>1.1081591428705471</c:v>
                </c:pt>
                <c:pt idx="17">
                  <c:v>1.0746297608525111</c:v>
                </c:pt>
                <c:pt idx="18">
                  <c:v>1.0470465854703839</c:v>
                </c:pt>
                <c:pt idx="19">
                  <c:v>1.0254826540708022</c:v>
                </c:pt>
                <c:pt idx="20">
                  <c:v>1.0100522194248482</c:v>
                </c:pt>
                <c:pt idx="21">
                  <c:v>1.0009014823361886</c:v>
                </c:pt>
                <c:pt idx="22">
                  <c:v>0.99827128915362939</c:v>
                </c:pt>
                <c:pt idx="23">
                  <c:v>1.0024301409196748</c:v>
                </c:pt>
                <c:pt idx="24">
                  <c:v>1.0137229742567699</c:v>
                </c:pt>
                <c:pt idx="25">
                  <c:v>1.0325527534879373</c:v>
                </c:pt>
                <c:pt idx="26">
                  <c:v>1.0593844088531941</c:v>
                </c:pt>
                <c:pt idx="27">
                  <c:v>1.0947856000724832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31-8A46-99C5-74A4419C947E}"/>
            </c:ext>
          </c:extLst>
        </c:ser>
        <c:ser>
          <c:idx val="2"/>
          <c:order val="2"/>
          <c:tx>
            <c:strRef>
              <c:f>temp_data!$A$22</c:f>
              <c:strCache>
                <c:ptCount val="1"/>
                <c:pt idx="0">
                  <c:v>FPGA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temp_data!$B$22:$AC$22</c:f>
              <c:numCache>
                <c:formatCode>0</c:formatCode>
                <c:ptCount val="28"/>
                <c:pt idx="0">
                  <c:v>2.6515</c:v>
                </c:pt>
                <c:pt idx="1">
                  <c:v>2.4667615735272186</c:v>
                </c:pt>
                <c:pt idx="2">
                  <c:v>2.3023518865675126</c:v>
                </c:pt>
                <c:pt idx="3">
                  <c:v>2.1538564932737398</c:v>
                </c:pt>
                <c:pt idx="4">
                  <c:v>2.0165371287313776</c:v>
                </c:pt>
                <c:pt idx="5">
                  <c:v>1.8904911317563209</c:v>
                </c:pt>
                <c:pt idx="6">
                  <c:v>1.7739549320238657</c:v>
                </c:pt>
                <c:pt idx="7">
                  <c:v>1.6664833000498218</c:v>
                </c:pt>
                <c:pt idx="8">
                  <c:v>1.5666241541758545</c:v>
                </c:pt>
                <c:pt idx="9">
                  <c:v>1.4733544532195397</c:v>
                </c:pt>
                <c:pt idx="10">
                  <c:v>1.3863684717056279</c:v>
                </c:pt>
                <c:pt idx="11">
                  <c:v>1.3048693496224086</c:v>
                </c:pt>
                <c:pt idx="12">
                  <c:v>1.2291108983887198</c:v>
                </c:pt>
                <c:pt idx="13">
                  <c:v>1.1579667632306114</c:v>
                </c:pt>
                <c:pt idx="14">
                  <c:v>1.0914805806994119</c:v>
                </c:pt>
                <c:pt idx="15">
                  <c:v>1.0292769346934256</c:v>
                </c:pt>
                <c:pt idx="16">
                  <c:v>0.97085984714826323</c:v>
                </c:pt>
                <c:pt idx="17">
                  <c:v>0.91620711171365987</c:v>
                </c:pt>
                <c:pt idx="18">
                  <c:v>0.86488222316773822</c:v>
                </c:pt>
                <c:pt idx="19">
                  <c:v>0.81676943327266138</c:v>
                </c:pt>
                <c:pt idx="20">
                  <c:v>0.77164383458036967</c:v>
                </c:pt>
                <c:pt idx="21">
                  <c:v>0.72928316135819526</c:v>
                </c:pt>
                <c:pt idx="22">
                  <c:v>0.68955965205681036</c:v>
                </c:pt>
                <c:pt idx="23">
                  <c:v>0.65224024377381973</c:v>
                </c:pt>
                <c:pt idx="24">
                  <c:v>0.61722196315112043</c:v>
                </c:pt>
                <c:pt idx="25">
                  <c:v>0.58431971783953029</c:v>
                </c:pt>
                <c:pt idx="26">
                  <c:v>0.55343534510427439</c:v>
                </c:pt>
                <c:pt idx="27">
                  <c:v>0.52440576935953365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531-8A46-99C5-74A4419C947E}"/>
            </c:ext>
          </c:extLst>
        </c:ser>
        <c:ser>
          <c:idx val="3"/>
          <c:order val="3"/>
          <c:tx>
            <c:strRef>
              <c:f>temp_data!$A$23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temp_data!$B$23:$AC$23</c:f>
              <c:numCache>
                <c:formatCode>0</c:formatCode>
                <c:ptCount val="28"/>
                <c:pt idx="0">
                  <c:v>2.6515</c:v>
                </c:pt>
                <c:pt idx="1">
                  <c:v>2.4695237110154573</c:v>
                </c:pt>
                <c:pt idx="2">
                  <c:v>2.3040057753515946</c:v>
                </c:pt>
                <c:pt idx="3">
                  <c:v>2.1538342637437675</c:v>
                </c:pt>
                <c:pt idx="4">
                  <c:v>2.0169118679437665</c:v>
                </c:pt>
                <c:pt idx="5">
                  <c:v>1.8911337434873012</c:v>
                </c:pt>
                <c:pt idx="6">
                  <c:v>1.7747445149111936</c:v>
                </c:pt>
                <c:pt idx="7">
                  <c:v>1.6669343017887881</c:v>
                </c:pt>
                <c:pt idx="8">
                  <c:v>1.5667585606752914</c:v>
                </c:pt>
                <c:pt idx="9">
                  <c:v>1.4734987379671429</c:v>
                </c:pt>
                <c:pt idx="10">
                  <c:v>1.3864223480983495</c:v>
                </c:pt>
                <c:pt idx="11">
                  <c:v>1.305171874814093</c:v>
                </c:pt>
                <c:pt idx="12">
                  <c:v>1.2292251207153753</c:v>
                </c:pt>
                <c:pt idx="13">
                  <c:v>1.1581406935854004</c:v>
                </c:pt>
                <c:pt idx="14">
                  <c:v>1.0916181424821294</c:v>
                </c:pt>
                <c:pt idx="15">
                  <c:v>1.0293187204087402</c:v>
                </c:pt>
                <c:pt idx="16">
                  <c:v>0.97093997127016451</c:v>
                </c:pt>
                <c:pt idx="17">
                  <c:v>0.91622081702810398</c:v>
                </c:pt>
                <c:pt idx="18">
                  <c:v>0.86491474923667533</c:v>
                </c:pt>
                <c:pt idx="19">
                  <c:v>0.81679718418195679</c:v>
                </c:pt>
                <c:pt idx="20">
                  <c:v>0.77166015624999962</c:v>
                </c:pt>
                <c:pt idx="21">
                  <c:v>0.7293086449818027</c:v>
                </c:pt>
                <c:pt idx="22">
                  <c:v>0.68956170482426304</c:v>
                </c:pt>
                <c:pt idx="23">
                  <c:v>0.65225287260061371</c:v>
                </c:pt>
                <c:pt idx="24">
                  <c:v>0.61722464331953431</c:v>
                </c:pt>
                <c:pt idx="25">
                  <c:v>0.58433129077859869</c:v>
                </c:pt>
                <c:pt idx="26">
                  <c:v>0.55343722995457778</c:v>
                </c:pt>
                <c:pt idx="27">
                  <c:v>0.52441451653926308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531-8A46-99C5-74A4419C947E}"/>
            </c:ext>
          </c:extLst>
        </c:ser>
        <c:ser>
          <c:idx val="4"/>
          <c:order val="4"/>
          <c:tx>
            <c:strRef>
              <c:f>temp_data!$A$24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temp_data!$B$24:$AC$24</c:f>
              <c:numCache>
                <c:formatCode>0</c:formatCode>
                <c:ptCount val="28"/>
                <c:pt idx="7">
                  <c:v>2.2380694479237424</c:v>
                </c:pt>
                <c:pt idx="8">
                  <c:v>2.1655444803732538</c:v>
                </c:pt>
                <c:pt idx="9">
                  <c:v>2.0925710178159154</c:v>
                </c:pt>
                <c:pt idx="10">
                  <c:v>2.02485984809835</c:v>
                </c:pt>
                <c:pt idx="11">
                  <c:v>1.9613670449587313</c:v>
                </c:pt>
                <c:pt idx="12">
                  <c:v>1.9011697720676033</c:v>
                </c:pt>
                <c:pt idx="13">
                  <c:v>1.8448595631211695</c:v>
                </c:pt>
                <c:pt idx="14">
                  <c:v>1.7916412001087874</c:v>
                </c:pt>
                <c:pt idx="15">
                  <c:v>1.7416283087737656</c:v>
                </c:pt>
                <c:pt idx="16">
                  <c:v>1.6945415337701646</c:v>
                </c:pt>
                <c:pt idx="17">
                  <c:v>1.6502038202307256</c:v>
                </c:pt>
                <c:pt idx="18">
                  <c:v>1.6084433757838938</c:v>
                </c:pt>
                <c:pt idx="19">
                  <c:v>1.569160641761308</c:v>
                </c:pt>
                <c:pt idx="20">
                  <c:v>1.5321849281209099</c:v>
                </c:pt>
                <c:pt idx="21">
                  <c:v>1.4973706208204141</c:v>
                </c:pt>
                <c:pt idx="22">
                  <c:v>1.4646124860742631</c:v>
                </c:pt>
                <c:pt idx="23">
                  <c:v>1.4337872257162418</c:v>
                </c:pt>
                <c:pt idx="24">
                  <c:v>1.4047779687142621</c:v>
                </c:pt>
                <c:pt idx="25">
                  <c:v>1.3774812259992768</c:v>
                </c:pt>
                <c:pt idx="26">
                  <c:v>1.3517940538060864</c:v>
                </c:pt>
                <c:pt idx="27">
                  <c:v>1.3276239436943746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531-8A46-99C5-74A4419C947E}"/>
            </c:ext>
          </c:extLst>
        </c:ser>
        <c:ser>
          <c:idx val="5"/>
          <c:order val="5"/>
          <c:tx>
            <c:v>User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temp_data!$AF$19</c:f>
              <c:numCache>
                <c:formatCode>General</c:formatCode>
                <c:ptCount val="1"/>
                <c:pt idx="0">
                  <c:v>2031</c:v>
                </c:pt>
              </c:numCache>
            </c:numRef>
          </c:xVal>
          <c:yVal>
            <c:numRef>
              <c:f>temp_data!$AG$19</c:f>
              <c:numCache>
                <c:formatCode>0</c:formatCode>
                <c:ptCount val="1"/>
                <c:pt idx="0">
                  <c:v>1.5999210143448428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8A-2948-861F-577EBC507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7139807"/>
        <c:axId val="697141535"/>
      </c:scatterChart>
      <c:valAx>
        <c:axId val="697139807"/>
        <c:scaling>
          <c:orientation val="minMax"/>
          <c:max val="20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697141535"/>
        <c:crosses val="autoZero"/>
        <c:crossBetween val="midCat"/>
      </c:valAx>
      <c:valAx>
        <c:axId val="697141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697139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Compute per Pod/Satellite [GFLOPs</a:t>
            </a:r>
            <a:r>
              <a:rPr lang="en-GB" baseline="0"/>
              <a:t> or equiv.]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temp_data!$A$45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temp_data!$B$45:$AC$45</c:f>
              <c:numCache>
                <c:formatCode>General</c:formatCode>
                <c:ptCount val="28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90</c:v>
                </c:pt>
                <c:pt idx="7">
                  <c:v>130</c:v>
                </c:pt>
                <c:pt idx="8">
                  <c:v>190</c:v>
                </c:pt>
                <c:pt idx="9">
                  <c:v>290</c:v>
                </c:pt>
                <c:pt idx="10">
                  <c:v>420</c:v>
                </c:pt>
                <c:pt idx="11">
                  <c:v>610</c:v>
                </c:pt>
                <c:pt idx="12">
                  <c:v>890</c:v>
                </c:pt>
                <c:pt idx="13">
                  <c:v>1290</c:v>
                </c:pt>
                <c:pt idx="14">
                  <c:v>1860</c:v>
                </c:pt>
                <c:pt idx="15">
                  <c:v>2680</c:v>
                </c:pt>
                <c:pt idx="16">
                  <c:v>3850</c:v>
                </c:pt>
                <c:pt idx="17">
                  <c:v>5530</c:v>
                </c:pt>
                <c:pt idx="18">
                  <c:v>7930</c:v>
                </c:pt>
                <c:pt idx="19">
                  <c:v>11340</c:v>
                </c:pt>
                <c:pt idx="20">
                  <c:v>16220</c:v>
                </c:pt>
                <c:pt idx="21">
                  <c:v>23170</c:v>
                </c:pt>
                <c:pt idx="22">
                  <c:v>33060</c:v>
                </c:pt>
                <c:pt idx="23">
                  <c:v>47150</c:v>
                </c:pt>
                <c:pt idx="24">
                  <c:v>67200</c:v>
                </c:pt>
                <c:pt idx="25">
                  <c:v>95710</c:v>
                </c:pt>
                <c:pt idx="26">
                  <c:v>136250</c:v>
                </c:pt>
                <c:pt idx="27">
                  <c:v>193860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63-024F-95B1-3BAF07DDC17F}"/>
            </c:ext>
          </c:extLst>
        </c:ser>
        <c:ser>
          <c:idx val="1"/>
          <c:order val="1"/>
          <c:tx>
            <c:strRef>
              <c:f>temp_data!$A$46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temp_data!$B$46:$AC$46</c:f>
              <c:numCache>
                <c:formatCode>General</c:formatCode>
                <c:ptCount val="28"/>
                <c:pt idx="0">
                  <c:v>20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140</c:v>
                </c:pt>
                <c:pt idx="5">
                  <c:v>220</c:v>
                </c:pt>
                <c:pt idx="6">
                  <c:v>340</c:v>
                </c:pt>
                <c:pt idx="7">
                  <c:v>510</c:v>
                </c:pt>
                <c:pt idx="8">
                  <c:v>760</c:v>
                </c:pt>
                <c:pt idx="9">
                  <c:v>1140</c:v>
                </c:pt>
                <c:pt idx="10">
                  <c:v>1700</c:v>
                </c:pt>
                <c:pt idx="11">
                  <c:v>2520</c:v>
                </c:pt>
                <c:pt idx="12">
                  <c:v>3710</c:v>
                </c:pt>
                <c:pt idx="13">
                  <c:v>5470</c:v>
                </c:pt>
                <c:pt idx="14">
                  <c:v>8030</c:v>
                </c:pt>
                <c:pt idx="15">
                  <c:v>11770</c:v>
                </c:pt>
                <c:pt idx="16">
                  <c:v>17220</c:v>
                </c:pt>
                <c:pt idx="17">
                  <c:v>25160</c:v>
                </c:pt>
                <c:pt idx="18">
                  <c:v>36710</c:v>
                </c:pt>
                <c:pt idx="19">
                  <c:v>53500</c:v>
                </c:pt>
                <c:pt idx="20">
                  <c:v>77890</c:v>
                </c:pt>
                <c:pt idx="21">
                  <c:v>113290</c:v>
                </c:pt>
                <c:pt idx="22">
                  <c:v>164650</c:v>
                </c:pt>
                <c:pt idx="23">
                  <c:v>239120</c:v>
                </c:pt>
                <c:pt idx="24">
                  <c:v>347050</c:v>
                </c:pt>
                <c:pt idx="25">
                  <c:v>503400</c:v>
                </c:pt>
                <c:pt idx="26">
                  <c:v>729780</c:v>
                </c:pt>
                <c:pt idx="27">
                  <c:v>1057450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63-024F-95B1-3BAF07DDC17F}"/>
            </c:ext>
          </c:extLst>
        </c:ser>
        <c:ser>
          <c:idx val="2"/>
          <c:order val="2"/>
          <c:tx>
            <c:strRef>
              <c:f>temp_data!$A$47</c:f>
              <c:strCache>
                <c:ptCount val="1"/>
                <c:pt idx="0">
                  <c:v>FPGA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temp_data!$B$47:$AC$47</c:f>
              <c:numCache>
                <c:formatCode>General</c:formatCode>
                <c:ptCount val="28"/>
                <c:pt idx="0">
                  <c:v>30</c:v>
                </c:pt>
                <c:pt idx="1">
                  <c:v>40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160</c:v>
                </c:pt>
                <c:pt idx="6">
                  <c:v>210</c:v>
                </c:pt>
                <c:pt idx="7">
                  <c:v>280</c:v>
                </c:pt>
                <c:pt idx="8">
                  <c:v>370</c:v>
                </c:pt>
                <c:pt idx="9">
                  <c:v>480</c:v>
                </c:pt>
                <c:pt idx="10">
                  <c:v>620</c:v>
                </c:pt>
                <c:pt idx="11">
                  <c:v>790</c:v>
                </c:pt>
                <c:pt idx="12">
                  <c:v>1020</c:v>
                </c:pt>
                <c:pt idx="13">
                  <c:v>1300</c:v>
                </c:pt>
                <c:pt idx="14">
                  <c:v>1660</c:v>
                </c:pt>
                <c:pt idx="15">
                  <c:v>2120</c:v>
                </c:pt>
                <c:pt idx="16">
                  <c:v>2690</c:v>
                </c:pt>
                <c:pt idx="17">
                  <c:v>3420</c:v>
                </c:pt>
                <c:pt idx="18">
                  <c:v>4330</c:v>
                </c:pt>
                <c:pt idx="19">
                  <c:v>5480</c:v>
                </c:pt>
                <c:pt idx="20">
                  <c:v>6930</c:v>
                </c:pt>
                <c:pt idx="21">
                  <c:v>8750</c:v>
                </c:pt>
                <c:pt idx="22">
                  <c:v>11050</c:v>
                </c:pt>
                <c:pt idx="23">
                  <c:v>13930</c:v>
                </c:pt>
                <c:pt idx="24">
                  <c:v>17560</c:v>
                </c:pt>
                <c:pt idx="25">
                  <c:v>22110</c:v>
                </c:pt>
                <c:pt idx="26">
                  <c:v>27840</c:v>
                </c:pt>
                <c:pt idx="27">
                  <c:v>35020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63-024F-95B1-3BAF07DDC17F}"/>
            </c:ext>
          </c:extLst>
        </c:ser>
        <c:ser>
          <c:idx val="3"/>
          <c:order val="3"/>
          <c:tx>
            <c:strRef>
              <c:f>temp_data!$A$48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temp_data!$B$48:$AC$48</c:f>
              <c:numCache>
                <c:formatCode>General</c:formatCode>
                <c:ptCount val="28"/>
                <c:pt idx="0">
                  <c:v>60</c:v>
                </c:pt>
                <c:pt idx="1">
                  <c:v>110</c:v>
                </c:pt>
                <c:pt idx="2">
                  <c:v>170</c:v>
                </c:pt>
                <c:pt idx="3">
                  <c:v>260</c:v>
                </c:pt>
                <c:pt idx="4">
                  <c:v>400</c:v>
                </c:pt>
                <c:pt idx="5">
                  <c:v>610</c:v>
                </c:pt>
                <c:pt idx="6">
                  <c:v>910</c:v>
                </c:pt>
                <c:pt idx="7">
                  <c:v>1350</c:v>
                </c:pt>
                <c:pt idx="8">
                  <c:v>1990</c:v>
                </c:pt>
                <c:pt idx="9">
                  <c:v>2920</c:v>
                </c:pt>
                <c:pt idx="10">
                  <c:v>4250</c:v>
                </c:pt>
                <c:pt idx="11">
                  <c:v>6180</c:v>
                </c:pt>
                <c:pt idx="12">
                  <c:v>8960</c:v>
                </c:pt>
                <c:pt idx="13">
                  <c:v>12940</c:v>
                </c:pt>
                <c:pt idx="14">
                  <c:v>18660</c:v>
                </c:pt>
                <c:pt idx="15">
                  <c:v>26860</c:v>
                </c:pt>
                <c:pt idx="16">
                  <c:v>38590</c:v>
                </c:pt>
                <c:pt idx="17">
                  <c:v>55360</c:v>
                </c:pt>
                <c:pt idx="18">
                  <c:v>79310</c:v>
                </c:pt>
                <c:pt idx="19">
                  <c:v>113490</c:v>
                </c:pt>
                <c:pt idx="20">
                  <c:v>162240</c:v>
                </c:pt>
                <c:pt idx="21">
                  <c:v>231720</c:v>
                </c:pt>
                <c:pt idx="22">
                  <c:v>330680</c:v>
                </c:pt>
                <c:pt idx="23">
                  <c:v>471570</c:v>
                </c:pt>
                <c:pt idx="24">
                  <c:v>672040</c:v>
                </c:pt>
                <c:pt idx="25">
                  <c:v>957160</c:v>
                </c:pt>
                <c:pt idx="26">
                  <c:v>1362530</c:v>
                </c:pt>
                <c:pt idx="27">
                  <c:v>1938610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E63-024F-95B1-3BAF07DDC17F}"/>
            </c:ext>
          </c:extLst>
        </c:ser>
        <c:ser>
          <c:idx val="4"/>
          <c:order val="4"/>
          <c:tx>
            <c:strRef>
              <c:f>temp_data!$A$49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temp_data!$B$49:$AC$49</c:f>
              <c:numCache>
                <c:formatCode>General</c:formatCode>
                <c:ptCount val="28"/>
                <c:pt idx="7">
                  <c:v>1190</c:v>
                </c:pt>
                <c:pt idx="8">
                  <c:v>1980</c:v>
                </c:pt>
                <c:pt idx="9">
                  <c:v>3250</c:v>
                </c:pt>
                <c:pt idx="10">
                  <c:v>5320</c:v>
                </c:pt>
                <c:pt idx="11">
                  <c:v>8680</c:v>
                </c:pt>
                <c:pt idx="12">
                  <c:v>14110</c:v>
                </c:pt>
                <c:pt idx="13">
                  <c:v>22890</c:v>
                </c:pt>
                <c:pt idx="14">
                  <c:v>37040</c:v>
                </c:pt>
                <c:pt idx="15">
                  <c:v>59830</c:v>
                </c:pt>
                <c:pt idx="16">
                  <c:v>96480</c:v>
                </c:pt>
                <c:pt idx="17">
                  <c:v>155350</c:v>
                </c:pt>
                <c:pt idx="18">
                  <c:v>249810</c:v>
                </c:pt>
                <c:pt idx="19">
                  <c:v>401260</c:v>
                </c:pt>
                <c:pt idx="20">
                  <c:v>643870</c:v>
                </c:pt>
                <c:pt idx="21">
                  <c:v>1032210</c:v>
                </c:pt>
                <c:pt idx="22">
                  <c:v>1653440</c:v>
                </c:pt>
                <c:pt idx="23">
                  <c:v>2646630</c:v>
                </c:pt>
                <c:pt idx="24">
                  <c:v>4233620</c:v>
                </c:pt>
                <c:pt idx="25">
                  <c:v>6768210</c:v>
                </c:pt>
                <c:pt idx="26">
                  <c:v>10814400</c:v>
                </c:pt>
                <c:pt idx="27">
                  <c:v>17271130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E63-024F-95B1-3BAF07DDC17F}"/>
            </c:ext>
          </c:extLst>
        </c:ser>
        <c:ser>
          <c:idx val="5"/>
          <c:order val="5"/>
          <c:tx>
            <c:v>User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temp_data!$AF$44</c:f>
              <c:numCache>
                <c:formatCode>General</c:formatCode>
                <c:ptCount val="1"/>
                <c:pt idx="0">
                  <c:v>2031</c:v>
                </c:pt>
              </c:numCache>
            </c:numRef>
          </c:xVal>
          <c:yVal>
            <c:numRef>
              <c:f>temp_data!$AG$44</c:f>
              <c:numCache>
                <c:formatCode>0</c:formatCode>
                <c:ptCount val="1"/>
                <c:pt idx="0">
                  <c:v>760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AF-DE44-AE29-8A79BE91B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9848320"/>
        <c:axId val="1299834864"/>
      </c:scatterChart>
      <c:valAx>
        <c:axId val="1299848320"/>
        <c:scaling>
          <c:orientation val="minMax"/>
          <c:max val="20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299834864"/>
        <c:crosses val="autoZero"/>
        <c:crossBetween val="midCat"/>
      </c:valAx>
      <c:valAx>
        <c:axId val="129983486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299848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SDC Pod Memory in GByte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temp_data!$A$53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temp_data!$B$53:$AC$53</c:f>
              <c:numCache>
                <c:formatCode>General</c:formatCode>
                <c:ptCount val="28"/>
                <c:pt idx="0">
                  <c:v>0</c:v>
                </c:pt>
                <c:pt idx="1">
                  <c:v>64</c:v>
                </c:pt>
                <c:pt idx="2">
                  <c:v>64</c:v>
                </c:pt>
                <c:pt idx="3">
                  <c:v>128</c:v>
                </c:pt>
                <c:pt idx="4">
                  <c:v>256</c:v>
                </c:pt>
                <c:pt idx="5">
                  <c:v>384</c:v>
                </c:pt>
                <c:pt idx="6">
                  <c:v>576</c:v>
                </c:pt>
                <c:pt idx="7">
                  <c:v>832</c:v>
                </c:pt>
                <c:pt idx="8">
                  <c:v>1216</c:v>
                </c:pt>
                <c:pt idx="9">
                  <c:v>1856</c:v>
                </c:pt>
                <c:pt idx="10">
                  <c:v>2688</c:v>
                </c:pt>
                <c:pt idx="11">
                  <c:v>3904</c:v>
                </c:pt>
                <c:pt idx="12">
                  <c:v>5696</c:v>
                </c:pt>
                <c:pt idx="13">
                  <c:v>8256</c:v>
                </c:pt>
                <c:pt idx="14">
                  <c:v>11904</c:v>
                </c:pt>
                <c:pt idx="15">
                  <c:v>17152</c:v>
                </c:pt>
                <c:pt idx="16">
                  <c:v>24640</c:v>
                </c:pt>
                <c:pt idx="17">
                  <c:v>35392</c:v>
                </c:pt>
                <c:pt idx="18">
                  <c:v>50752</c:v>
                </c:pt>
                <c:pt idx="19">
                  <c:v>72576</c:v>
                </c:pt>
                <c:pt idx="20">
                  <c:v>103808</c:v>
                </c:pt>
                <c:pt idx="21">
                  <c:v>148288</c:v>
                </c:pt>
                <c:pt idx="22">
                  <c:v>211584</c:v>
                </c:pt>
                <c:pt idx="23">
                  <c:v>301760</c:v>
                </c:pt>
                <c:pt idx="24">
                  <c:v>430080</c:v>
                </c:pt>
                <c:pt idx="25">
                  <c:v>612544</c:v>
                </c:pt>
                <c:pt idx="26">
                  <c:v>872000</c:v>
                </c:pt>
                <c:pt idx="27">
                  <c:v>1240704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F-754A-B229-58D1B7660371}"/>
            </c:ext>
          </c:extLst>
        </c:ser>
        <c:ser>
          <c:idx val="1"/>
          <c:order val="1"/>
          <c:tx>
            <c:strRef>
              <c:f>temp_data!$A$54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temp_data!$B$54:$AC$54</c:f>
              <c:numCache>
                <c:formatCode>General</c:formatCode>
                <c:ptCount val="28"/>
                <c:pt idx="0">
                  <c:v>128</c:v>
                </c:pt>
                <c:pt idx="1">
                  <c:v>192</c:v>
                </c:pt>
                <c:pt idx="2">
                  <c:v>384</c:v>
                </c:pt>
                <c:pt idx="3">
                  <c:v>576</c:v>
                </c:pt>
                <c:pt idx="4">
                  <c:v>896</c:v>
                </c:pt>
                <c:pt idx="5">
                  <c:v>1408</c:v>
                </c:pt>
                <c:pt idx="6">
                  <c:v>2176</c:v>
                </c:pt>
                <c:pt idx="7">
                  <c:v>3264</c:v>
                </c:pt>
                <c:pt idx="8">
                  <c:v>4864</c:v>
                </c:pt>
                <c:pt idx="9">
                  <c:v>7296</c:v>
                </c:pt>
                <c:pt idx="10">
                  <c:v>10880</c:v>
                </c:pt>
                <c:pt idx="11">
                  <c:v>16128</c:v>
                </c:pt>
                <c:pt idx="12">
                  <c:v>23744</c:v>
                </c:pt>
                <c:pt idx="13">
                  <c:v>35008</c:v>
                </c:pt>
                <c:pt idx="14">
                  <c:v>51392</c:v>
                </c:pt>
                <c:pt idx="15">
                  <c:v>75328</c:v>
                </c:pt>
                <c:pt idx="16">
                  <c:v>110208</c:v>
                </c:pt>
                <c:pt idx="17">
                  <c:v>161024</c:v>
                </c:pt>
                <c:pt idx="18">
                  <c:v>234944</c:v>
                </c:pt>
                <c:pt idx="19">
                  <c:v>342400</c:v>
                </c:pt>
                <c:pt idx="20">
                  <c:v>498496</c:v>
                </c:pt>
                <c:pt idx="21">
                  <c:v>725056</c:v>
                </c:pt>
                <c:pt idx="22">
                  <c:v>1053760</c:v>
                </c:pt>
                <c:pt idx="23">
                  <c:v>1530368</c:v>
                </c:pt>
                <c:pt idx="24">
                  <c:v>2221120</c:v>
                </c:pt>
                <c:pt idx="25">
                  <c:v>3221760</c:v>
                </c:pt>
                <c:pt idx="26">
                  <c:v>4670592</c:v>
                </c:pt>
                <c:pt idx="27">
                  <c:v>6767680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EF-754A-B229-58D1B7660371}"/>
            </c:ext>
          </c:extLst>
        </c:ser>
        <c:ser>
          <c:idx val="2"/>
          <c:order val="2"/>
          <c:tx>
            <c:strRef>
              <c:f>temp_data!$A$55</c:f>
              <c:strCache>
                <c:ptCount val="1"/>
                <c:pt idx="0">
                  <c:v>FPGA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temp_data!$B$55:$AC$55</c:f>
              <c:numCache>
                <c:formatCode>General</c:formatCode>
                <c:ptCount val="28"/>
                <c:pt idx="0">
                  <c:v>192</c:v>
                </c:pt>
                <c:pt idx="1">
                  <c:v>256</c:v>
                </c:pt>
                <c:pt idx="2">
                  <c:v>384</c:v>
                </c:pt>
                <c:pt idx="3">
                  <c:v>576</c:v>
                </c:pt>
                <c:pt idx="4">
                  <c:v>768</c:v>
                </c:pt>
                <c:pt idx="5">
                  <c:v>1024</c:v>
                </c:pt>
                <c:pt idx="6">
                  <c:v>1344</c:v>
                </c:pt>
                <c:pt idx="7">
                  <c:v>1792</c:v>
                </c:pt>
                <c:pt idx="8">
                  <c:v>2368</c:v>
                </c:pt>
                <c:pt idx="9">
                  <c:v>3072</c:v>
                </c:pt>
                <c:pt idx="10">
                  <c:v>3968</c:v>
                </c:pt>
                <c:pt idx="11">
                  <c:v>5056</c:v>
                </c:pt>
                <c:pt idx="12">
                  <c:v>6528</c:v>
                </c:pt>
                <c:pt idx="13">
                  <c:v>8320</c:v>
                </c:pt>
                <c:pt idx="14">
                  <c:v>10624</c:v>
                </c:pt>
                <c:pt idx="15">
                  <c:v>13568</c:v>
                </c:pt>
                <c:pt idx="16">
                  <c:v>17216</c:v>
                </c:pt>
                <c:pt idx="17">
                  <c:v>21888</c:v>
                </c:pt>
                <c:pt idx="18">
                  <c:v>27712</c:v>
                </c:pt>
                <c:pt idx="19">
                  <c:v>35072</c:v>
                </c:pt>
                <c:pt idx="20">
                  <c:v>44352</c:v>
                </c:pt>
                <c:pt idx="21">
                  <c:v>56000</c:v>
                </c:pt>
                <c:pt idx="22">
                  <c:v>70720</c:v>
                </c:pt>
                <c:pt idx="23">
                  <c:v>89152</c:v>
                </c:pt>
                <c:pt idx="24">
                  <c:v>112384</c:v>
                </c:pt>
                <c:pt idx="25">
                  <c:v>141504</c:v>
                </c:pt>
                <c:pt idx="26">
                  <c:v>178176</c:v>
                </c:pt>
                <c:pt idx="27">
                  <c:v>224128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EF-754A-B229-58D1B7660371}"/>
            </c:ext>
          </c:extLst>
        </c:ser>
        <c:ser>
          <c:idx val="3"/>
          <c:order val="3"/>
          <c:tx>
            <c:strRef>
              <c:f>temp_data!$A$56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temp_data!$B$56:$AC$56</c:f>
              <c:numCache>
                <c:formatCode>General</c:formatCode>
                <c:ptCount val="28"/>
                <c:pt idx="0">
                  <c:v>384</c:v>
                </c:pt>
                <c:pt idx="1">
                  <c:v>704</c:v>
                </c:pt>
                <c:pt idx="2">
                  <c:v>1088</c:v>
                </c:pt>
                <c:pt idx="3">
                  <c:v>1664</c:v>
                </c:pt>
                <c:pt idx="4">
                  <c:v>2560</c:v>
                </c:pt>
                <c:pt idx="5">
                  <c:v>3904</c:v>
                </c:pt>
                <c:pt idx="6">
                  <c:v>5824</c:v>
                </c:pt>
                <c:pt idx="7">
                  <c:v>8640</c:v>
                </c:pt>
                <c:pt idx="8">
                  <c:v>12736</c:v>
                </c:pt>
                <c:pt idx="9">
                  <c:v>18688</c:v>
                </c:pt>
                <c:pt idx="10">
                  <c:v>27200</c:v>
                </c:pt>
                <c:pt idx="11">
                  <c:v>39552</c:v>
                </c:pt>
                <c:pt idx="12">
                  <c:v>57344</c:v>
                </c:pt>
                <c:pt idx="13">
                  <c:v>82816</c:v>
                </c:pt>
                <c:pt idx="14">
                  <c:v>119424</c:v>
                </c:pt>
                <c:pt idx="15">
                  <c:v>171904</c:v>
                </c:pt>
                <c:pt idx="16">
                  <c:v>246976</c:v>
                </c:pt>
                <c:pt idx="17">
                  <c:v>354304</c:v>
                </c:pt>
                <c:pt idx="18">
                  <c:v>507584</c:v>
                </c:pt>
                <c:pt idx="19">
                  <c:v>726336</c:v>
                </c:pt>
                <c:pt idx="20">
                  <c:v>1038336</c:v>
                </c:pt>
                <c:pt idx="21">
                  <c:v>1483008</c:v>
                </c:pt>
                <c:pt idx="22">
                  <c:v>2116352</c:v>
                </c:pt>
                <c:pt idx="23">
                  <c:v>3018048</c:v>
                </c:pt>
                <c:pt idx="24">
                  <c:v>4301056</c:v>
                </c:pt>
                <c:pt idx="25">
                  <c:v>6125824</c:v>
                </c:pt>
                <c:pt idx="26">
                  <c:v>8720192</c:v>
                </c:pt>
                <c:pt idx="27">
                  <c:v>12407104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CEF-754A-B229-58D1B7660371}"/>
            </c:ext>
          </c:extLst>
        </c:ser>
        <c:ser>
          <c:idx val="4"/>
          <c:order val="4"/>
          <c:tx>
            <c:strRef>
              <c:f>temp_data!$A$57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temp_data!$B$57:$AC$57</c:f>
              <c:numCache>
                <c:formatCode>General</c:formatCode>
                <c:ptCount val="28"/>
                <c:pt idx="7">
                  <c:v>7616</c:v>
                </c:pt>
                <c:pt idx="8">
                  <c:v>12672</c:v>
                </c:pt>
                <c:pt idx="9">
                  <c:v>20800</c:v>
                </c:pt>
                <c:pt idx="10">
                  <c:v>34048</c:v>
                </c:pt>
                <c:pt idx="11">
                  <c:v>55552</c:v>
                </c:pt>
                <c:pt idx="12">
                  <c:v>90304</c:v>
                </c:pt>
                <c:pt idx="13">
                  <c:v>146496</c:v>
                </c:pt>
                <c:pt idx="14">
                  <c:v>237056</c:v>
                </c:pt>
                <c:pt idx="15">
                  <c:v>382912</c:v>
                </c:pt>
                <c:pt idx="16">
                  <c:v>617472</c:v>
                </c:pt>
                <c:pt idx="17">
                  <c:v>994240</c:v>
                </c:pt>
                <c:pt idx="18">
                  <c:v>1598784</c:v>
                </c:pt>
                <c:pt idx="19">
                  <c:v>2568064</c:v>
                </c:pt>
                <c:pt idx="20">
                  <c:v>4120768</c:v>
                </c:pt>
                <c:pt idx="21">
                  <c:v>6606144</c:v>
                </c:pt>
                <c:pt idx="22">
                  <c:v>10582016</c:v>
                </c:pt>
                <c:pt idx="23">
                  <c:v>16938432</c:v>
                </c:pt>
                <c:pt idx="24">
                  <c:v>27095168</c:v>
                </c:pt>
                <c:pt idx="25">
                  <c:v>43316544</c:v>
                </c:pt>
                <c:pt idx="26">
                  <c:v>69212160</c:v>
                </c:pt>
                <c:pt idx="27">
                  <c:v>110535232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CEF-754A-B229-58D1B7660371}"/>
            </c:ext>
          </c:extLst>
        </c:ser>
        <c:ser>
          <c:idx val="5"/>
          <c:order val="5"/>
          <c:tx>
            <c:v>User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temp_data!$AF$52</c:f>
              <c:numCache>
                <c:formatCode>General</c:formatCode>
                <c:ptCount val="1"/>
                <c:pt idx="0">
                  <c:v>2031</c:v>
                </c:pt>
              </c:numCache>
            </c:numRef>
          </c:xVal>
          <c:yVal>
            <c:numRef>
              <c:f>temp_data!$AG$52</c:f>
              <c:numCache>
                <c:formatCode>0</c:formatCode>
                <c:ptCount val="1"/>
                <c:pt idx="0">
                  <c:v>4864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D3-4D45-886F-2653C3AB4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0390399"/>
        <c:axId val="1211426079"/>
      </c:scatterChart>
      <c:valAx>
        <c:axId val="1210390399"/>
        <c:scaling>
          <c:orientation val="minMax"/>
          <c:max val="20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211426079"/>
        <c:crosses val="autoZero"/>
        <c:crossBetween val="midCat"/>
      </c:valAx>
      <c:valAx>
        <c:axId val="1211426079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2103903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SDC Storage - Based on hourly storage Requirement [TByte]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temp_data!$A$61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temp_data!$B$61:$AC$61</c:f>
              <c:numCache>
                <c:formatCode>General</c:formatCode>
                <c:ptCount val="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27-F44C-B15C-FBD688457E6F}"/>
            </c:ext>
          </c:extLst>
        </c:ser>
        <c:ser>
          <c:idx val="1"/>
          <c:order val="1"/>
          <c:tx>
            <c:strRef>
              <c:f>temp_data!$A$60</c:f>
              <c:strCache>
                <c:ptCount val="1"/>
                <c:pt idx="0">
                  <c:v>SDC Pod Storage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temp_data!$B$60:$AC$60</c:f>
              <c:numCache>
                <c:formatCode>#,##0</c:formatCode>
                <c:ptCount val="28"/>
                <c:pt idx="0">
                  <c:v>2.25</c:v>
                </c:pt>
                <c:pt idx="1">
                  <c:v>2.4114902907066593</c:v>
                </c:pt>
                <c:pt idx="2">
                  <c:v>2.5845712987433287</c:v>
                </c:pt>
                <c:pt idx="3">
                  <c:v>2.7700749300260612</c:v>
                </c:pt>
                <c:pt idx="4">
                  <c:v>2.9688927992390117</c:v>
                </c:pt>
                <c:pt idx="5">
                  <c:v>3.1819805153394634</c:v>
                </c:pt>
                <c:pt idx="6">
                  <c:v>3.4103622746483948</c:v>
                </c:pt>
                <c:pt idx="7">
                  <c:v>3.6551357836030589</c:v>
                </c:pt>
                <c:pt idx="8">
                  <c:v>3.9174775348325572</c:v>
                </c:pt>
                <c:pt idx="9">
                  <c:v>4.1986484619156315</c:v>
                </c:pt>
                <c:pt idx="10">
                  <c:v>4.4999999999999973</c:v>
                </c:pt>
                <c:pt idx="11">
                  <c:v>4.8229805814133169</c:v>
                </c:pt>
                <c:pt idx="12">
                  <c:v>5.1691425974866538</c:v>
                </c:pt>
                <c:pt idx="13">
                  <c:v>5.5401498600521197</c:v>
                </c:pt>
                <c:pt idx="14">
                  <c:v>5.9377855984780208</c:v>
                </c:pt>
                <c:pt idx="15">
                  <c:v>6.363961030678924</c:v>
                </c:pt>
                <c:pt idx="16">
                  <c:v>6.820724549296787</c:v>
                </c:pt>
                <c:pt idx="17">
                  <c:v>7.3102715672061143</c:v>
                </c:pt>
                <c:pt idx="18">
                  <c:v>7.83495506966511</c:v>
                </c:pt>
                <c:pt idx="19">
                  <c:v>8.3972969238312594</c:v>
                </c:pt>
                <c:pt idx="20">
                  <c:v>8.9999999999999929</c:v>
                </c:pt>
                <c:pt idx="21">
                  <c:v>9.6459611628266302</c:v>
                </c:pt>
                <c:pt idx="22">
                  <c:v>10.338285194973306</c:v>
                </c:pt>
                <c:pt idx="23">
                  <c:v>11.080299720104236</c:v>
                </c:pt>
                <c:pt idx="24">
                  <c:v>11.875571196956038</c:v>
                </c:pt>
                <c:pt idx="25">
                  <c:v>12.727922061357846</c:v>
                </c:pt>
                <c:pt idx="26">
                  <c:v>13.64144909859357</c:v>
                </c:pt>
                <c:pt idx="27">
                  <c:v>14.620543134412227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27-F44C-B15C-FBD688457E6F}"/>
            </c:ext>
          </c:extLst>
        </c:ser>
        <c:ser>
          <c:idx val="2"/>
          <c:order val="2"/>
          <c:tx>
            <c:v>User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temp_data!$AF$60</c:f>
              <c:numCache>
                <c:formatCode>General</c:formatCode>
                <c:ptCount val="1"/>
                <c:pt idx="0">
                  <c:v>2031</c:v>
                </c:pt>
              </c:numCache>
            </c:numRef>
          </c:xVal>
          <c:yVal>
            <c:numRef>
              <c:f>temp_data!$AG$60</c:f>
              <c:numCache>
                <c:formatCode>0</c:formatCode>
                <c:ptCount val="1"/>
                <c:pt idx="0">
                  <c:v>3.9174775348325572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A4-F84C-A408-ECF9D0F87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094720"/>
        <c:axId val="1213976415"/>
      </c:scatterChart>
      <c:valAx>
        <c:axId val="2135094720"/>
        <c:scaling>
          <c:orientation val="minMax"/>
          <c:max val="20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213976415"/>
        <c:crosses val="autoZero"/>
        <c:crossBetween val="midCat"/>
      </c:valAx>
      <c:valAx>
        <c:axId val="121397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2135094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Compute per kg of SDC [GFLOPs/kg]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temp_data!$A$64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temp_data!$B$64:$AC$64</c:f>
              <c:numCache>
                <c:formatCode>0.0</c:formatCode>
                <c:ptCount val="28"/>
                <c:pt idx="0">
                  <c:v>0</c:v>
                </c:pt>
                <c:pt idx="1">
                  <c:v>0.4569100337219516</c:v>
                </c:pt>
                <c:pt idx="2">
                  <c:v>0.47697710872480481</c:v>
                </c:pt>
                <c:pt idx="3">
                  <c:v>0.99515651761508106</c:v>
                </c:pt>
                <c:pt idx="4">
                  <c:v>2.0753447263931868</c:v>
                </c:pt>
                <c:pt idx="5">
                  <c:v>3.2453910100469661</c:v>
                </c:pt>
                <c:pt idx="6">
                  <c:v>5.073553544167333</c:v>
                </c:pt>
                <c:pt idx="7">
                  <c:v>7.6359073050233883</c:v>
                </c:pt>
                <c:pt idx="8">
                  <c:v>11.62528437982256</c:v>
                </c:pt>
                <c:pt idx="9">
                  <c:v>18.478076740346232</c:v>
                </c:pt>
                <c:pt idx="10">
                  <c:v>27.863619437703285</c:v>
                </c:pt>
                <c:pt idx="11">
                  <c:v>42.125827650768215</c:v>
                </c:pt>
                <c:pt idx="12">
                  <c:v>63.964747199215132</c:v>
                </c:pt>
                <c:pt idx="13">
                  <c:v>96.467604475627937</c:v>
                </c:pt>
                <c:pt idx="14">
                  <c:v>144.6957341073022</c:v>
                </c:pt>
                <c:pt idx="15">
                  <c:v>216.83869851483468</c:v>
                </c:pt>
                <c:pt idx="16">
                  <c:v>323.91595317602111</c:v>
                </c:pt>
                <c:pt idx="17">
                  <c:v>483.69928077529619</c:v>
                </c:pt>
                <c:pt idx="18">
                  <c:v>720.96273758859547</c:v>
                </c:pt>
                <c:pt idx="19">
                  <c:v>1071.4059825403695</c:v>
                </c:pt>
                <c:pt idx="20">
                  <c:v>1592.2213253629188</c:v>
                </c:pt>
                <c:pt idx="21">
                  <c:v>2362.6645391525622</c:v>
                </c:pt>
                <c:pt idx="22">
                  <c:v>3501.1812992781815</c:v>
                </c:pt>
                <c:pt idx="23">
                  <c:v>5184.9114613226193</c:v>
                </c:pt>
                <c:pt idx="24">
                  <c:v>7671.6667789770136</c:v>
                </c:pt>
                <c:pt idx="25">
                  <c:v>11341.019812216489</c:v>
                </c:pt>
                <c:pt idx="26">
                  <c:v>16754.040825177624</c:v>
                </c:pt>
                <c:pt idx="27">
                  <c:v>24732.849928203766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36-D947-890D-4526496E00EF}"/>
            </c:ext>
          </c:extLst>
        </c:ser>
        <c:ser>
          <c:idx val="1"/>
          <c:order val="1"/>
          <c:tx>
            <c:strRef>
              <c:f>temp_data!$A$65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temp_data!$B$65:$AC$65</c:f>
              <c:numCache>
                <c:formatCode>0.0</c:formatCode>
                <c:ptCount val="28"/>
                <c:pt idx="0">
                  <c:v>0.87477075387375181</c:v>
                </c:pt>
                <c:pt idx="1">
                  <c:v>1.3701948110203992</c:v>
                </c:pt>
                <c:pt idx="2">
                  <c:v>2.859049597329741</c:v>
                </c:pt>
                <c:pt idx="3">
                  <c:v>4.4732363547621814</c:v>
                </c:pt>
                <c:pt idx="4">
                  <c:v>7.2543123164893766</c:v>
                </c:pt>
                <c:pt idx="5">
                  <c:v>11.879054768242838</c:v>
                </c:pt>
                <c:pt idx="6">
                  <c:v>19.123340159623559</c:v>
                </c:pt>
                <c:pt idx="7">
                  <c:v>29.870930713339781</c:v>
                </c:pt>
                <c:pt idx="8">
                  <c:v>46.337538069716459</c:v>
                </c:pt>
                <c:pt idx="9">
                  <c:v>72.324218425789411</c:v>
                </c:pt>
                <c:pt idx="10">
                  <c:v>112.18205965793669</c:v>
                </c:pt>
                <c:pt idx="11">
                  <c:v>172.90330929401276</c:v>
                </c:pt>
                <c:pt idx="12">
                  <c:v>264.56773221315058</c:v>
                </c:pt>
                <c:pt idx="13">
                  <c:v>405.22979059802435</c:v>
                </c:pt>
                <c:pt idx="14">
                  <c:v>617.70511445274883</c:v>
                </c:pt>
                <c:pt idx="15">
                  <c:v>939.65028142901679</c:v>
                </c:pt>
                <c:pt idx="16">
                  <c:v>1425.9440723360849</c:v>
                </c:pt>
                <c:pt idx="17">
                  <c:v>2159.6809189386868</c:v>
                </c:pt>
                <c:pt idx="18">
                  <c:v>3264.2103456744885</c:v>
                </c:pt>
                <c:pt idx="19">
                  <c:v>4924.2096502403056</c:v>
                </c:pt>
                <c:pt idx="20">
                  <c:v>7414.6875715163833</c:v>
                </c:pt>
                <c:pt idx="21">
                  <c:v>11143.769932593234</c:v>
                </c:pt>
                <c:pt idx="22">
                  <c:v>16718.10836819547</c:v>
                </c:pt>
                <c:pt idx="23">
                  <c:v>25034.100642722613</c:v>
                </c:pt>
                <c:pt idx="24">
                  <c:v>37415.217243558152</c:v>
                </c:pt>
                <c:pt idx="25">
                  <c:v>55808.018399901688</c:v>
                </c:pt>
                <c:pt idx="26">
                  <c:v>83065.551432714288</c:v>
                </c:pt>
                <c:pt idx="27">
                  <c:v>123360.37615961317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36-D947-890D-4526496E00EF}"/>
            </c:ext>
          </c:extLst>
        </c:ser>
        <c:ser>
          <c:idx val="2"/>
          <c:order val="2"/>
          <c:tx>
            <c:strRef>
              <c:f>temp_data!$A$66</c:f>
              <c:strCache>
                <c:ptCount val="1"/>
                <c:pt idx="0">
                  <c:v>FPGA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temp_data!$B$66:$AC$66</c:f>
              <c:numCache>
                <c:formatCode>0.0</c:formatCode>
                <c:ptCount val="28"/>
                <c:pt idx="0">
                  <c:v>1.3121561308106278</c:v>
                </c:pt>
                <c:pt idx="1">
                  <c:v>1.8270429289394778</c:v>
                </c:pt>
                <c:pt idx="2">
                  <c:v>2.8600983798508848</c:v>
                </c:pt>
                <c:pt idx="3">
                  <c:v>4.4750491308185758</c:v>
                </c:pt>
                <c:pt idx="4">
                  <c:v>6.2221500536882219</c:v>
                </c:pt>
                <c:pt idx="5">
                  <c:v>8.6483430035172049</c:v>
                </c:pt>
                <c:pt idx="6">
                  <c:v>11.829363739953948</c:v>
                </c:pt>
                <c:pt idx="7">
                  <c:v>16.43218419430389</c:v>
                </c:pt>
                <c:pt idx="8">
                  <c:v>22.616457363309628</c:v>
                </c:pt>
                <c:pt idx="9">
                  <c:v>30.553135808064376</c:v>
                </c:pt>
                <c:pt idx="10">
                  <c:v>41.086409088576779</c:v>
                </c:pt>
                <c:pt idx="11">
                  <c:v>54.492753433312139</c:v>
                </c:pt>
                <c:pt idx="12">
                  <c:v>73.215960990572498</c:v>
                </c:pt>
                <c:pt idx="13">
                  <c:v>97.086844517489553</c:v>
                </c:pt>
                <c:pt idx="14">
                  <c:v>128.9553827478303</c:v>
                </c:pt>
                <c:pt idx="15">
                  <c:v>171.27224162323822</c:v>
                </c:pt>
                <c:pt idx="16">
                  <c:v>225.96334198114488</c:v>
                </c:pt>
                <c:pt idx="17">
                  <c:v>298.64194443588332</c:v>
                </c:pt>
                <c:pt idx="18">
                  <c:v>392.97523392077977</c:v>
                </c:pt>
                <c:pt idx="19">
                  <c:v>516.79605229014021</c:v>
                </c:pt>
                <c:pt idx="20">
                  <c:v>678.95811793483119</c:v>
                </c:pt>
                <c:pt idx="21">
                  <c:v>890.43157141875224</c:v>
                </c:pt>
                <c:pt idx="22">
                  <c:v>1167.7412518465017</c:v>
                </c:pt>
                <c:pt idx="23">
                  <c:v>1528.4121560070591</c:v>
                </c:pt>
                <c:pt idx="24">
                  <c:v>1999.9973926396931</c:v>
                </c:pt>
                <c:pt idx="25">
                  <c:v>2613.5005438797161</c:v>
                </c:pt>
                <c:pt idx="26">
                  <c:v>3414.6290026051392</c:v>
                </c:pt>
                <c:pt idx="27">
                  <c:v>4456.0010517111004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36-D947-890D-4526496E00EF}"/>
            </c:ext>
          </c:extLst>
        </c:ser>
        <c:ser>
          <c:idx val="3"/>
          <c:order val="3"/>
          <c:tx>
            <c:strRef>
              <c:f>temp_data!$A$67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temp_data!$B$67:$AC$67</c:f>
              <c:numCache>
                <c:formatCode>0.0</c:formatCode>
                <c:ptCount val="28"/>
                <c:pt idx="0">
                  <c:v>2.6243122616212555</c:v>
                </c:pt>
                <c:pt idx="1">
                  <c:v>5.0235758141082227</c:v>
                </c:pt>
                <c:pt idx="2">
                  <c:v>8.1028135634426413</c:v>
                </c:pt>
                <c:pt idx="3">
                  <c:v>12.927937573037839</c:v>
                </c:pt>
                <c:pt idx="4">
                  <c:v>20.739996438233899</c:v>
                </c:pt>
                <c:pt idx="5">
                  <c:v>32.970376187277303</c:v>
                </c:pt>
                <c:pt idx="6">
                  <c:v>51.257726440664648</c:v>
                </c:pt>
                <c:pt idx="7">
                  <c:v>79.223981274051411</c:v>
                </c:pt>
                <c:pt idx="8">
                  <c:v>121.63861609953348</c:v>
                </c:pt>
                <c:pt idx="9">
                  <c:v>185.86277577915135</c:v>
                </c:pt>
                <c:pt idx="10">
                  <c:v>281.63945053949709</c:v>
                </c:pt>
                <c:pt idx="11">
                  <c:v>426.2739646588625</c:v>
                </c:pt>
                <c:pt idx="12">
                  <c:v>643.14537968332354</c:v>
                </c:pt>
                <c:pt idx="13">
                  <c:v>966.37182303161796</c:v>
                </c:pt>
                <c:pt idx="14">
                  <c:v>1449.5634332621369</c:v>
                </c:pt>
                <c:pt idx="15">
                  <c:v>2169.9778290376908</c:v>
                </c:pt>
                <c:pt idx="16">
                  <c:v>3241.5806712142899</c:v>
                </c:pt>
                <c:pt idx="17">
                  <c:v>4834.1500910410368</c:v>
                </c:pt>
                <c:pt idx="18">
                  <c:v>7197.8639258498997</c:v>
                </c:pt>
                <c:pt idx="19">
                  <c:v>10702.735785947762</c:v>
                </c:pt>
                <c:pt idx="20">
                  <c:v>15895.230140033807</c:v>
                </c:pt>
                <c:pt idx="21">
                  <c:v>23580.586843750229</c:v>
                </c:pt>
                <c:pt idx="22">
                  <c:v>34945.572167466824</c:v>
                </c:pt>
                <c:pt idx="23">
                  <c:v>51740.995838046205</c:v>
                </c:pt>
                <c:pt idx="24">
                  <c:v>76542.012237274437</c:v>
                </c:pt>
                <c:pt idx="25">
                  <c:v>113140.38457898825</c:v>
                </c:pt>
                <c:pt idx="26">
                  <c:v>167116.85023171856</c:v>
                </c:pt>
                <c:pt idx="27">
                  <c:v>246671.50715525929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E36-D947-890D-4526496E00EF}"/>
            </c:ext>
          </c:extLst>
        </c:ser>
        <c:ser>
          <c:idx val="4"/>
          <c:order val="4"/>
          <c:tx>
            <c:strRef>
              <c:f>temp_data!$A$68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temp_data!$B$68:$AC$68</c:f>
              <c:numCache>
                <c:formatCode>0.0</c:formatCode>
                <c:ptCount val="28"/>
                <c:pt idx="7">
                  <c:v>67.026341726653229</c:v>
                </c:pt>
                <c:pt idx="8">
                  <c:v>115.73249668700835</c:v>
                </c:pt>
                <c:pt idx="9">
                  <c:v>197.1566284155916</c:v>
                </c:pt>
                <c:pt idx="10">
                  <c:v>334.83837796387985</c:v>
                </c:pt>
                <c:pt idx="11">
                  <c:v>566.65499383776648</c:v>
                </c:pt>
                <c:pt idx="12">
                  <c:v>955.22026677999122</c:v>
                </c:pt>
                <c:pt idx="13">
                  <c:v>1606.4635091538823</c:v>
                </c:pt>
                <c:pt idx="14">
                  <c:v>2694.2355236274498</c:v>
                </c:pt>
                <c:pt idx="15">
                  <c:v>4509.2120146586876</c:v>
                </c:pt>
                <c:pt idx="16">
                  <c:v>7532.0934030457938</c:v>
                </c:pt>
                <c:pt idx="17">
                  <c:v>12559.283016650001</c:v>
                </c:pt>
                <c:pt idx="18">
                  <c:v>20908.176128984054</c:v>
                </c:pt>
                <c:pt idx="19">
                  <c:v>34758.32359635894</c:v>
                </c:pt>
                <c:pt idx="20">
                  <c:v>57707.415631301941</c:v>
                </c:pt>
                <c:pt idx="21">
                  <c:v>95691.913200845171</c:v>
                </c:pt>
                <c:pt idx="22">
                  <c:v>158504.09247811898</c:v>
                </c:pt>
                <c:pt idx="23">
                  <c:v>262277.13065343449</c:v>
                </c:pt>
                <c:pt idx="24">
                  <c:v>433574.56917918014</c:v>
                </c:pt>
                <c:pt idx="25">
                  <c:v>716108.89879618969</c:v>
                </c:pt>
                <c:pt idx="26">
                  <c:v>1181759.1147044301</c:v>
                </c:pt>
                <c:pt idx="27">
                  <c:v>1948658.4566193719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E36-D947-890D-4526496E00EF}"/>
            </c:ext>
          </c:extLst>
        </c:ser>
        <c:ser>
          <c:idx val="5"/>
          <c:order val="5"/>
          <c:tx>
            <c:v>User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temp_data!$AF$63</c:f>
              <c:numCache>
                <c:formatCode>General</c:formatCode>
                <c:ptCount val="1"/>
                <c:pt idx="0">
                  <c:v>2031</c:v>
                </c:pt>
              </c:numCache>
            </c:numRef>
          </c:xVal>
          <c:yVal>
            <c:numRef>
              <c:f>temp_data!$AG$63</c:f>
              <c:numCache>
                <c:formatCode>0</c:formatCode>
                <c:ptCount val="1"/>
                <c:pt idx="0">
                  <c:v>46.337538069716459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0C-4543-8573-F8BE12D60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936319"/>
        <c:axId val="628798207"/>
      </c:scatterChart>
      <c:valAx>
        <c:axId val="628936319"/>
        <c:scaling>
          <c:orientation val="minMax"/>
          <c:max val="20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628798207"/>
        <c:crosses val="autoZero"/>
        <c:crossBetween val="midCat"/>
      </c:valAx>
      <c:valAx>
        <c:axId val="62879820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628936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SDC</a:t>
            </a:r>
            <a:r>
              <a:rPr lang="en-GB" baseline="0"/>
              <a:t> Cost per Weight (incl. Launch) [Euro/kg]</a:t>
            </a:r>
            <a:r>
              <a:rPr lang="en-GB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temp_data!$A$72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temp_data!$B$72:$AC$72</c:f>
              <c:numCache>
                <c:formatCode>0</c:formatCode>
                <c:ptCount val="28"/>
                <c:pt idx="0">
                  <c:v>4173.1023889984235</c:v>
                </c:pt>
                <c:pt idx="1">
                  <c:v>4032.418167800527</c:v>
                </c:pt>
                <c:pt idx="2">
                  <c:v>3882.2208375919599</c:v>
                </c:pt>
                <c:pt idx="3">
                  <c:v>3745.6879190056106</c:v>
                </c:pt>
                <c:pt idx="4">
                  <c:v>3617.0462985039971</c:v>
                </c:pt>
                <c:pt idx="5">
                  <c:v>3489.6534839814472</c:v>
                </c:pt>
                <c:pt idx="6">
                  <c:v>3367.8384604871221</c:v>
                </c:pt>
                <c:pt idx="7">
                  <c:v>3250.3915113800726</c:v>
                </c:pt>
                <c:pt idx="8">
                  <c:v>3138.2828232921388</c:v>
                </c:pt>
                <c:pt idx="9">
                  <c:v>3032.368593708763</c:v>
                </c:pt>
                <c:pt idx="10">
                  <c:v>2929.5501285679184</c:v>
                </c:pt>
                <c:pt idx="11">
                  <c:v>2831.260407504165</c:v>
                </c:pt>
                <c:pt idx="12">
                  <c:v>2737.4061892167883</c:v>
                </c:pt>
                <c:pt idx="13">
                  <c:v>2647.3892480245386</c:v>
                </c:pt>
                <c:pt idx="14">
                  <c:v>2561.0536776032159</c:v>
                </c:pt>
                <c:pt idx="15">
                  <c:v>2478.414543620861</c:v>
                </c:pt>
                <c:pt idx="16">
                  <c:v>2399.2036138259245</c:v>
                </c:pt>
                <c:pt idx="17">
                  <c:v>2323.4028887351328</c:v>
                </c:pt>
                <c:pt idx="18">
                  <c:v>2250.7929783544873</c:v>
                </c:pt>
                <c:pt idx="19">
                  <c:v>2181.165578932832</c:v>
                </c:pt>
                <c:pt idx="20">
                  <c:v>2114.5573554858843</c:v>
                </c:pt>
                <c:pt idx="21">
                  <c:v>2050.756704510778</c:v>
                </c:pt>
                <c:pt idx="22">
                  <c:v>1989.6511474444692</c:v>
                </c:pt>
                <c:pt idx="23">
                  <c:v>1931.1733772839698</c:v>
                </c:pt>
                <c:pt idx="24">
                  <c:v>1875.2032371798002</c:v>
                </c:pt>
                <c:pt idx="25">
                  <c:v>1821.6375916670124</c:v>
                </c:pt>
                <c:pt idx="26">
                  <c:v>1770.3958256493604</c:v>
                </c:pt>
                <c:pt idx="27">
                  <c:v>1721.3833270822822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1D-0648-BA81-920897094C2F}"/>
            </c:ext>
          </c:extLst>
        </c:ser>
        <c:ser>
          <c:idx val="1"/>
          <c:order val="1"/>
          <c:tx>
            <c:strRef>
              <c:f>temp_data!$A$73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temp_data!$B$73:$AC$73</c:f>
              <c:numCache>
                <c:formatCode>0</c:formatCode>
                <c:ptCount val="28"/>
                <c:pt idx="0">
                  <c:v>4203.1622879312999</c:v>
                </c:pt>
                <c:pt idx="1">
                  <c:v>4054.0652769498683</c:v>
                </c:pt>
                <c:pt idx="2">
                  <c:v>3924.6668300507795</c:v>
                </c:pt>
                <c:pt idx="3">
                  <c:v>3790.8382669626894</c:v>
                </c:pt>
                <c:pt idx="4">
                  <c:v>3666.3532935659582</c:v>
                </c:pt>
                <c:pt idx="5">
                  <c:v>3550.3274287941354</c:v>
                </c:pt>
                <c:pt idx="6">
                  <c:v>3440.7996022188249</c:v>
                </c:pt>
                <c:pt idx="7">
                  <c:v>3335.7988667744039</c:v>
                </c:pt>
                <c:pt idx="8">
                  <c:v>3237.1038820044773</c:v>
                </c:pt>
                <c:pt idx="9">
                  <c:v>3146.425929788526</c:v>
                </c:pt>
                <c:pt idx="10">
                  <c:v>3062.3050724727436</c:v>
                </c:pt>
                <c:pt idx="11">
                  <c:v>2984.6315430223945</c:v>
                </c:pt>
                <c:pt idx="12">
                  <c:v>2913.1110349609912</c:v>
                </c:pt>
                <c:pt idx="13">
                  <c:v>2849.5554916966321</c:v>
                </c:pt>
                <c:pt idx="14">
                  <c:v>2792.9219678882969</c:v>
                </c:pt>
                <c:pt idx="15">
                  <c:v>2744.1251220764821</c:v>
                </c:pt>
                <c:pt idx="16">
                  <c:v>2703.4323391339622</c:v>
                </c:pt>
                <c:pt idx="17">
                  <c:v>2671.4438399138812</c:v>
                </c:pt>
                <c:pt idx="18">
                  <c:v>2648.6626390031697</c:v>
                </c:pt>
                <c:pt idx="19">
                  <c:v>2635.7917342155856</c:v>
                </c:pt>
                <c:pt idx="20">
                  <c:v>2633.6124818932535</c:v>
                </c:pt>
                <c:pt idx="21">
                  <c:v>2642.9652291328348</c:v>
                </c:pt>
                <c:pt idx="22">
                  <c:v>2664.876266869303</c:v>
                </c:pt>
                <c:pt idx="23">
                  <c:v>2700.4109543664099</c:v>
                </c:pt>
                <c:pt idx="24">
                  <c:v>2750.7624654002552</c:v>
                </c:pt>
                <c:pt idx="25">
                  <c:v>2817.1943821167088</c:v>
                </c:pt>
                <c:pt idx="26">
                  <c:v>2901.0222508641259</c:v>
                </c:pt>
                <c:pt idx="27">
                  <c:v>3003.662485251878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1D-0648-BA81-920897094C2F}"/>
            </c:ext>
          </c:extLst>
        </c:ser>
        <c:ser>
          <c:idx val="2"/>
          <c:order val="2"/>
          <c:tx>
            <c:strRef>
              <c:f>temp_data!$A$74</c:f>
              <c:strCache>
                <c:ptCount val="1"/>
                <c:pt idx="0">
                  <c:v>FPGA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temp_data!$B$74:$AC$74</c:f>
              <c:numCache>
                <c:formatCode>0</c:formatCode>
                <c:ptCount val="28"/>
                <c:pt idx="0">
                  <c:v>4214.7967389578207</c:v>
                </c:pt>
                <c:pt idx="1">
                  <c:v>4062.0750062963129</c:v>
                </c:pt>
                <c:pt idx="2">
                  <c:v>3920.9807301010555</c:v>
                </c:pt>
                <c:pt idx="3">
                  <c:v>3786.8431426167672</c:v>
                </c:pt>
                <c:pt idx="4">
                  <c:v>3652.677307500775</c:v>
                </c:pt>
                <c:pt idx="5">
                  <c:v>3524.2721020055351</c:v>
                </c:pt>
                <c:pt idx="6">
                  <c:v>3400.5153963732369</c:v>
                </c:pt>
                <c:pt idx="7">
                  <c:v>3282.9973971592826</c:v>
                </c:pt>
                <c:pt idx="8">
                  <c:v>3170.0948844118143</c:v>
                </c:pt>
                <c:pt idx="9">
                  <c:v>3061.0074068540657</c:v>
                </c:pt>
                <c:pt idx="10">
                  <c:v>2956.3654508135537</c:v>
                </c:pt>
                <c:pt idx="11">
                  <c:v>2855.4115038071745</c:v>
                </c:pt>
                <c:pt idx="12">
                  <c:v>2759.5820494904924</c:v>
                </c:pt>
                <c:pt idx="13">
                  <c:v>2667.1092204846286</c:v>
                </c:pt>
                <c:pt idx="14">
                  <c:v>2578.7232182174935</c:v>
                </c:pt>
                <c:pt idx="15">
                  <c:v>2494.1544088141327</c:v>
                </c:pt>
                <c:pt idx="16">
                  <c:v>2412.8301657601423</c:v>
                </c:pt>
                <c:pt idx="17">
                  <c:v>2335.1265092559397</c:v>
                </c:pt>
                <c:pt idx="18">
                  <c:v>2260.5081313057608</c:v>
                </c:pt>
                <c:pt idx="19">
                  <c:v>2189.0761203146262</c:v>
                </c:pt>
                <c:pt idx="20">
                  <c:v>2120.6732147405669</c:v>
                </c:pt>
                <c:pt idx="21">
                  <c:v>2055.1201677438771</c:v>
                </c:pt>
                <c:pt idx="22">
                  <c:v>1992.4146257265145</c:v>
                </c:pt>
                <c:pt idx="23">
                  <c:v>1932.3070511216906</c:v>
                </c:pt>
                <c:pt idx="24">
                  <c:v>1874.8084518900027</c:v>
                </c:pt>
                <c:pt idx="25">
                  <c:v>1819.7322175278327</c:v>
                </c:pt>
                <c:pt idx="26">
                  <c:v>1767.0682125695157</c:v>
                </c:pt>
                <c:pt idx="27">
                  <c:v>1716.6430538366601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A1D-0648-BA81-920897094C2F}"/>
            </c:ext>
          </c:extLst>
        </c:ser>
        <c:ser>
          <c:idx val="3"/>
          <c:order val="3"/>
          <c:tx>
            <c:strRef>
              <c:f>temp_data!$A$75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temp_data!$B$75:$AC$75</c:f>
              <c:numCache>
                <c:formatCode>0</c:formatCode>
                <c:ptCount val="28"/>
                <c:pt idx="0">
                  <c:v>4252.3244042990045</c:v>
                </c:pt>
                <c:pt idx="1">
                  <c:v>4127.2190154206592</c:v>
                </c:pt>
                <c:pt idx="2">
                  <c:v>3995.3881718272219</c:v>
                </c:pt>
                <c:pt idx="3">
                  <c:v>3870.1888257358769</c:v>
                </c:pt>
                <c:pt idx="4">
                  <c:v>3753.6722834760358</c:v>
                </c:pt>
                <c:pt idx="5">
                  <c:v>3643.6271921672965</c:v>
                </c:pt>
                <c:pt idx="6">
                  <c:v>3536.9947640172654</c:v>
                </c:pt>
                <c:pt idx="7">
                  <c:v>3435.9989896414122</c:v>
                </c:pt>
                <c:pt idx="8">
                  <c:v>3340.0634740204582</c:v>
                </c:pt>
                <c:pt idx="9">
                  <c:v>3249.1863964208146</c:v>
                </c:pt>
                <c:pt idx="10">
                  <c:v>3162.0662703811577</c:v>
                </c:pt>
                <c:pt idx="11">
                  <c:v>3080.1829854995731</c:v>
                </c:pt>
                <c:pt idx="12">
                  <c:v>3002.757912745024</c:v>
                </c:pt>
                <c:pt idx="13">
                  <c:v>2929.2026061760662</c:v>
                </c:pt>
                <c:pt idx="14">
                  <c:v>2860.0024911172927</c:v>
                </c:pt>
                <c:pt idx="15">
                  <c:v>2794.8493734209374</c:v>
                </c:pt>
                <c:pt idx="16">
                  <c:v>2733.4933668206613</c:v>
                </c:pt>
                <c:pt idx="17">
                  <c:v>2675.8834416277232</c:v>
                </c:pt>
                <c:pt idx="18">
                  <c:v>2621.887510980479</c:v>
                </c:pt>
                <c:pt idx="19">
                  <c:v>2571.4174179209163</c:v>
                </c:pt>
                <c:pt idx="20">
                  <c:v>2524.3898300301785</c:v>
                </c:pt>
                <c:pt idx="21">
                  <c:v>2480.6959086951852</c:v>
                </c:pt>
                <c:pt idx="22">
                  <c:v>2440.2359219760838</c:v>
                </c:pt>
                <c:pt idx="23">
                  <c:v>2402.9469077032495</c:v>
                </c:pt>
                <c:pt idx="24">
                  <c:v>2368.7315168014347</c:v>
                </c:pt>
                <c:pt idx="25">
                  <c:v>2337.516590814007</c:v>
                </c:pt>
                <c:pt idx="26">
                  <c:v>2309.2414213041643</c:v>
                </c:pt>
                <c:pt idx="27">
                  <c:v>2283.8247003758643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A1D-0648-BA81-920897094C2F}"/>
            </c:ext>
          </c:extLst>
        </c:ser>
        <c:ser>
          <c:idx val="4"/>
          <c:order val="4"/>
          <c:tx>
            <c:strRef>
              <c:f>temp_data!$A$76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temp_data!$B$76:$AC$76</c:f>
              <c:numCache>
                <c:formatCode>0</c:formatCode>
                <c:ptCount val="28"/>
                <c:pt idx="7">
                  <c:v>3324.042440553751</c:v>
                </c:pt>
                <c:pt idx="8">
                  <c:v>3240.312240588617</c:v>
                </c:pt>
                <c:pt idx="9">
                  <c:v>3166.2409917799341</c:v>
                </c:pt>
                <c:pt idx="10">
                  <c:v>3103.6488545065063</c:v>
                </c:pt>
                <c:pt idx="11">
                  <c:v>3053.3208541445615</c:v>
                </c:pt>
                <c:pt idx="12">
                  <c:v>3016.1088935063644</c:v>
                </c:pt>
                <c:pt idx="13">
                  <c:v>2993.6368530783893</c:v>
                </c:pt>
                <c:pt idx="14">
                  <c:v>2987.2067859131685</c:v>
                </c:pt>
                <c:pt idx="15">
                  <c:v>2998.8184573468075</c:v>
                </c:pt>
                <c:pt idx="16">
                  <c:v>3030.5947216362911</c:v>
                </c:pt>
                <c:pt idx="17">
                  <c:v>3085.0785418414457</c:v>
                </c:pt>
                <c:pt idx="18">
                  <c:v>3165.23618247473</c:v>
                </c:pt>
                <c:pt idx="19">
                  <c:v>3274.6069512449258</c:v>
                </c:pt>
                <c:pt idx="20">
                  <c:v>3417.2210494150231</c:v>
                </c:pt>
                <c:pt idx="21">
                  <c:v>3597.7764063843551</c:v>
                </c:pt>
                <c:pt idx="22">
                  <c:v>3821.7872115173654</c:v>
                </c:pt>
                <c:pt idx="23">
                  <c:v>4095.6062958961575</c:v>
                </c:pt>
                <c:pt idx="24">
                  <c:v>4426.5885020735504</c:v>
                </c:pt>
                <c:pt idx="25">
                  <c:v>4823.2638494749117</c:v>
                </c:pt>
                <c:pt idx="26">
                  <c:v>5295.4791675847546</c:v>
                </c:pt>
                <c:pt idx="27">
                  <c:v>5854.6287492597257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A1D-0648-BA81-920897094C2F}"/>
            </c:ext>
          </c:extLst>
        </c:ser>
        <c:ser>
          <c:idx val="5"/>
          <c:order val="5"/>
          <c:tx>
            <c:v>User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temp_data!$AF$71</c:f>
              <c:numCache>
                <c:formatCode>General</c:formatCode>
                <c:ptCount val="1"/>
                <c:pt idx="0">
                  <c:v>2031</c:v>
                </c:pt>
              </c:numCache>
            </c:numRef>
          </c:xVal>
          <c:yVal>
            <c:numRef>
              <c:f>temp_data!$AG$71</c:f>
              <c:numCache>
                <c:formatCode>0</c:formatCode>
                <c:ptCount val="1"/>
                <c:pt idx="0">
                  <c:v>3237.1038820044773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4-0848-89C6-801BAB43C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5959536"/>
        <c:axId val="1885918320"/>
      </c:scatterChart>
      <c:valAx>
        <c:axId val="1885959536"/>
        <c:scaling>
          <c:orientation val="minMax"/>
          <c:max val="20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885918320"/>
        <c:crosses val="autoZero"/>
        <c:crossBetween val="midCat"/>
      </c:valAx>
      <c:valAx>
        <c:axId val="188591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885959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Cost of Compute</a:t>
            </a:r>
            <a:r>
              <a:rPr lang="en-GB" baseline="0"/>
              <a:t> on SDC [Euro/TOps]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temp_data!$A$80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temp_data!$B$80:$AC$80</c:f>
              <c:numCache>
                <c:formatCode>0.00</c:formatCode>
                <c:ptCount val="28"/>
                <c:pt idx="1">
                  <c:v>8825.4095340230979</c:v>
                </c:pt>
                <c:pt idx="2">
                  <c:v>8139.2183536250868</c:v>
                </c:pt>
                <c:pt idx="3">
                  <c:v>3763.9183914327878</c:v>
                </c:pt>
                <c:pt idx="4">
                  <c:v>1742.8652948612478</c:v>
                </c:pt>
                <c:pt idx="5">
                  <c:v>1075.2644205823897</c:v>
                </c:pt>
                <c:pt idx="6">
                  <c:v>663.8026840889188</c:v>
                </c:pt>
                <c:pt idx="7">
                  <c:v>425.67194460856763</c:v>
                </c:pt>
                <c:pt idx="8">
                  <c:v>269.95320895023468</c:v>
                </c:pt>
                <c:pt idx="9">
                  <c:v>164.10628856669334</c:v>
                </c:pt>
                <c:pt idx="10">
                  <c:v>105.13889393004833</c:v>
                </c:pt>
                <c:pt idx="11">
                  <c:v>67.209609054471201</c:v>
                </c:pt>
                <c:pt idx="12">
                  <c:v>42.795544562870987</c:v>
                </c:pt>
                <c:pt idx="13">
                  <c:v>27.443298321908554</c:v>
                </c:pt>
                <c:pt idx="14">
                  <c:v>17.699579696689693</c:v>
                </c:pt>
                <c:pt idx="15">
                  <c:v>11.429761203124469</c:v>
                </c:pt>
                <c:pt idx="16">
                  <c:v>7.4068707956540774</c:v>
                </c:pt>
                <c:pt idx="17">
                  <c:v>4.8034036457756821</c:v>
                </c:pt>
                <c:pt idx="18">
                  <c:v>3.1219269193893653</c:v>
                </c:pt>
                <c:pt idx="19">
                  <c:v>2.0357974609784746</c:v>
                </c:pt>
                <c:pt idx="20">
                  <c:v>1.3280549141017868</c:v>
                </c:pt>
                <c:pt idx="21">
                  <c:v>0.86798471409163369</c:v>
                </c:pt>
                <c:pt idx="22">
                  <c:v>0.56827995392716857</c:v>
                </c:pt>
                <c:pt idx="23">
                  <c:v>0.37246024193272276</c:v>
                </c:pt>
                <c:pt idx="24">
                  <c:v>0.24443231063143897</c:v>
                </c:pt>
                <c:pt idx="25">
                  <c:v>0.16062379061402868</c:v>
                </c:pt>
                <c:pt idx="26">
                  <c:v>0.10566978104702039</c:v>
                </c:pt>
                <c:pt idx="27">
                  <c:v>6.9599068933795874E-2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CE-104C-A110-48FBAD516189}"/>
            </c:ext>
          </c:extLst>
        </c:ser>
        <c:ser>
          <c:idx val="1"/>
          <c:order val="1"/>
          <c:tx>
            <c:strRef>
              <c:f>temp_data!$A$81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temp_data!$B$81:$AC$81</c:f>
              <c:numCache>
                <c:formatCode>0.00</c:formatCode>
                <c:ptCount val="28"/>
                <c:pt idx="0">
                  <c:v>4804.8728987776685</c:v>
                </c:pt>
                <c:pt idx="1">
                  <c:v>2958.7510070416638</c:v>
                </c:pt>
                <c:pt idx="2">
                  <c:v>1372.7172951865859</c:v>
                </c:pt>
                <c:pt idx="3">
                  <c:v>847.4486850950733</c:v>
                </c:pt>
                <c:pt idx="4">
                  <c:v>505.40328753590779</c:v>
                </c:pt>
                <c:pt idx="5">
                  <c:v>298.87288997820684</c:v>
                </c:pt>
                <c:pt idx="6">
                  <c:v>179.92670597805005</c:v>
                </c:pt>
                <c:pt idx="7">
                  <c:v>111.67375060344874</c:v>
                </c:pt>
                <c:pt idx="8">
                  <c:v>69.859211707237023</c:v>
                </c:pt>
                <c:pt idx="9">
                  <c:v>43.504458095416787</c:v>
                </c:pt>
                <c:pt idx="10">
                  <c:v>27.297636376175156</c:v>
                </c:pt>
                <c:pt idx="11">
                  <c:v>17.261853201127511</c:v>
                </c:pt>
                <c:pt idx="12">
                  <c:v>11.010832691471331</c:v>
                </c:pt>
                <c:pt idx="13">
                  <c:v>7.0319496685852112</c:v>
                </c:pt>
                <c:pt idx="14">
                  <c:v>4.5214486695041618</c:v>
                </c:pt>
                <c:pt idx="15">
                  <c:v>2.9203685416910923</c:v>
                </c:pt>
                <c:pt idx="16">
                  <c:v>1.8958894612921271</c:v>
                </c:pt>
                <c:pt idx="17">
                  <c:v>1.2369622829407065</c:v>
                </c:pt>
                <c:pt idx="18">
                  <c:v>0.81142523260273314</c:v>
                </c:pt>
                <c:pt idx="19">
                  <c:v>0.53527203783595134</c:v>
                </c:pt>
                <c:pt idx="20">
                  <c:v>0.35518859783253842</c:v>
                </c:pt>
                <c:pt idx="21">
                  <c:v>0.23716975898817738</c:v>
                </c:pt>
                <c:pt idx="22">
                  <c:v>0.15940058577075406</c:v>
                </c:pt>
                <c:pt idx="23">
                  <c:v>0.10786930167397152</c:v>
                </c:pt>
                <c:pt idx="24">
                  <c:v>7.3519884903885183E-2</c:v>
                </c:pt>
                <c:pt idx="25">
                  <c:v>5.0480100582135555E-2</c:v>
                </c:pt>
                <c:pt idx="26">
                  <c:v>3.4924492775010897E-2</c:v>
                </c:pt>
                <c:pt idx="27">
                  <c:v>2.434868130886297E-2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CE-104C-A110-48FBAD516189}"/>
            </c:ext>
          </c:extLst>
        </c:ser>
        <c:ser>
          <c:idx val="2"/>
          <c:order val="2"/>
          <c:tx>
            <c:strRef>
              <c:f>temp_data!$A$82</c:f>
              <c:strCache>
                <c:ptCount val="1"/>
                <c:pt idx="0">
                  <c:v>FPGA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temp_data!$B$82:$AC$82</c:f>
              <c:numCache>
                <c:formatCode>0.00</c:formatCode>
                <c:ptCount val="28"/>
                <c:pt idx="0">
                  <c:v>3212.115265851779</c:v>
                </c:pt>
                <c:pt idx="1">
                  <c:v>2223.3057264035815</c:v>
                </c:pt>
                <c:pt idx="2">
                  <c:v>1370.9251254166584</c:v>
                </c:pt>
                <c:pt idx="3">
                  <c:v>846.21264078146066</c:v>
                </c:pt>
                <c:pt idx="4">
                  <c:v>587.04423326075619</c:v>
                </c:pt>
                <c:pt idx="5">
                  <c:v>407.50836322891502</c:v>
                </c:pt>
                <c:pt idx="6">
                  <c:v>287.46393053143834</c:v>
                </c:pt>
                <c:pt idx="7">
                  <c:v>199.790688708158</c:v>
                </c:pt>
                <c:pt idx="8">
                  <c:v>140.16761482523856</c:v>
                </c:pt>
                <c:pt idx="9">
                  <c:v>100.18635815594828</c:v>
                </c:pt>
                <c:pt idx="10">
                  <c:v>71.954826824608276</c:v>
                </c:pt>
                <c:pt idx="11">
                  <c:v>52.399838949257862</c:v>
                </c:pt>
                <c:pt idx="12">
                  <c:v>37.690989944744757</c:v>
                </c:pt>
                <c:pt idx="13">
                  <c:v>27.471376103939257</c:v>
                </c:pt>
                <c:pt idx="14">
                  <c:v>19.997018839144822</c:v>
                </c:pt>
                <c:pt idx="15">
                  <c:v>14.562513955418014</c:v>
                </c:pt>
                <c:pt idx="16">
                  <c:v>10.677971677200086</c:v>
                </c:pt>
                <c:pt idx="17">
                  <c:v>7.8191511700302287</c:v>
                </c:pt>
                <c:pt idx="18">
                  <c:v>5.7522915852795418</c:v>
                </c:pt>
                <c:pt idx="19">
                  <c:v>4.2358607628945908</c:v>
                </c:pt>
                <c:pt idx="20">
                  <c:v>3.1234227247933379</c:v>
                </c:pt>
                <c:pt idx="21">
                  <c:v>2.3080046055300918</c:v>
                </c:pt>
                <c:pt idx="22">
                  <c:v>1.7062124186980552</c:v>
                </c:pt>
                <c:pt idx="23">
                  <c:v>1.2642578400905926</c:v>
                </c:pt>
                <c:pt idx="24">
                  <c:v>0.93740544802187975</c:v>
                </c:pt>
                <c:pt idx="25">
                  <c:v>0.69628155302637051</c:v>
                </c:pt>
                <c:pt idx="26">
                  <c:v>0.51749932751738414</c:v>
                </c:pt>
                <c:pt idx="27">
                  <c:v>0.38524296424424559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CE-104C-A110-48FBAD516189}"/>
            </c:ext>
          </c:extLst>
        </c:ser>
        <c:ser>
          <c:idx val="3"/>
          <c:order val="3"/>
          <c:tx>
            <c:strRef>
              <c:f>temp_data!$A$83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temp_data!$B$83:$AC$83</c:f>
              <c:numCache>
                <c:formatCode>0.00</c:formatCode>
                <c:ptCount val="28"/>
                <c:pt idx="0">
                  <c:v>1620.3576329258894</c:v>
                </c:pt>
                <c:pt idx="1">
                  <c:v>821.56996692072755</c:v>
                </c:pt>
                <c:pt idx="2">
                  <c:v>493.08652365558089</c:v>
                </c:pt>
                <c:pt idx="3">
                  <c:v>299.36629906130111</c:v>
                </c:pt>
                <c:pt idx="4">
                  <c:v>180.98712285968344</c:v>
                </c:pt>
                <c:pt idx="5">
                  <c:v>110.51215101310579</c:v>
                </c:pt>
                <c:pt idx="6">
                  <c:v>69.004128930916394</c:v>
                </c:pt>
                <c:pt idx="7">
                  <c:v>43.370693246980515</c:v>
                </c:pt>
                <c:pt idx="8">
                  <c:v>27.458907221431865</c:v>
                </c:pt>
                <c:pt idx="9">
                  <c:v>17.481641403449238</c:v>
                </c:pt>
                <c:pt idx="10">
                  <c:v>11.227355629064153</c:v>
                </c:pt>
                <c:pt idx="11">
                  <c:v>7.2258294919901447</c:v>
                </c:pt>
                <c:pt idx="12">
                  <c:v>4.6688633823717165</c:v>
                </c:pt>
                <c:pt idx="13">
                  <c:v>3.0311341208054117</c:v>
                </c:pt>
                <c:pt idx="14">
                  <c:v>1.9730095458334413</c:v>
                </c:pt>
                <c:pt idx="15">
                  <c:v>1.2879621791621509</c:v>
                </c:pt>
                <c:pt idx="16">
                  <c:v>0.84325939844548126</c:v>
                </c:pt>
                <c:pt idx="17">
                  <c:v>0.55353751770902715</c:v>
                </c:pt>
                <c:pt idx="18">
                  <c:v>0.36425911047921</c:v>
                </c:pt>
                <c:pt idx="19">
                  <c:v>0.24025795547499906</c:v>
                </c:pt>
                <c:pt idx="20">
                  <c:v>0.15881429886769854</c:v>
                </c:pt>
                <c:pt idx="21">
                  <c:v>0.10520077066498731</c:v>
                </c:pt>
                <c:pt idx="22">
                  <c:v>6.9829617047960757E-2</c:v>
                </c:pt>
                <c:pt idx="23">
                  <c:v>4.6441837246903428E-2</c:v>
                </c:pt>
                <c:pt idx="24">
                  <c:v>3.0946815318345002E-2</c:v>
                </c:pt>
                <c:pt idx="25">
                  <c:v>2.0660320357865539E-2</c:v>
                </c:pt>
                <c:pt idx="26">
                  <c:v>1.3818124372869932E-2</c:v>
                </c:pt>
                <c:pt idx="27">
                  <c:v>9.2585670988679925E-3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CE-104C-A110-48FBAD516189}"/>
            </c:ext>
          </c:extLst>
        </c:ser>
        <c:ser>
          <c:idx val="4"/>
          <c:order val="4"/>
          <c:tx>
            <c:strRef>
              <c:f>temp_data!$A$84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temp_data!$B$84:$AC$84</c:f>
              <c:numCache>
                <c:formatCode>0.00</c:formatCode>
                <c:ptCount val="28"/>
                <c:pt idx="7">
                  <c:v>49.59307572103306</c:v>
                </c:pt>
                <c:pt idx="8">
                  <c:v>27.998292038508843</c:v>
                </c:pt>
                <c:pt idx="9">
                  <c:v>16.059520885626693</c:v>
                </c:pt>
                <c:pt idx="10">
                  <c:v>9.269095356928613</c:v>
                </c:pt>
                <c:pt idx="11">
                  <c:v>5.388324266703151</c:v>
                </c:pt>
                <c:pt idx="12">
                  <c:v>3.1575009433934489</c:v>
                </c:pt>
                <c:pt idx="13">
                  <c:v>1.8634950847125844</c:v>
                </c:pt>
                <c:pt idx="14">
                  <c:v>1.1087400339415276</c:v>
                </c:pt>
                <c:pt idx="15">
                  <c:v>0.66504268320011461</c:v>
                </c:pt>
                <c:pt idx="16">
                  <c:v>0.402357559773594</c:v>
                </c:pt>
                <c:pt idx="17">
                  <c:v>0.24564129478979954</c:v>
                </c:pt>
                <c:pt idx="18">
                  <c:v>0.15138748415682737</c:v>
                </c:pt>
                <c:pt idx="19">
                  <c:v>9.4210727458327495E-2</c:v>
                </c:pt>
                <c:pt idx="20">
                  <c:v>5.921632448848458E-2</c:v>
                </c:pt>
                <c:pt idx="21">
                  <c:v>3.7597496863011608E-2</c:v>
                </c:pt>
                <c:pt idx="22">
                  <c:v>2.4111599591947142E-2</c:v>
                </c:pt>
                <c:pt idx="23">
                  <c:v>1.5615567722936449E-2</c:v>
                </c:pt>
                <c:pt idx="24">
                  <c:v>1.0209520614766977E-2</c:v>
                </c:pt>
                <c:pt idx="25">
                  <c:v>6.7353776186597162E-3</c:v>
                </c:pt>
                <c:pt idx="26">
                  <c:v>4.481014025357619E-3</c:v>
                </c:pt>
                <c:pt idx="27">
                  <c:v>3.0044406855250674E-3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7CE-104C-A110-48FBAD516189}"/>
            </c:ext>
          </c:extLst>
        </c:ser>
        <c:ser>
          <c:idx val="5"/>
          <c:order val="5"/>
          <c:tx>
            <c:v>User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temp_data!$AF$79</c:f>
              <c:numCache>
                <c:formatCode>General</c:formatCode>
                <c:ptCount val="1"/>
                <c:pt idx="0">
                  <c:v>2031</c:v>
                </c:pt>
              </c:numCache>
            </c:numRef>
          </c:xVal>
          <c:yVal>
            <c:numRef>
              <c:f>temp_data!$AG$79</c:f>
              <c:numCache>
                <c:formatCode>0</c:formatCode>
                <c:ptCount val="1"/>
                <c:pt idx="0">
                  <c:v>69.859211707237023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89-0A4D-A65D-CBE509049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6027584"/>
        <c:axId val="1940755296"/>
      </c:scatterChart>
      <c:valAx>
        <c:axId val="1886027584"/>
        <c:scaling>
          <c:orientation val="minMax"/>
          <c:max val="20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940755296"/>
        <c:crosses val="autoZero"/>
        <c:crossBetween val="midCat"/>
      </c:valAx>
      <c:valAx>
        <c:axId val="19407552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886027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Power per Compute [W/TOps]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temp_data!$A$88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temp_data!$B$88:$AC$88</c:f>
              <c:numCache>
                <c:formatCode>0.000</c:formatCode>
                <c:ptCount val="28"/>
                <c:pt idx="1">
                  <c:v>50</c:v>
                </c:pt>
                <c:pt idx="2">
                  <c:v>50</c:v>
                </c:pt>
                <c:pt idx="3">
                  <c:v>25</c:v>
                </c:pt>
                <c:pt idx="4">
                  <c:v>12.5</c:v>
                </c:pt>
                <c:pt idx="5">
                  <c:v>8.3333333333333339</c:v>
                </c:pt>
                <c:pt idx="6">
                  <c:v>5.5555555555555554</c:v>
                </c:pt>
                <c:pt idx="7">
                  <c:v>3.8461538461538463</c:v>
                </c:pt>
                <c:pt idx="8">
                  <c:v>2.6315789473684212</c:v>
                </c:pt>
                <c:pt idx="9">
                  <c:v>1.7241379310344827</c:v>
                </c:pt>
                <c:pt idx="10">
                  <c:v>1.1904761904761905</c:v>
                </c:pt>
                <c:pt idx="11">
                  <c:v>0.81967213114754101</c:v>
                </c:pt>
                <c:pt idx="12">
                  <c:v>0.5617977528089888</c:v>
                </c:pt>
                <c:pt idx="13">
                  <c:v>0.38759689922480622</c:v>
                </c:pt>
                <c:pt idx="14">
                  <c:v>0.26881720430107525</c:v>
                </c:pt>
                <c:pt idx="15">
                  <c:v>0.18656716417910449</c:v>
                </c:pt>
                <c:pt idx="16">
                  <c:v>0.12987012987012986</c:v>
                </c:pt>
                <c:pt idx="17">
                  <c:v>9.0415913200723327E-2</c:v>
                </c:pt>
                <c:pt idx="18">
                  <c:v>6.3051702395964693E-2</c:v>
                </c:pt>
                <c:pt idx="19">
                  <c:v>4.4091710758377423E-2</c:v>
                </c:pt>
                <c:pt idx="20">
                  <c:v>3.0826140567200986E-2</c:v>
                </c:pt>
                <c:pt idx="21">
                  <c:v>2.1579628830384119E-2</c:v>
                </c:pt>
                <c:pt idx="22">
                  <c:v>1.5124016938898971E-2</c:v>
                </c:pt>
                <c:pt idx="23">
                  <c:v>1.0604453870625663E-2</c:v>
                </c:pt>
                <c:pt idx="24">
                  <c:v>7.4404761904761901E-3</c:v>
                </c:pt>
                <c:pt idx="25">
                  <c:v>5.2241145125901164E-3</c:v>
                </c:pt>
                <c:pt idx="26">
                  <c:v>3.669724770642202E-3</c:v>
                </c:pt>
                <c:pt idx="27">
                  <c:v>2.5791808521613536E-3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71-D74D-B654-A926F3CA3981}"/>
            </c:ext>
          </c:extLst>
        </c:ser>
        <c:ser>
          <c:idx val="1"/>
          <c:order val="1"/>
          <c:tx>
            <c:strRef>
              <c:f>temp_data!$A$89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temp_data!$B$89:$AC$89</c:f>
              <c:numCache>
                <c:formatCode>0.000</c:formatCode>
                <c:ptCount val="28"/>
                <c:pt idx="0">
                  <c:v>25</c:v>
                </c:pt>
                <c:pt idx="1">
                  <c:v>16.666666666666668</c:v>
                </c:pt>
                <c:pt idx="2">
                  <c:v>8.3333333333333339</c:v>
                </c:pt>
                <c:pt idx="3">
                  <c:v>5.5555555555555554</c:v>
                </c:pt>
                <c:pt idx="4">
                  <c:v>3.5714285714285716</c:v>
                </c:pt>
                <c:pt idx="5">
                  <c:v>2.2727272727272729</c:v>
                </c:pt>
                <c:pt idx="6">
                  <c:v>1.4705882352941178</c:v>
                </c:pt>
                <c:pt idx="7">
                  <c:v>0.98039215686274506</c:v>
                </c:pt>
                <c:pt idx="8">
                  <c:v>0.65789473684210531</c:v>
                </c:pt>
                <c:pt idx="9">
                  <c:v>0.43859649122807015</c:v>
                </c:pt>
                <c:pt idx="10">
                  <c:v>0.29411764705882354</c:v>
                </c:pt>
                <c:pt idx="11">
                  <c:v>0.1984126984126984</c:v>
                </c:pt>
                <c:pt idx="12">
                  <c:v>0.13477088948787061</c:v>
                </c:pt>
                <c:pt idx="13">
                  <c:v>9.1407678244972576E-2</c:v>
                </c:pt>
                <c:pt idx="14">
                  <c:v>6.2266500622665005E-2</c:v>
                </c:pt>
                <c:pt idx="15">
                  <c:v>4.2480883602378929E-2</c:v>
                </c:pt>
                <c:pt idx="16">
                  <c:v>2.9036004645760744E-2</c:v>
                </c:pt>
                <c:pt idx="17">
                  <c:v>1.987281399046105E-2</c:v>
                </c:pt>
                <c:pt idx="18">
                  <c:v>1.3620266957232362E-2</c:v>
                </c:pt>
                <c:pt idx="19">
                  <c:v>9.3457943925233638E-3</c:v>
                </c:pt>
                <c:pt idx="20">
                  <c:v>6.4193092823212226E-3</c:v>
                </c:pt>
                <c:pt idx="21">
                  <c:v>4.4134522023126493E-3</c:v>
                </c:pt>
                <c:pt idx="22">
                  <c:v>3.0367446097783178E-3</c:v>
                </c:pt>
                <c:pt idx="23">
                  <c:v>2.0910003345600537E-3</c:v>
                </c:pt>
                <c:pt idx="24">
                  <c:v>1.4407145944388417E-3</c:v>
                </c:pt>
                <c:pt idx="25">
                  <c:v>9.9324592769169649E-4</c:v>
                </c:pt>
                <c:pt idx="26">
                  <c:v>6.8513798679053963E-4</c:v>
                </c:pt>
                <c:pt idx="27">
                  <c:v>4.7283559506359639E-4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71-D74D-B654-A926F3CA3981}"/>
            </c:ext>
          </c:extLst>
        </c:ser>
        <c:ser>
          <c:idx val="2"/>
          <c:order val="2"/>
          <c:tx>
            <c:strRef>
              <c:f>temp_data!$A$90</c:f>
              <c:strCache>
                <c:ptCount val="1"/>
                <c:pt idx="0">
                  <c:v>FPGA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temp_data!$B$90:$AC$90</c:f>
              <c:numCache>
                <c:formatCode>0.000</c:formatCode>
                <c:ptCount val="28"/>
                <c:pt idx="0">
                  <c:v>16.666666666666668</c:v>
                </c:pt>
                <c:pt idx="1">
                  <c:v>12.5</c:v>
                </c:pt>
                <c:pt idx="2">
                  <c:v>8.3333333333333339</c:v>
                </c:pt>
                <c:pt idx="3">
                  <c:v>5.5555555555555554</c:v>
                </c:pt>
                <c:pt idx="4">
                  <c:v>4.166666666666667</c:v>
                </c:pt>
                <c:pt idx="5">
                  <c:v>3.125</c:v>
                </c:pt>
                <c:pt idx="6">
                  <c:v>2.3809523809523809</c:v>
                </c:pt>
                <c:pt idx="7">
                  <c:v>1.7857142857142858</c:v>
                </c:pt>
                <c:pt idx="8">
                  <c:v>1.3513513513513513</c:v>
                </c:pt>
                <c:pt idx="9">
                  <c:v>1.0416666666666667</c:v>
                </c:pt>
                <c:pt idx="10">
                  <c:v>0.80645161290322576</c:v>
                </c:pt>
                <c:pt idx="11">
                  <c:v>0.63291139240506333</c:v>
                </c:pt>
                <c:pt idx="12">
                  <c:v>0.49019607843137253</c:v>
                </c:pt>
                <c:pt idx="13">
                  <c:v>0.38461538461538464</c:v>
                </c:pt>
                <c:pt idx="14">
                  <c:v>0.30120481927710846</c:v>
                </c:pt>
                <c:pt idx="15">
                  <c:v>0.23584905660377359</c:v>
                </c:pt>
                <c:pt idx="16">
                  <c:v>0.18587360594795538</c:v>
                </c:pt>
                <c:pt idx="17">
                  <c:v>0.14619883040935672</c:v>
                </c:pt>
                <c:pt idx="18">
                  <c:v>0.11547344110854503</c:v>
                </c:pt>
                <c:pt idx="19">
                  <c:v>9.1240875912408759E-2</c:v>
                </c:pt>
                <c:pt idx="20">
                  <c:v>7.2150072150072145E-2</c:v>
                </c:pt>
                <c:pt idx="21">
                  <c:v>5.7142857142857141E-2</c:v>
                </c:pt>
                <c:pt idx="22">
                  <c:v>4.5248868778280542E-2</c:v>
                </c:pt>
                <c:pt idx="23">
                  <c:v>3.5893754486719311E-2</c:v>
                </c:pt>
                <c:pt idx="24">
                  <c:v>2.847380410022779E-2</c:v>
                </c:pt>
                <c:pt idx="25">
                  <c:v>2.2614201718679332E-2</c:v>
                </c:pt>
                <c:pt idx="26">
                  <c:v>1.7959770114942528E-2</c:v>
                </c:pt>
                <c:pt idx="27">
                  <c:v>1.4277555682467162E-2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71-D74D-B654-A926F3CA3981}"/>
            </c:ext>
          </c:extLst>
        </c:ser>
        <c:ser>
          <c:idx val="3"/>
          <c:order val="3"/>
          <c:tx>
            <c:strRef>
              <c:f>temp_data!$A$91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temp_data!$B$91:$AC$91</c:f>
              <c:numCache>
                <c:formatCode>0.000</c:formatCode>
                <c:ptCount val="28"/>
                <c:pt idx="0">
                  <c:v>8.3333333333333339</c:v>
                </c:pt>
                <c:pt idx="1">
                  <c:v>4.5454545454545459</c:v>
                </c:pt>
                <c:pt idx="2">
                  <c:v>2.9411764705882355</c:v>
                </c:pt>
                <c:pt idx="3">
                  <c:v>1.9230769230769231</c:v>
                </c:pt>
                <c:pt idx="4">
                  <c:v>1.25</c:v>
                </c:pt>
                <c:pt idx="5">
                  <c:v>0.81967213114754101</c:v>
                </c:pt>
                <c:pt idx="6">
                  <c:v>0.5494505494505495</c:v>
                </c:pt>
                <c:pt idx="7">
                  <c:v>0.37037037037037035</c:v>
                </c:pt>
                <c:pt idx="8">
                  <c:v>0.25125628140703515</c:v>
                </c:pt>
                <c:pt idx="9">
                  <c:v>0.17123287671232876</c:v>
                </c:pt>
                <c:pt idx="10">
                  <c:v>0.11764705882352941</c:v>
                </c:pt>
                <c:pt idx="11">
                  <c:v>8.0906148867313912E-2</c:v>
                </c:pt>
                <c:pt idx="12">
                  <c:v>5.5803571428571432E-2</c:v>
                </c:pt>
                <c:pt idx="13">
                  <c:v>3.8639876352395672E-2</c:v>
                </c:pt>
                <c:pt idx="14">
                  <c:v>2.6795284030010719E-2</c:v>
                </c:pt>
                <c:pt idx="15">
                  <c:v>1.8615040953090096E-2</c:v>
                </c:pt>
                <c:pt idx="16">
                  <c:v>1.2956724540036279E-2</c:v>
                </c:pt>
                <c:pt idx="17">
                  <c:v>9.0317919075144516E-3</c:v>
                </c:pt>
                <c:pt idx="18">
                  <c:v>6.3043752364140716E-3</c:v>
                </c:pt>
                <c:pt idx="19">
                  <c:v>4.4056745087672922E-3</c:v>
                </c:pt>
                <c:pt idx="20">
                  <c:v>3.0818540433925051E-3</c:v>
                </c:pt>
                <c:pt idx="21">
                  <c:v>2.1577766269635767E-3</c:v>
                </c:pt>
                <c:pt idx="22">
                  <c:v>1.5120358050078626E-3</c:v>
                </c:pt>
                <c:pt idx="23">
                  <c:v>1.0602879742137965E-3</c:v>
                </c:pt>
                <c:pt idx="24">
                  <c:v>7.4400333313493243E-4</c:v>
                </c:pt>
                <c:pt idx="25">
                  <c:v>5.2237870366500896E-4</c:v>
                </c:pt>
                <c:pt idx="26">
                  <c:v>3.6696439711419196E-4</c:v>
                </c:pt>
                <c:pt idx="27">
                  <c:v>2.5791675478822456E-4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71-D74D-B654-A926F3CA3981}"/>
            </c:ext>
          </c:extLst>
        </c:ser>
        <c:ser>
          <c:idx val="4"/>
          <c:order val="4"/>
          <c:tx>
            <c:strRef>
              <c:f>temp_data!$A$92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temp_data!$B$92:$AC$92</c:f>
              <c:numCache>
                <c:formatCode>0.000</c:formatCode>
                <c:ptCount val="28"/>
                <c:pt idx="7">
                  <c:v>0.42016806722689076</c:v>
                </c:pt>
                <c:pt idx="8">
                  <c:v>0.25252525252525254</c:v>
                </c:pt>
                <c:pt idx="9">
                  <c:v>0.15384615384615385</c:v>
                </c:pt>
                <c:pt idx="10">
                  <c:v>9.3984962406015032E-2</c:v>
                </c:pt>
                <c:pt idx="11">
                  <c:v>5.7603686635944701E-2</c:v>
                </c:pt>
                <c:pt idx="12">
                  <c:v>3.543586109142452E-2</c:v>
                </c:pt>
                <c:pt idx="13">
                  <c:v>2.1843599825251202E-2</c:v>
                </c:pt>
                <c:pt idx="14">
                  <c:v>1.3498920086393088E-2</c:v>
                </c:pt>
                <c:pt idx="15">
                  <c:v>8.3570115326759148E-3</c:v>
                </c:pt>
                <c:pt idx="16">
                  <c:v>5.1824212271973464E-3</c:v>
                </c:pt>
                <c:pt idx="17">
                  <c:v>3.2185387833923397E-3</c:v>
                </c:pt>
                <c:pt idx="18">
                  <c:v>2.0015211560786197E-3</c:v>
                </c:pt>
                <c:pt idx="19">
                  <c:v>1.2460748641778398E-3</c:v>
                </c:pt>
                <c:pt idx="20">
                  <c:v>7.765542733781664E-4</c:v>
                </c:pt>
                <c:pt idx="21">
                  <c:v>4.8439755476114356E-4</c:v>
                </c:pt>
                <c:pt idx="22">
                  <c:v>3.0239984517127928E-4</c:v>
                </c:pt>
                <c:pt idx="23">
                  <c:v>1.8891949384689208E-4</c:v>
                </c:pt>
                <c:pt idx="24">
                  <c:v>1.1810223874603767E-4</c:v>
                </c:pt>
                <c:pt idx="25">
                  <c:v>7.3874776344114623E-5</c:v>
                </c:pt>
                <c:pt idx="26">
                  <c:v>4.6234650096168072E-5</c:v>
                </c:pt>
                <c:pt idx="27">
                  <c:v>2.8950045538421631E-5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71-D74D-B654-A926F3CA3981}"/>
            </c:ext>
          </c:extLst>
        </c:ser>
        <c:ser>
          <c:idx val="5"/>
          <c:order val="5"/>
          <c:tx>
            <c:v>User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temp_data!$AF$87</c:f>
              <c:numCache>
                <c:formatCode>General</c:formatCode>
                <c:ptCount val="1"/>
                <c:pt idx="0">
                  <c:v>2031</c:v>
                </c:pt>
              </c:numCache>
            </c:numRef>
          </c:xVal>
          <c:yVal>
            <c:numRef>
              <c:f>temp_data!$AG$87</c:f>
              <c:numCache>
                <c:formatCode>0.000</c:formatCode>
                <c:ptCount val="1"/>
                <c:pt idx="0">
                  <c:v>0.65789473684210531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DB-2A4B-9ACB-B2A50436D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717759"/>
        <c:axId val="352719487"/>
      </c:scatterChart>
      <c:valAx>
        <c:axId val="352717759"/>
        <c:scaling>
          <c:orientation val="minMax"/>
          <c:max val="20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352719487"/>
        <c:crosses val="autoZero"/>
        <c:crossBetween val="midCat"/>
      </c:valAx>
      <c:valAx>
        <c:axId val="35271948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352717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Cost</a:t>
            </a:r>
            <a:r>
              <a:rPr lang="en-GB" baseline="0"/>
              <a:t> per Power (spent on SDC) [Euro/kW]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temp_data!$A$96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temp_data!$B$96:$AC$96</c:f>
              <c:numCache>
                <c:formatCode>0</c:formatCode>
                <c:ptCount val="28"/>
                <c:pt idx="0">
                  <c:v>190695.19595110673</c:v>
                </c:pt>
                <c:pt idx="1">
                  <c:v>176508.19068046196</c:v>
                </c:pt>
                <c:pt idx="2">
                  <c:v>162784.36707250174</c:v>
                </c:pt>
                <c:pt idx="3">
                  <c:v>150556.73565731151</c:v>
                </c:pt>
                <c:pt idx="4">
                  <c:v>139429.22358889983</c:v>
                </c:pt>
                <c:pt idx="5">
                  <c:v>129031.73046988677</c:v>
                </c:pt>
                <c:pt idx="6">
                  <c:v>119484.48313600538</c:v>
                </c:pt>
                <c:pt idx="7">
                  <c:v>110674.70559822758</c:v>
                </c:pt>
                <c:pt idx="8">
                  <c:v>102582.21940108918</c:v>
                </c:pt>
                <c:pt idx="9">
                  <c:v>95181.647368682141</c:v>
                </c:pt>
                <c:pt idx="10">
                  <c:v>88316.670901240592</c:v>
                </c:pt>
                <c:pt idx="11">
                  <c:v>81995.723046454863</c:v>
                </c:pt>
                <c:pt idx="12">
                  <c:v>76176.069321910356</c:v>
                </c:pt>
                <c:pt idx="13">
                  <c:v>70803.709670524069</c:v>
                </c:pt>
                <c:pt idx="14">
                  <c:v>65842.436471685651</c:v>
                </c:pt>
                <c:pt idx="15">
                  <c:v>61263.520048747159</c:v>
                </c:pt>
                <c:pt idx="16">
                  <c:v>57032.905126536396</c:v>
                </c:pt>
                <c:pt idx="17">
                  <c:v>53125.64432227904</c:v>
                </c:pt>
                <c:pt idx="18">
                  <c:v>49513.760941515335</c:v>
                </c:pt>
                <c:pt idx="19">
                  <c:v>46171.886414991801</c:v>
                </c:pt>
                <c:pt idx="20">
                  <c:v>43082.101413461962</c:v>
                </c:pt>
                <c:pt idx="21">
                  <c:v>40222.411651006303</c:v>
                </c:pt>
                <c:pt idx="22">
                  <c:v>37574.670553664386</c:v>
                </c:pt>
                <c:pt idx="23">
                  <c:v>35123.000814255756</c:v>
                </c:pt>
                <c:pt idx="24">
                  <c:v>32851.702548865396</c:v>
                </c:pt>
                <c:pt idx="25">
                  <c:v>30746.605999337371</c:v>
                </c:pt>
                <c:pt idx="26">
                  <c:v>28795.015335313055</c:v>
                </c:pt>
                <c:pt idx="27">
                  <c:v>26984.951007011336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5A-1D4A-9421-BE213181A17C}"/>
            </c:ext>
          </c:extLst>
        </c:ser>
        <c:ser>
          <c:idx val="1"/>
          <c:order val="1"/>
          <c:tx>
            <c:strRef>
              <c:f>temp_data!$A$97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temp_data!$B$97:$AC$97</c:f>
              <c:numCache>
                <c:formatCode>0</c:formatCode>
                <c:ptCount val="28"/>
                <c:pt idx="0">
                  <c:v>192194.91595110673</c:v>
                </c:pt>
                <c:pt idx="1">
                  <c:v>177525.06042249984</c:v>
                </c:pt>
                <c:pt idx="2">
                  <c:v>164726.07542239031</c:v>
                </c:pt>
                <c:pt idx="3">
                  <c:v>152540.76331711319</c:v>
                </c:pt>
                <c:pt idx="4">
                  <c:v>141512.92051005419</c:v>
                </c:pt>
                <c:pt idx="5">
                  <c:v>131504.07159041101</c:v>
                </c:pt>
                <c:pt idx="6">
                  <c:v>122350.16006507403</c:v>
                </c:pt>
                <c:pt idx="7">
                  <c:v>113907.22561551772</c:v>
                </c:pt>
                <c:pt idx="8">
                  <c:v>106186.00179500028</c:v>
                </c:pt>
                <c:pt idx="9">
                  <c:v>99190.164457550272</c:v>
                </c:pt>
                <c:pt idx="10">
                  <c:v>92811.963678995526</c:v>
                </c:pt>
                <c:pt idx="11">
                  <c:v>86999.740133682659</c:v>
                </c:pt>
                <c:pt idx="12">
                  <c:v>81700.378570717279</c:v>
                </c:pt>
                <c:pt idx="13">
                  <c:v>76929.529374322214</c:v>
                </c:pt>
                <c:pt idx="14">
                  <c:v>72614.465632236839</c:v>
                </c:pt>
                <c:pt idx="15">
                  <c:v>68745.47547140831</c:v>
                </c:pt>
                <c:pt idx="16">
                  <c:v>65294.433046900856</c:v>
                </c:pt>
                <c:pt idx="17">
                  <c:v>62243.942077576357</c:v>
                </c:pt>
                <c:pt idx="18">
                  <c:v>59574.840577692667</c:v>
                </c:pt>
                <c:pt idx="19">
                  <c:v>57274.108048446797</c:v>
                </c:pt>
                <c:pt idx="20">
                  <c:v>55331.279770352834</c:v>
                </c:pt>
                <c:pt idx="21">
                  <c:v>53737.923991541233</c:v>
                </c:pt>
                <c:pt idx="22">
                  <c:v>52490.612894309306</c:v>
                </c:pt>
                <c:pt idx="23">
                  <c:v>51587.414832560142</c:v>
                </c:pt>
                <c:pt idx="24">
                  <c:v>51030.152111786701</c:v>
                </c:pt>
                <c:pt idx="25">
                  <c:v>50823.365266094079</c:v>
                </c:pt>
                <c:pt idx="26">
                  <c:v>50974.3926746949</c:v>
                </c:pt>
                <c:pt idx="27">
                  <c:v>51495.026100114294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5A-1D4A-9421-BE213181A17C}"/>
            </c:ext>
          </c:extLst>
        </c:ser>
        <c:ser>
          <c:idx val="2"/>
          <c:order val="2"/>
          <c:tx>
            <c:strRef>
              <c:f>temp_data!$A$98</c:f>
              <c:strCache>
                <c:ptCount val="1"/>
                <c:pt idx="0">
                  <c:v>FPGA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temp_data!$B$98:$AC$98</c:f>
              <c:numCache>
                <c:formatCode>0</c:formatCode>
                <c:ptCount val="28"/>
                <c:pt idx="0">
                  <c:v>192726.91595110673</c:v>
                </c:pt>
                <c:pt idx="1">
                  <c:v>177864.45811228652</c:v>
                </c:pt>
                <c:pt idx="2">
                  <c:v>164511.015049999</c:v>
                </c:pt>
                <c:pt idx="3">
                  <c:v>152318.27534066292</c:v>
                </c:pt>
                <c:pt idx="4">
                  <c:v>140890.61598258148</c:v>
                </c:pt>
                <c:pt idx="5">
                  <c:v>130402.6762332528</c:v>
                </c:pt>
                <c:pt idx="6">
                  <c:v>120734.85082320409</c:v>
                </c:pt>
                <c:pt idx="7">
                  <c:v>111882.78567656848</c:v>
                </c:pt>
                <c:pt idx="8">
                  <c:v>103724.03497067653</c:v>
                </c:pt>
                <c:pt idx="9">
                  <c:v>96178.903829710354</c:v>
                </c:pt>
                <c:pt idx="10">
                  <c:v>89223.985262514267</c:v>
                </c:pt>
                <c:pt idx="11">
                  <c:v>82791.745539827418</c:v>
                </c:pt>
                <c:pt idx="12">
                  <c:v>76889.619487279298</c:v>
                </c:pt>
                <c:pt idx="13">
                  <c:v>71425.577870242065</c:v>
                </c:pt>
                <c:pt idx="14">
                  <c:v>66390.102545960806</c:v>
                </c:pt>
                <c:pt idx="15">
                  <c:v>61745.059170972381</c:v>
                </c:pt>
                <c:pt idx="16">
                  <c:v>57447.487623336463</c:v>
                </c:pt>
                <c:pt idx="17">
                  <c:v>53482.994003006766</c:v>
                </c:pt>
                <c:pt idx="18">
                  <c:v>49814.845128520828</c:v>
                </c:pt>
                <c:pt idx="19">
                  <c:v>46425.03396132472</c:v>
                </c:pt>
                <c:pt idx="20">
                  <c:v>43290.638965635662</c:v>
                </c:pt>
                <c:pt idx="21">
                  <c:v>40390.080596776606</c:v>
                </c:pt>
                <c:pt idx="22">
                  <c:v>37707.294453227019</c:v>
                </c:pt>
                <c:pt idx="23">
                  <c:v>35222.223424923912</c:v>
                </c:pt>
                <c:pt idx="24">
                  <c:v>32921.679334528417</c:v>
                </c:pt>
                <c:pt idx="25">
                  <c:v>30789.570274826106</c:v>
                </c:pt>
                <c:pt idx="26">
                  <c:v>28814.362556167947</c:v>
                </c:pt>
                <c:pt idx="27">
                  <c:v>26982.417215666959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C5A-1D4A-9421-BE213181A17C}"/>
            </c:ext>
          </c:extLst>
        </c:ser>
        <c:ser>
          <c:idx val="3"/>
          <c:order val="3"/>
          <c:tx>
            <c:strRef>
              <c:f>temp_data!$A$99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temp_data!$B$99:$AC$99</c:f>
              <c:numCache>
                <c:formatCode>0</c:formatCode>
                <c:ptCount val="28"/>
                <c:pt idx="0">
                  <c:v>194442.91595110673</c:v>
                </c:pt>
                <c:pt idx="1">
                  <c:v>180745.39272256006</c:v>
                </c:pt>
                <c:pt idx="2">
                  <c:v>167649.41804289751</c:v>
                </c:pt>
                <c:pt idx="3">
                  <c:v>155670.47551187658</c:v>
                </c:pt>
                <c:pt idx="4">
                  <c:v>144789.69828774675</c:v>
                </c:pt>
                <c:pt idx="5">
                  <c:v>134824.82423598907</c:v>
                </c:pt>
                <c:pt idx="6">
                  <c:v>125587.51465426783</c:v>
                </c:pt>
                <c:pt idx="7">
                  <c:v>117100.87176684738</c:v>
                </c:pt>
                <c:pt idx="8">
                  <c:v>109286.45074129882</c:v>
                </c:pt>
                <c:pt idx="9">
                  <c:v>102092.78579614355</c:v>
                </c:pt>
                <c:pt idx="10">
                  <c:v>95432.5228470453</c:v>
                </c:pt>
                <c:pt idx="11">
                  <c:v>89311.252520998183</c:v>
                </c:pt>
                <c:pt idx="12">
                  <c:v>83666.031812101166</c:v>
                </c:pt>
                <c:pt idx="13">
                  <c:v>78445.751046444057</c:v>
                </c:pt>
                <c:pt idx="14">
                  <c:v>73632.716250504032</c:v>
                </c:pt>
                <c:pt idx="15">
                  <c:v>69189.328264590746</c:v>
                </c:pt>
                <c:pt idx="16">
                  <c:v>65082.76037202224</c:v>
                </c:pt>
                <c:pt idx="17">
                  <c:v>61287.673960743487</c:v>
                </c:pt>
                <c:pt idx="18">
                  <c:v>57778.780104212288</c:v>
                </c:pt>
                <c:pt idx="19">
                  <c:v>54533.750733715286</c:v>
                </c:pt>
                <c:pt idx="20">
                  <c:v>51532.06369659082</c:v>
                </c:pt>
                <c:pt idx="21">
                  <c:v>48754.24515698172</c:v>
                </c:pt>
                <c:pt idx="22">
                  <c:v>46182.515530839322</c:v>
                </c:pt>
                <c:pt idx="23">
                  <c:v>43801.1543810445</c:v>
                </c:pt>
                <c:pt idx="24">
                  <c:v>41594.99553308115</c:v>
                </c:pt>
                <c:pt idx="25">
                  <c:v>39550.464467469159</c:v>
                </c:pt>
                <c:pt idx="26">
                  <c:v>37655.218003532937</c:v>
                </c:pt>
                <c:pt idx="27">
                  <c:v>35897.501527072956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C5A-1D4A-9421-BE213181A17C}"/>
            </c:ext>
          </c:extLst>
        </c:ser>
        <c:ser>
          <c:idx val="4"/>
          <c:order val="4"/>
          <c:tx>
            <c:strRef>
              <c:f>temp_data!$A$100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temp_data!$B$100:$AC$100</c:f>
              <c:numCache>
                <c:formatCode>0</c:formatCode>
                <c:ptCount val="28"/>
                <c:pt idx="7">
                  <c:v>118031.52021605868</c:v>
                </c:pt>
                <c:pt idx="8">
                  <c:v>110873.23647249502</c:v>
                </c:pt>
                <c:pt idx="9">
                  <c:v>104386.88575657349</c:v>
                </c:pt>
                <c:pt idx="10">
                  <c:v>98623.174597720441</c:v>
                </c:pt>
                <c:pt idx="11">
                  <c:v>93541.309269966703</c:v>
                </c:pt>
                <c:pt idx="12">
                  <c:v>89104.676622563129</c:v>
                </c:pt>
                <c:pt idx="13">
                  <c:v>85310.804978142114</c:v>
                </c:pt>
                <c:pt idx="14">
                  <c:v>82135.461714388366</c:v>
                </c:pt>
                <c:pt idx="15">
                  <c:v>79579.007471725708</c:v>
                </c:pt>
                <c:pt idx="16">
                  <c:v>77638.914733912694</c:v>
                </c:pt>
                <c:pt idx="17">
                  <c:v>76320.750291190721</c:v>
                </c:pt>
                <c:pt idx="18">
                  <c:v>75636.214834434097</c:v>
                </c:pt>
                <c:pt idx="19">
                  <c:v>75605.992999856986</c:v>
                </c:pt>
                <c:pt idx="20">
                  <c:v>76255.229696801136</c:v>
                </c:pt>
                <c:pt idx="21">
                  <c:v>77617.024473938422</c:v>
                </c:pt>
                <c:pt idx="22">
                  <c:v>79734.166458618158</c:v>
                </c:pt>
                <c:pt idx="23">
                  <c:v>82657.260005110584</c:v>
                </c:pt>
                <c:pt idx="24">
                  <c:v>86446.461330179533</c:v>
                </c:pt>
                <c:pt idx="25">
                  <c:v>91172.900304777751</c:v>
                </c:pt>
                <c:pt idx="26">
                  <c:v>96918.956151654871</c:v>
                </c:pt>
                <c:pt idx="27">
                  <c:v>103780.17131398512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C5A-1D4A-9421-BE213181A17C}"/>
            </c:ext>
          </c:extLst>
        </c:ser>
        <c:ser>
          <c:idx val="5"/>
          <c:order val="5"/>
          <c:tx>
            <c:v>User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temp_data!$AF$95</c:f>
              <c:numCache>
                <c:formatCode>General</c:formatCode>
                <c:ptCount val="1"/>
                <c:pt idx="0">
                  <c:v>2031</c:v>
                </c:pt>
              </c:numCache>
            </c:numRef>
          </c:xVal>
          <c:yVal>
            <c:numRef>
              <c:f>temp_data!$AG$95</c:f>
              <c:numCache>
                <c:formatCode>0</c:formatCode>
                <c:ptCount val="1"/>
                <c:pt idx="0">
                  <c:v>106186.00179500028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EA-284F-8E4E-03033DB8E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872863"/>
        <c:axId val="353352287"/>
      </c:scatterChart>
      <c:valAx>
        <c:axId val="352872863"/>
        <c:scaling>
          <c:orientation val="minMax"/>
          <c:max val="20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353352287"/>
        <c:crosses val="autoZero"/>
        <c:crossBetween val="midCat"/>
      </c:valAx>
      <c:valAx>
        <c:axId val="353352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352872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SDC Satellite Weight [kg]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temp_data!$A$28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temp_data!$B$28:$AC$28</c:f>
              <c:numCache>
                <c:formatCode>0</c:formatCode>
                <c:ptCount val="28"/>
                <c:pt idx="0">
                  <c:v>22.848132896743401</c:v>
                </c:pt>
                <c:pt idx="1">
                  <c:v>21.886146641475175</c:v>
                </c:pt>
                <c:pt idx="2">
                  <c:v>20.965366716937286</c:v>
                </c:pt>
                <c:pt idx="3">
                  <c:v>20.097341117687225</c:v>
                </c:pt>
                <c:pt idx="4">
                  <c:v>19.273906397958946</c:v>
                </c:pt>
                <c:pt idx="5">
                  <c:v>18.487756887923254</c:v>
                </c:pt>
                <c:pt idx="6">
                  <c:v>17.739046058450679</c:v>
                </c:pt>
                <c:pt idx="7">
                  <c:v>17.024826887890281</c:v>
                </c:pt>
                <c:pt idx="8">
                  <c:v>16.343686209498131</c:v>
                </c:pt>
                <c:pt idx="9">
                  <c:v>15.694274034850997</c:v>
                </c:pt>
                <c:pt idx="10">
                  <c:v>15.07341861810252</c:v>
                </c:pt>
                <c:pt idx="11">
                  <c:v>14.480427662027807</c:v>
                </c:pt>
                <c:pt idx="12">
                  <c:v>13.91391413192235</c:v>
                </c:pt>
                <c:pt idx="13">
                  <c:v>13.372364816272722</c:v>
                </c:pt>
                <c:pt idx="14">
                  <c:v>12.854560028844233</c:v>
                </c:pt>
                <c:pt idx="15">
                  <c:v>12.359417476473427</c:v>
                </c:pt>
                <c:pt idx="16">
                  <c:v>11.885799270614648</c:v>
                </c:pt>
                <c:pt idx="17">
                  <c:v>11.432723222445675</c:v>
                </c:pt>
                <c:pt idx="18">
                  <c:v>10.999181492407605</c:v>
                </c:pt>
                <c:pt idx="19">
                  <c:v>10.584223146777809</c:v>
                </c:pt>
                <c:pt idx="20">
                  <c:v>10.187025975363655</c:v>
                </c:pt>
                <c:pt idx="21">
                  <c:v>9.8067244062970484</c:v>
                </c:pt>
                <c:pt idx="22">
                  <c:v>9.4425272998047234</c:v>
                </c:pt>
                <c:pt idx="23">
                  <c:v>9.0936943382197128</c:v>
                </c:pt>
                <c:pt idx="24">
                  <c:v>8.7595045426309373</c:v>
                </c:pt>
                <c:pt idx="25">
                  <c:v>8.4392763247712228</c:v>
                </c:pt>
                <c:pt idx="26">
                  <c:v>8.1323664793299493</c:v>
                </c:pt>
                <c:pt idx="27">
                  <c:v>7.8381585851509339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A9-8E4F-B0E0-FAD9965EC44C}"/>
            </c:ext>
          </c:extLst>
        </c:ser>
        <c:ser>
          <c:idx val="1"/>
          <c:order val="1"/>
          <c:tx>
            <c:strRef>
              <c:f>temp_data!$A$29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temp_data!$B$29:$AC$29</c:f>
              <c:numCache>
                <c:formatCode>0</c:formatCode>
                <c:ptCount val="28"/>
                <c:pt idx="0">
                  <c:v>22.863132896743402</c:v>
                </c:pt>
                <c:pt idx="1">
                  <c:v>21.894696840705937</c:v>
                </c:pt>
                <c:pt idx="2">
                  <c:v>20.985994806119503</c:v>
                </c:pt>
                <c:pt idx="3">
                  <c:v>20.119661216690801</c:v>
                </c:pt>
                <c:pt idx="4">
                  <c:v>19.298865818304201</c:v>
                </c:pt>
                <c:pt idx="5">
                  <c:v>18.519992060996501</c:v>
                </c:pt>
                <c:pt idx="6">
                  <c:v>17.779320827951683</c:v>
                </c:pt>
                <c:pt idx="7">
                  <c:v>17.073455289836144</c:v>
                </c:pt>
                <c:pt idx="8">
                  <c:v>16.401389276585071</c:v>
                </c:pt>
                <c:pt idx="9">
                  <c:v>15.762354918079533</c:v>
                </c:pt>
                <c:pt idx="10">
                  <c:v>15.153938207085931</c:v>
                </c:pt>
                <c:pt idx="11">
                  <c:v>14.574619828212054</c:v>
                </c:pt>
                <c:pt idx="12">
                  <c:v>14.022874100954294</c:v>
                </c:pt>
                <c:pt idx="13">
                  <c:v>13.498513996040518</c:v>
                </c:pt>
                <c:pt idx="14">
                  <c:v>12.999730473519097</c:v>
                </c:pt>
                <c:pt idx="15">
                  <c:v>12.525936758195002</c:v>
                </c:pt>
                <c:pt idx="16">
                  <c:v>12.076209953865124</c:v>
                </c:pt>
                <c:pt idx="17">
                  <c:v>11.649869098424114</c:v>
                </c:pt>
                <c:pt idx="18">
                  <c:v>11.24621152207474</c:v>
                </c:pt>
                <c:pt idx="19">
                  <c:v>10.864687696103507</c:v>
                </c:pt>
                <c:pt idx="20">
                  <c:v>10.504825624644715</c:v>
                </c:pt>
                <c:pt idx="21">
                  <c:v>10.166218495650208</c:v>
                </c:pt>
                <c:pt idx="22">
                  <c:v>9.8486022684976824</c:v>
                </c:pt>
                <c:pt idx="23">
                  <c:v>9.5517711386013762</c:v>
                </c:pt>
                <c:pt idx="24">
                  <c:v>9.2756377102087324</c:v>
                </c:pt>
                <c:pt idx="25">
                  <c:v>9.0202091819996753</c:v>
                </c:pt>
                <c:pt idx="26">
                  <c:v>8.7855914685782199</c:v>
                </c:pt>
                <c:pt idx="27">
                  <c:v>8.5720393607732657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A9-8E4F-B0E0-FAD9965EC44C}"/>
            </c:ext>
          </c:extLst>
        </c:ser>
        <c:ser>
          <c:idx val="2"/>
          <c:order val="2"/>
          <c:tx>
            <c:strRef>
              <c:f>temp_data!$A$30</c:f>
              <c:strCache>
                <c:ptCount val="1"/>
                <c:pt idx="0">
                  <c:v>/FPGA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temp_data!$B$30:$AC$30</c:f>
              <c:numCache>
                <c:formatCode>0</c:formatCode>
                <c:ptCount val="28"/>
                <c:pt idx="0">
                  <c:v>22.863132896743402</c:v>
                </c:pt>
                <c:pt idx="1">
                  <c:v>21.893300571332677</c:v>
                </c:pt>
                <c:pt idx="2">
                  <c:v>20.978299355957184</c:v>
                </c:pt>
                <c:pt idx="3">
                  <c:v>20.111511040223419</c:v>
                </c:pt>
                <c:pt idx="4">
                  <c:v>19.285937973943458</c:v>
                </c:pt>
                <c:pt idx="5">
                  <c:v>18.500653817145018</c:v>
                </c:pt>
                <c:pt idx="6">
                  <c:v>17.752434079841521</c:v>
                </c:pt>
                <c:pt idx="7">
                  <c:v>17.039731096555027</c:v>
                </c:pt>
                <c:pt idx="8">
                  <c:v>16.359768201373836</c:v>
                </c:pt>
                <c:pt idx="9">
                  <c:v>15.710335037796872</c:v>
                </c:pt>
                <c:pt idx="10">
                  <c:v>15.090148147611618</c:v>
                </c:pt>
                <c:pt idx="11">
                  <c:v>14.497340476046904</c:v>
                </c:pt>
                <c:pt idx="12">
                  <c:v>13.93138854151403</c:v>
                </c:pt>
                <c:pt idx="13">
                  <c:v>13.390073665086659</c:v>
                </c:pt>
                <c:pt idx="14">
                  <c:v>12.872669326615835</c:v>
                </c:pt>
                <c:pt idx="15">
                  <c:v>12.37795441869407</c:v>
                </c:pt>
                <c:pt idx="16">
                  <c:v>11.90458583421227</c:v>
                </c:pt>
                <c:pt idx="17">
                  <c:v>11.451840787000549</c:v>
                </c:pt>
                <c:pt idx="18">
                  <c:v>11.018506069196434</c:v>
                </c:pt>
                <c:pt idx="19">
                  <c:v>10.603796170105829</c:v>
                </c:pt>
                <c:pt idx="20">
                  <c:v>10.206815143589116</c:v>
                </c:pt>
                <c:pt idx="21">
                  <c:v>9.826695594427715</c:v>
                </c:pt>
                <c:pt idx="22">
                  <c:v>9.4627127221266569</c:v>
                </c:pt>
                <c:pt idx="23">
                  <c:v>9.1140337671690581</c:v>
                </c:pt>
                <c:pt idx="24">
                  <c:v>8.7800114463266699</c:v>
                </c:pt>
                <c:pt idx="25">
                  <c:v>8.4599178874391665</c:v>
                </c:pt>
                <c:pt idx="26">
                  <c:v>8.1531551388920711</c:v>
                </c:pt>
                <c:pt idx="27">
                  <c:v>7.8590645723820804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A9-8E4F-B0E0-FAD9965EC44C}"/>
            </c:ext>
          </c:extLst>
        </c:ser>
        <c:ser>
          <c:idx val="3"/>
          <c:order val="3"/>
          <c:tx>
            <c:strRef>
              <c:f>temp_data!$A$31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temp_data!$B$31:$AC$31</c:f>
              <c:numCache>
                <c:formatCode>0</c:formatCode>
                <c:ptCount val="28"/>
                <c:pt idx="0">
                  <c:v>22.863132896743402</c:v>
                </c:pt>
                <c:pt idx="1">
                  <c:v>21.896753243192972</c:v>
                </c:pt>
                <c:pt idx="2">
                  <c:v>20.980366716937286</c:v>
                </c:pt>
                <c:pt idx="3">
                  <c:v>20.111483253310958</c:v>
                </c:pt>
                <c:pt idx="4">
                  <c:v>19.286406397958945</c:v>
                </c:pt>
                <c:pt idx="5">
                  <c:v>18.501457081808745</c:v>
                </c:pt>
                <c:pt idx="6">
                  <c:v>17.75342105845068</c:v>
                </c:pt>
                <c:pt idx="7">
                  <c:v>17.040294848728735</c:v>
                </c:pt>
                <c:pt idx="8">
                  <c:v>16.35993620949813</c:v>
                </c:pt>
                <c:pt idx="9">
                  <c:v>15.710515393731374</c:v>
                </c:pt>
                <c:pt idx="10">
                  <c:v>15.090215493102521</c:v>
                </c:pt>
                <c:pt idx="11">
                  <c:v>14.497718632536509</c:v>
                </c:pt>
                <c:pt idx="12">
                  <c:v>13.93153131942235</c:v>
                </c:pt>
                <c:pt idx="13">
                  <c:v>13.390291078030145</c:v>
                </c:pt>
                <c:pt idx="14">
                  <c:v>12.872841278844231</c:v>
                </c:pt>
                <c:pt idx="15">
                  <c:v>12.378006650838213</c:v>
                </c:pt>
                <c:pt idx="16">
                  <c:v>11.904685989364646</c:v>
                </c:pt>
                <c:pt idx="17">
                  <c:v>11.451857918643604</c:v>
                </c:pt>
                <c:pt idx="18">
                  <c:v>11.018546726782604</c:v>
                </c:pt>
                <c:pt idx="19">
                  <c:v>10.60383085874245</c:v>
                </c:pt>
                <c:pt idx="20">
                  <c:v>10.206835545676153</c:v>
                </c:pt>
                <c:pt idx="21">
                  <c:v>9.8267274489572252</c:v>
                </c:pt>
                <c:pt idx="22">
                  <c:v>9.462715288085974</c:v>
                </c:pt>
                <c:pt idx="23">
                  <c:v>9.1140495532025501</c:v>
                </c:pt>
                <c:pt idx="24">
                  <c:v>8.7800147965371877</c:v>
                </c:pt>
                <c:pt idx="25">
                  <c:v>8.4599323536130004</c:v>
                </c:pt>
                <c:pt idx="26">
                  <c:v>8.1531574949549501</c:v>
                </c:pt>
                <c:pt idx="27">
                  <c:v>7.8590755063567412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A9-8E4F-B0E0-FAD9965EC44C}"/>
            </c:ext>
          </c:extLst>
        </c:ser>
        <c:ser>
          <c:idx val="4"/>
          <c:order val="4"/>
          <c:tx>
            <c:strRef>
              <c:f>temp_data!$A$32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temp_data!$B$32:$AC$32</c:f>
              <c:numCache>
                <c:formatCode>0</c:formatCode>
                <c:ptCount val="28"/>
                <c:pt idx="7">
                  <c:v>17.754213781397425</c:v>
                </c:pt>
                <c:pt idx="8">
                  <c:v>17.108418609120584</c:v>
                </c:pt>
                <c:pt idx="9">
                  <c:v>16.484355743542338</c:v>
                </c:pt>
                <c:pt idx="10">
                  <c:v>15.88826236810252</c:v>
                </c:pt>
                <c:pt idx="11">
                  <c:v>15.317962595217306</c:v>
                </c:pt>
                <c:pt idx="12">
                  <c:v>14.771462133612635</c:v>
                </c:pt>
                <c:pt idx="13">
                  <c:v>14.248689664949856</c:v>
                </c:pt>
                <c:pt idx="14">
                  <c:v>13.747870100877554</c:v>
                </c:pt>
                <c:pt idx="15">
                  <c:v>13.268393636294494</c:v>
                </c:pt>
                <c:pt idx="16">
                  <c:v>12.809187942489647</c:v>
                </c:pt>
                <c:pt idx="17">
                  <c:v>12.369336672646881</c:v>
                </c:pt>
                <c:pt idx="18">
                  <c:v>11.947957509966628</c:v>
                </c:pt>
                <c:pt idx="19">
                  <c:v>11.54428518071664</c:v>
                </c:pt>
                <c:pt idx="20">
                  <c:v>11.157491510514792</c:v>
                </c:pt>
                <c:pt idx="21">
                  <c:v>10.78680491875549</c:v>
                </c:pt>
                <c:pt idx="22">
                  <c:v>10.431528764648474</c:v>
                </c:pt>
                <c:pt idx="23">
                  <c:v>10.090967494597084</c:v>
                </c:pt>
                <c:pt idx="24">
                  <c:v>9.7644564532805962</c:v>
                </c:pt>
                <c:pt idx="25">
                  <c:v>9.4513697726388486</c:v>
                </c:pt>
                <c:pt idx="26">
                  <c:v>9.1511035247693364</c:v>
                </c:pt>
                <c:pt idx="27">
                  <c:v>8.8630872903006317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A9-8E4F-B0E0-FAD9965EC44C}"/>
            </c:ext>
          </c:extLst>
        </c:ser>
        <c:ser>
          <c:idx val="5"/>
          <c:order val="5"/>
          <c:tx>
            <c:v>User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temp_data!$AF$27</c:f>
              <c:numCache>
                <c:formatCode>General</c:formatCode>
                <c:ptCount val="1"/>
                <c:pt idx="0">
                  <c:v>2031</c:v>
                </c:pt>
              </c:numCache>
            </c:numRef>
          </c:xVal>
          <c:yVal>
            <c:numRef>
              <c:f>temp_data!$AG$27</c:f>
              <c:numCache>
                <c:formatCode>0</c:formatCode>
                <c:ptCount val="1"/>
                <c:pt idx="0">
                  <c:v>16.401389276585071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4C-6249-8DC7-F45AB7840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051776"/>
        <c:axId val="353760767"/>
      </c:scatterChart>
      <c:valAx>
        <c:axId val="1940051776"/>
        <c:scaling>
          <c:orientation val="minMax"/>
          <c:max val="20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353760767"/>
        <c:crosses val="autoZero"/>
        <c:crossBetween val="midCat"/>
      </c:valAx>
      <c:valAx>
        <c:axId val="353760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940051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Payload to</a:t>
            </a:r>
            <a:r>
              <a:rPr lang="en-GB" baseline="0"/>
              <a:t> Satellite Weight Ratio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temp_data!$A$37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temp_data!$B$37:$AC$37</c:f>
              <c:numCache>
                <c:formatCode>0.000</c:formatCode>
                <c:ptCount val="28"/>
                <c:pt idx="0">
                  <c:v>0.11552366278367604</c:v>
                </c:pt>
                <c:pt idx="1">
                  <c:v>0.11244731518783879</c:v>
                </c:pt>
                <c:pt idx="2">
                  <c:v>0.10932342879077581</c:v>
                </c:pt>
                <c:pt idx="3">
                  <c:v>0.10660716473380639</c:v>
                </c:pt>
                <c:pt idx="4">
                  <c:v>0.1041258490368249</c:v>
                </c:pt>
                <c:pt idx="5">
                  <c:v>0.10169830768421097</c:v>
                </c:pt>
                <c:pt idx="6">
                  <c:v>9.9399060642903297E-2</c:v>
                </c:pt>
                <c:pt idx="7">
                  <c:v>9.7185125229960964E-2</c:v>
                </c:pt>
                <c:pt idx="8">
                  <c:v>9.5067816449652898E-2</c:v>
                </c:pt>
                <c:pt idx="9">
                  <c:v>9.3059777573630625E-2</c:v>
                </c:pt>
                <c:pt idx="10">
                  <c:v>9.1086493574155408E-2</c:v>
                </c:pt>
                <c:pt idx="11">
                  <c:v>8.9178243111798727E-2</c:v>
                </c:pt>
                <c:pt idx="12">
                  <c:v>8.7332102181623308E-2</c:v>
                </c:pt>
                <c:pt idx="13">
                  <c:v>8.5534585684319681E-2</c:v>
                </c:pt>
                <c:pt idx="14">
                  <c:v>8.3782964182786024E-2</c:v>
                </c:pt>
                <c:pt idx="15">
                  <c:v>8.2078899175300604E-2</c:v>
                </c:pt>
                <c:pt idx="16">
                  <c:v>8.0417864588481811E-2</c:v>
                </c:pt>
                <c:pt idx="17">
                  <c:v>7.8801265677543308E-2</c:v>
                </c:pt>
                <c:pt idx="18">
                  <c:v>7.7225979253365856E-2</c:v>
                </c:pt>
                <c:pt idx="19">
                  <c:v>7.5689165232134134E-2</c:v>
                </c:pt>
                <c:pt idx="20">
                  <c:v>7.4193636280879202E-2</c:v>
                </c:pt>
                <c:pt idx="21">
                  <c:v>7.2736438927113733E-2</c:v>
                </c:pt>
                <c:pt idx="22">
                  <c:v>7.1316851179576632E-2</c:v>
                </c:pt>
                <c:pt idx="23">
                  <c:v>6.9935130537810405E-2</c:v>
                </c:pt>
                <c:pt idx="24">
                  <c:v>6.8590231019399386E-2</c:v>
                </c:pt>
                <c:pt idx="25">
                  <c:v>6.728141677723401E-2</c:v>
                </c:pt>
                <c:pt idx="26">
                  <c:v>6.6008389909502294E-2</c:v>
                </c:pt>
                <c:pt idx="27">
                  <c:v>6.4770439901075366E-2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BB-2649-98BD-363407468DB6}"/>
            </c:ext>
          </c:extLst>
        </c:ser>
        <c:ser>
          <c:idx val="1"/>
          <c:order val="1"/>
          <c:tx>
            <c:strRef>
              <c:f>temp_data!$A$38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temp_data!$B$38:$AC$38</c:f>
              <c:numCache>
                <c:formatCode>0.000</c:formatCode>
                <c:ptCount val="28"/>
                <c:pt idx="0">
                  <c:v>0.11597273269481265</c:v>
                </c:pt>
                <c:pt idx="1">
                  <c:v>0.11271581456371781</c:v>
                </c:pt>
                <c:pt idx="2">
                  <c:v>0.11000232621920819</c:v>
                </c:pt>
                <c:pt idx="3">
                  <c:v>0.10737639223544412</c:v>
                </c:pt>
                <c:pt idx="4">
                  <c:v>0.10502583018622566</c:v>
                </c:pt>
                <c:pt idx="5">
                  <c:v>0.10291374426944296</c:v>
                </c:pt>
                <c:pt idx="6">
                  <c:v>0.10098610334368142</c:v>
                </c:pt>
                <c:pt idx="7">
                  <c:v>9.9186873771405462E-2</c:v>
                </c:pt>
                <c:pt idx="8">
                  <c:v>9.7547895935188852E-2</c:v>
                </c:pt>
                <c:pt idx="9">
                  <c:v>9.6113199158330567E-2</c:v>
                </c:pt>
                <c:pt idx="10">
                  <c:v>9.4853265180463359E-2</c:v>
                </c:pt>
                <c:pt idx="11">
                  <c:v>9.3772108464127812E-2</c:v>
                </c:pt>
                <c:pt idx="12">
                  <c:v>9.2869645449666111E-2</c:v>
                </c:pt>
                <c:pt idx="13">
                  <c:v>9.2211559610102953E-2</c:v>
                </c:pt>
                <c:pt idx="14">
                  <c:v>9.1781095050583406E-2</c:v>
                </c:pt>
                <c:pt idx="15">
                  <c:v>9.1622912397615372E-2</c:v>
                </c:pt>
                <c:pt idx="16">
                  <c:v>9.1763818872316688E-2</c:v>
                </c:pt>
                <c:pt idx="17">
                  <c:v>9.2243934397329572E-2</c:v>
                </c:pt>
                <c:pt idx="18">
                  <c:v>9.3102160084325106E-2</c:v>
                </c:pt>
                <c:pt idx="19">
                  <c:v>9.4386758529523079E-2</c:v>
                </c:pt>
                <c:pt idx="20">
                  <c:v>9.6151259955731955E-2</c:v>
                </c:pt>
                <c:pt idx="21">
                  <c:v>9.8453666204837281E-2</c:v>
                </c:pt>
                <c:pt idx="22">
                  <c:v>0.10136172239859442</c:v>
                </c:pt>
                <c:pt idx="23">
                  <c:v>0.10494704347223882</c:v>
                </c:pt>
                <c:pt idx="24">
                  <c:v>0.10928876330961808</c:v>
                </c:pt>
                <c:pt idx="25">
                  <c:v>0.11447104303838687</c:v>
                </c:pt>
                <c:pt idx="26">
                  <c:v>0.12058202485764287</c:v>
                </c:pt>
                <c:pt idx="27">
                  <c:v>0.12771588579986698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BB-2649-98BD-363407468DB6}"/>
            </c:ext>
          </c:extLst>
        </c:ser>
        <c:ser>
          <c:idx val="2"/>
          <c:order val="2"/>
          <c:tx>
            <c:strRef>
              <c:f>temp_data!$A$39</c:f>
              <c:strCache>
                <c:ptCount val="1"/>
                <c:pt idx="0">
                  <c:v>/FPGA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temp_data!$B$39:$AC$39</c:f>
              <c:numCache>
                <c:formatCode>0.000</c:formatCode>
                <c:ptCount val="28"/>
                <c:pt idx="0">
                  <c:v>0.11597273269481265</c:v>
                </c:pt>
                <c:pt idx="1">
                  <c:v>0.11267198225731312</c:v>
                </c:pt>
                <c:pt idx="2">
                  <c:v>0.10974921501030618</c:v>
                </c:pt>
                <c:pt idx="3">
                  <c:v>0.10709570697925105</c:v>
                </c:pt>
                <c:pt idx="4">
                  <c:v>0.10455997169833528</c:v>
                </c:pt>
                <c:pt idx="5">
                  <c:v>0.10218509845335064</c:v>
                </c:pt>
                <c:pt idx="6">
                  <c:v>9.9927419758074218E-2</c:v>
                </c:pt>
                <c:pt idx="7">
                  <c:v>9.7799859082678811E-2</c:v>
                </c:pt>
                <c:pt idx="8">
                  <c:v>9.5760779424997902E-2</c:v>
                </c:pt>
                <c:pt idx="9">
                  <c:v>9.3782497297152143E-2</c:v>
                </c:pt>
                <c:pt idx="10">
                  <c:v>9.1872422864520006E-2</c:v>
                </c:pt>
                <c:pt idx="11">
                  <c:v>9.0007498394506696E-2</c:v>
                </c:pt>
                <c:pt idx="12">
                  <c:v>8.8226015283839249E-2</c:v>
                </c:pt>
                <c:pt idx="13">
                  <c:v>8.6479491613993084E-2</c:v>
                </c:pt>
                <c:pt idx="14">
                  <c:v>8.4790539786696831E-2</c:v>
                </c:pt>
                <c:pt idx="15">
                  <c:v>8.3154041441527535E-2</c:v>
                </c:pt>
                <c:pt idx="16">
                  <c:v>8.1553433329711919E-2</c:v>
                </c:pt>
                <c:pt idx="17">
                  <c:v>8.000522612519062E-2</c:v>
                </c:pt>
                <c:pt idx="18">
                  <c:v>7.8493601377197686E-2</c:v>
                </c:pt>
                <c:pt idx="19">
                  <c:v>7.7026134807767599E-2</c:v>
                </c:pt>
                <c:pt idx="20">
                  <c:v>7.5600843527085709E-2</c:v>
                </c:pt>
                <c:pt idx="21">
                  <c:v>7.4214485871704372E-2</c:v>
                </c:pt>
                <c:pt idx="22">
                  <c:v>7.2871244462955467E-2</c:v>
                </c:pt>
                <c:pt idx="23">
                  <c:v>7.1564387453044775E-2</c:v>
                </c:pt>
                <c:pt idx="24">
                  <c:v>7.0298537413564552E-2</c:v>
                </c:pt>
                <c:pt idx="25">
                  <c:v>6.9069194951300525E-2</c:v>
                </c:pt>
                <c:pt idx="26">
                  <c:v>6.7879898723413781E-2</c:v>
                </c:pt>
                <c:pt idx="27">
                  <c:v>6.6726232432594249E-2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BB-2649-98BD-363407468DB6}"/>
            </c:ext>
          </c:extLst>
        </c:ser>
        <c:ser>
          <c:idx val="3"/>
          <c:order val="3"/>
          <c:tx>
            <c:strRef>
              <c:f>temp_data!$A$40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temp_data!$B$40:$AC$40</c:f>
              <c:numCache>
                <c:formatCode>0.000</c:formatCode>
                <c:ptCount val="28"/>
                <c:pt idx="0">
                  <c:v>0.11597273269481265</c:v>
                </c:pt>
                <c:pt idx="1">
                  <c:v>0.11278035988203669</c:v>
                </c:pt>
                <c:pt idx="2">
                  <c:v>0.10981723086334752</c:v>
                </c:pt>
                <c:pt idx="3">
                  <c:v>0.10709474963211285</c:v>
                </c:pt>
                <c:pt idx="4">
                  <c:v>0.10457686239346349</c:v>
                </c:pt>
                <c:pt idx="5">
                  <c:v>0.10221539498890211</c:v>
                </c:pt>
                <c:pt idx="6">
                  <c:v>9.996633939273411E-2</c:v>
                </c:pt>
                <c:pt idx="7">
                  <c:v>9.7823090303695487E-2</c:v>
                </c:pt>
                <c:pt idx="8">
                  <c:v>9.5768011599316277E-2</c:v>
                </c:pt>
                <c:pt idx="9">
                  <c:v>9.3790604638921082E-2</c:v>
                </c:pt>
                <c:pt idx="10">
                  <c:v>9.1875583137434949E-2</c:v>
                </c:pt>
                <c:pt idx="11">
                  <c:v>9.0026017740816172E-2</c:v>
                </c:pt>
                <c:pt idx="12">
                  <c:v>8.8233309930666207E-2</c:v>
                </c:pt>
                <c:pt idx="13">
                  <c:v>8.6491076768719144E-2</c:v>
                </c:pt>
                <c:pt idx="14">
                  <c:v>8.4800093377686611E-2</c:v>
                </c:pt>
                <c:pt idx="15">
                  <c:v>8.3157066355190309E-2</c:v>
                </c:pt>
                <c:pt idx="16">
                  <c:v>8.1559477682786291E-2</c:v>
                </c:pt>
                <c:pt idx="17">
                  <c:v>8.0006303216222943E-2</c:v>
                </c:pt>
                <c:pt idx="18">
                  <c:v>7.8496263680067804E-2</c:v>
                </c:pt>
                <c:pt idx="19">
                  <c:v>7.7028499894313096E-2</c:v>
                </c:pt>
                <c:pt idx="20">
                  <c:v>7.560229150325562E-2</c:v>
                </c:pt>
                <c:pt idx="21">
                  <c:v>7.4216838593523238E-2</c:v>
                </c:pt>
                <c:pt idx="22">
                  <c:v>7.2871441634987724E-2</c:v>
                </c:pt>
                <c:pt idx="23">
                  <c:v>7.156564914346128E-2</c:v>
                </c:pt>
                <c:pt idx="24">
                  <c:v>7.0298815847436372E-2</c:v>
                </c:pt>
                <c:pt idx="25">
                  <c:v>6.9070444816151183E-2</c:v>
                </c:pt>
                <c:pt idx="26">
                  <c:v>6.7880110288196488E-2</c:v>
                </c:pt>
                <c:pt idx="27">
                  <c:v>6.6727252603069553E-2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BB-2649-98BD-363407468DB6}"/>
            </c:ext>
          </c:extLst>
        </c:ser>
        <c:ser>
          <c:idx val="4"/>
          <c:order val="4"/>
          <c:tx>
            <c:strRef>
              <c:f>temp_data!$A$41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temp_data!$B$1:$AC$1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temp_data!$B$41:$AC$41</c:f>
              <c:numCache>
                <c:formatCode>0.000</c:formatCode>
                <c:ptCount val="28"/>
                <c:pt idx="7">
                  <c:v>0.1260584938021167</c:v>
                </c:pt>
                <c:pt idx="8">
                  <c:v>0.12657771181836708</c:v>
                </c:pt>
                <c:pt idx="9">
                  <c:v>0.1269428451054673</c:v>
                </c:pt>
                <c:pt idx="10">
                  <c:v>0.12744375698147362</c:v>
                </c:pt>
                <c:pt idx="11">
                  <c:v>0.12804359801551707</c:v>
                </c:pt>
                <c:pt idx="12">
                  <c:v>0.12870559155694339</c:v>
                </c:pt>
                <c:pt idx="13">
                  <c:v>0.12947573471680787</c:v>
                </c:pt>
                <c:pt idx="14">
                  <c:v>0.13032136519782969</c:v>
                </c:pt>
                <c:pt idx="15">
                  <c:v>0.13126142896527418</c:v>
                </c:pt>
                <c:pt idx="16">
                  <c:v>0.13229109771659783</c:v>
                </c:pt>
                <c:pt idx="17">
                  <c:v>0.13341085814891987</c:v>
                </c:pt>
                <c:pt idx="18">
                  <c:v>0.13462078137139161</c:v>
                </c:pt>
                <c:pt idx="19">
                  <c:v>0.13592531864878085</c:v>
                </c:pt>
                <c:pt idx="20">
                  <c:v>0.13732342316164728</c:v>
                </c:pt>
                <c:pt idx="21">
                  <c:v>0.13881502744310042</c:v>
                </c:pt>
                <c:pt idx="22">
                  <c:v>0.14040247782642415</c:v>
                </c:pt>
                <c:pt idx="23">
                  <c:v>0.14208620000846517</c:v>
                </c:pt>
                <c:pt idx="24">
                  <c:v>0.14386647894182519</c:v>
                </c:pt>
                <c:pt idx="25">
                  <c:v>0.14574408357051089</c:v>
                </c:pt>
                <c:pt idx="26">
                  <c:v>0.14771923955916125</c:v>
                </c:pt>
                <c:pt idx="27">
                  <c:v>0.14979249331632638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BB-2649-98BD-363407468DB6}"/>
            </c:ext>
          </c:extLst>
        </c:ser>
        <c:ser>
          <c:idx val="5"/>
          <c:order val="5"/>
          <c:tx>
            <c:v>User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temp_data!$AF$36</c:f>
              <c:numCache>
                <c:formatCode>General</c:formatCode>
                <c:ptCount val="1"/>
                <c:pt idx="0">
                  <c:v>2031</c:v>
                </c:pt>
              </c:numCache>
            </c:numRef>
          </c:xVal>
          <c:yVal>
            <c:numRef>
              <c:f>temp_data!$AG$36</c:f>
              <c:numCache>
                <c:formatCode>0.000</c:formatCode>
                <c:ptCount val="1"/>
                <c:pt idx="0">
                  <c:v>9.7547895935188852E-2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19-B542-A052-03D0666F6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5313808"/>
        <c:axId val="1132829439"/>
      </c:scatterChart>
      <c:valAx>
        <c:axId val="1925313808"/>
        <c:scaling>
          <c:orientation val="minMax"/>
          <c:max val="20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132829439"/>
        <c:crosses val="autoZero"/>
        <c:crossBetween val="midCat"/>
      </c:valAx>
      <c:valAx>
        <c:axId val="1132829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925313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Compute Pod Power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70D-FF46-BA56-766B2BB908B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70D-FF46-BA56-766B2BB908B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70D-FF46-BA56-766B2BB908B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70D-FF46-BA56-766B2BB908B2}"/>
              </c:ext>
            </c:extLst>
          </c:dPt>
          <c:cat>
            <c:strRef>
              <c:f>(SDC_Pod!$F$49,SDC_Pod!$F$55,SDC_Pod!$F$62,SDC_Pod!$F$68)</c:f>
              <c:strCache>
                <c:ptCount val="4"/>
                <c:pt idx="0">
                  <c:v>Power of All Compute Nodes</c:v>
                </c:pt>
                <c:pt idx="1">
                  <c:v>Power of All Storage Nodes</c:v>
                </c:pt>
                <c:pt idx="2">
                  <c:v>Power of all Switches</c:v>
                </c:pt>
                <c:pt idx="3">
                  <c:v>Power of all communication terminals</c:v>
                </c:pt>
              </c:strCache>
            </c:strRef>
          </c:cat>
          <c:val>
            <c:numRef>
              <c:f>(SDC_Pod!$G$49,SDC_Pod!$G$55,SDC_Pod!$G$62,SDC_Pod!$G$68)</c:f>
              <c:numCache>
                <c:formatCode>0.00</c:formatCode>
                <c:ptCount val="4"/>
                <c:pt idx="0" formatCode="0">
                  <c:v>140.97619634156189</c:v>
                </c:pt>
                <c:pt idx="1">
                  <c:v>0.15749013123685904</c:v>
                </c:pt>
                <c:pt idx="2" formatCode="0">
                  <c:v>13.85483306311539</c:v>
                </c:pt>
                <c:pt idx="3" formatCode="0">
                  <c:v>0.66050155412329514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70D-FF46-BA56-766B2BB90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SDC User Defined Sensitivity Analysis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temp_data!$B$29:$AC$29</c:f>
              <c:numCache>
                <c:formatCode>0</c:formatCode>
                <c:ptCount val="28"/>
                <c:pt idx="0">
                  <c:v>22.863132896743402</c:v>
                </c:pt>
                <c:pt idx="1">
                  <c:v>21.894696840705937</c:v>
                </c:pt>
                <c:pt idx="2">
                  <c:v>20.985994806119503</c:v>
                </c:pt>
                <c:pt idx="3">
                  <c:v>20.119661216690801</c:v>
                </c:pt>
                <c:pt idx="4">
                  <c:v>19.298865818304201</c:v>
                </c:pt>
                <c:pt idx="5">
                  <c:v>18.519992060996501</c:v>
                </c:pt>
                <c:pt idx="6">
                  <c:v>17.779320827951683</c:v>
                </c:pt>
                <c:pt idx="7">
                  <c:v>17.073455289836144</c:v>
                </c:pt>
                <c:pt idx="8">
                  <c:v>16.401389276585071</c:v>
                </c:pt>
                <c:pt idx="9">
                  <c:v>15.762354918079533</c:v>
                </c:pt>
                <c:pt idx="10">
                  <c:v>15.153938207085931</c:v>
                </c:pt>
                <c:pt idx="11">
                  <c:v>14.574619828212054</c:v>
                </c:pt>
                <c:pt idx="12">
                  <c:v>14.022874100954294</c:v>
                </c:pt>
                <c:pt idx="13">
                  <c:v>13.498513996040518</c:v>
                </c:pt>
                <c:pt idx="14">
                  <c:v>12.999730473519097</c:v>
                </c:pt>
                <c:pt idx="15">
                  <c:v>12.525936758195002</c:v>
                </c:pt>
                <c:pt idx="16">
                  <c:v>12.076209953865124</c:v>
                </c:pt>
                <c:pt idx="17">
                  <c:v>11.649869098424114</c:v>
                </c:pt>
                <c:pt idx="18">
                  <c:v>11.24621152207474</c:v>
                </c:pt>
                <c:pt idx="19">
                  <c:v>10.864687696103507</c:v>
                </c:pt>
                <c:pt idx="20">
                  <c:v>10.504825624644715</c:v>
                </c:pt>
                <c:pt idx="21">
                  <c:v>10.166218495650208</c:v>
                </c:pt>
                <c:pt idx="22">
                  <c:v>9.8486022684976824</c:v>
                </c:pt>
                <c:pt idx="23">
                  <c:v>9.5517711386013762</c:v>
                </c:pt>
                <c:pt idx="24">
                  <c:v>9.2756377102087324</c:v>
                </c:pt>
                <c:pt idx="25">
                  <c:v>9.0202091819996753</c:v>
                </c:pt>
                <c:pt idx="26">
                  <c:v>8.7855914685782199</c:v>
                </c:pt>
                <c:pt idx="27">
                  <c:v>8.5720393607732657</c:v>
                </c:pt>
              </c:numCache>
            </c:numRef>
          </c:xVal>
          <c:yVal>
            <c:numRef>
              <c:f>temp_data!$B$81:$AC$81</c:f>
              <c:numCache>
                <c:formatCode>0.00</c:formatCode>
                <c:ptCount val="28"/>
                <c:pt idx="0">
                  <c:v>4804.8728987776685</c:v>
                </c:pt>
                <c:pt idx="1">
                  <c:v>2958.7510070416638</c:v>
                </c:pt>
                <c:pt idx="2">
                  <c:v>1372.7172951865859</c:v>
                </c:pt>
                <c:pt idx="3">
                  <c:v>847.4486850950733</c:v>
                </c:pt>
                <c:pt idx="4">
                  <c:v>505.40328753590779</c:v>
                </c:pt>
                <c:pt idx="5">
                  <c:v>298.87288997820684</c:v>
                </c:pt>
                <c:pt idx="6">
                  <c:v>179.92670597805005</c:v>
                </c:pt>
                <c:pt idx="7">
                  <c:v>111.67375060344874</c:v>
                </c:pt>
                <c:pt idx="8">
                  <c:v>69.859211707237023</c:v>
                </c:pt>
                <c:pt idx="9">
                  <c:v>43.504458095416787</c:v>
                </c:pt>
                <c:pt idx="10">
                  <c:v>27.297636376175156</c:v>
                </c:pt>
                <c:pt idx="11">
                  <c:v>17.261853201127511</c:v>
                </c:pt>
                <c:pt idx="12">
                  <c:v>11.010832691471331</c:v>
                </c:pt>
                <c:pt idx="13">
                  <c:v>7.0319496685852112</c:v>
                </c:pt>
                <c:pt idx="14">
                  <c:v>4.5214486695041618</c:v>
                </c:pt>
                <c:pt idx="15">
                  <c:v>2.9203685416910923</c:v>
                </c:pt>
                <c:pt idx="16">
                  <c:v>1.8958894612921271</c:v>
                </c:pt>
                <c:pt idx="17">
                  <c:v>1.2369622829407065</c:v>
                </c:pt>
                <c:pt idx="18">
                  <c:v>0.81142523260273314</c:v>
                </c:pt>
                <c:pt idx="19">
                  <c:v>0.53527203783595134</c:v>
                </c:pt>
                <c:pt idx="20">
                  <c:v>0.35518859783253842</c:v>
                </c:pt>
                <c:pt idx="21">
                  <c:v>0.23716975898817738</c:v>
                </c:pt>
                <c:pt idx="22">
                  <c:v>0.15940058577075406</c:v>
                </c:pt>
                <c:pt idx="23">
                  <c:v>0.10786930167397152</c:v>
                </c:pt>
                <c:pt idx="24">
                  <c:v>7.3519884903885183E-2</c:v>
                </c:pt>
                <c:pt idx="25">
                  <c:v>5.0480100582135555E-2</c:v>
                </c:pt>
                <c:pt idx="26">
                  <c:v>3.4924492775010897E-2</c:v>
                </c:pt>
                <c:pt idx="27">
                  <c:v>2.434868130886297E-2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B3-EB48-A6DB-27871D432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19871"/>
        <c:axId val="1374177008"/>
      </c:scatterChart>
      <c:valAx>
        <c:axId val="118198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Satellite Weight [kg]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374177008"/>
        <c:crosses val="autoZero"/>
        <c:crossBetween val="midCat"/>
      </c:valAx>
      <c:valAx>
        <c:axId val="137417700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81987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SDC User Defined Sensitivity Analysis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temp_data!$B$5:$AC$5</c:f>
              <c:numCache>
                <c:formatCode>0</c:formatCode>
                <c:ptCount val="28"/>
                <c:pt idx="0">
                  <c:v>7902</c:v>
                </c:pt>
                <c:pt idx="1">
                  <c:v>7334.1318075753752</c:v>
                </c:pt>
                <c:pt idx="2">
                  <c:v>7119.3352393790319</c:v>
                </c:pt>
                <c:pt idx="3">
                  <c:v>6713.1915454760965</c:v>
                </c:pt>
                <c:pt idx="4">
                  <c:v>6418.4622097921911</c:v>
                </c:pt>
                <c:pt idx="5">
                  <c:v>6208.9324602189299</c:v>
                </c:pt>
                <c:pt idx="6">
                  <c:v>6041.942334627076</c:v>
                </c:pt>
                <c:pt idx="7">
                  <c:v>5880.7240667381229</c:v>
                </c:pt>
                <c:pt idx="8">
                  <c:v>5758.5219269158661</c:v>
                </c:pt>
                <c:pt idx="9">
                  <c:v>5702.5077460143093</c:v>
                </c:pt>
                <c:pt idx="10">
                  <c:v>5684.8445197787878</c:v>
                </c:pt>
                <c:pt idx="11">
                  <c:v>5702.1309934179808</c:v>
                </c:pt>
                <c:pt idx="12">
                  <c:v>5748.4251801916926</c:v>
                </c:pt>
                <c:pt idx="13">
                  <c:v>5848.6293480383974</c:v>
                </c:pt>
                <c:pt idx="14">
                  <c:v>5984.3867467392029</c:v>
                </c:pt>
                <c:pt idx="15">
                  <c:v>6165.7816849962364</c:v>
                </c:pt>
                <c:pt idx="16">
                  <c:v>6392.9758327813233</c:v>
                </c:pt>
                <c:pt idx="17">
                  <c:v>6670.1030112488897</c:v>
                </c:pt>
                <c:pt idx="18">
                  <c:v>6999.4581026512042</c:v>
                </c:pt>
                <c:pt idx="19">
                  <c:v>7385.3332095202113</c:v>
                </c:pt>
                <c:pt idx="20">
                  <c:v>7832.404177914138</c:v>
                </c:pt>
                <c:pt idx="21">
                  <c:v>8345.5577316454328</c:v>
                </c:pt>
                <c:pt idx="22">
                  <c:v>8931.3734273617411</c:v>
                </c:pt>
                <c:pt idx="23">
                  <c:v>9596.5215993032198</c:v>
                </c:pt>
                <c:pt idx="24">
                  <c:v>10348.89592827774</c:v>
                </c:pt>
                <c:pt idx="25">
                  <c:v>11197.175385328399</c:v>
                </c:pt>
                <c:pt idx="26">
                  <c:v>12150.91183340852</c:v>
                </c:pt>
                <c:pt idx="27">
                  <c:v>13221.368413370428</c:v>
                </c:pt>
              </c:numCache>
            </c:numRef>
          </c:xVal>
          <c:yVal>
            <c:numRef>
              <c:f>temp_data!$B$46:$AC$46</c:f>
              <c:numCache>
                <c:formatCode>General</c:formatCode>
                <c:ptCount val="28"/>
                <c:pt idx="0">
                  <c:v>20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140</c:v>
                </c:pt>
                <c:pt idx="5">
                  <c:v>220</c:v>
                </c:pt>
                <c:pt idx="6">
                  <c:v>340</c:v>
                </c:pt>
                <c:pt idx="7">
                  <c:v>510</c:v>
                </c:pt>
                <c:pt idx="8">
                  <c:v>760</c:v>
                </c:pt>
                <c:pt idx="9">
                  <c:v>1140</c:v>
                </c:pt>
                <c:pt idx="10">
                  <c:v>1700</c:v>
                </c:pt>
                <c:pt idx="11">
                  <c:v>2520</c:v>
                </c:pt>
                <c:pt idx="12">
                  <c:v>3710</c:v>
                </c:pt>
                <c:pt idx="13">
                  <c:v>5470</c:v>
                </c:pt>
                <c:pt idx="14">
                  <c:v>8030</c:v>
                </c:pt>
                <c:pt idx="15">
                  <c:v>11770</c:v>
                </c:pt>
                <c:pt idx="16">
                  <c:v>17220</c:v>
                </c:pt>
                <c:pt idx="17">
                  <c:v>25160</c:v>
                </c:pt>
                <c:pt idx="18">
                  <c:v>36710</c:v>
                </c:pt>
                <c:pt idx="19">
                  <c:v>53500</c:v>
                </c:pt>
                <c:pt idx="20">
                  <c:v>77890</c:v>
                </c:pt>
                <c:pt idx="21">
                  <c:v>113290</c:v>
                </c:pt>
                <c:pt idx="22">
                  <c:v>164650</c:v>
                </c:pt>
                <c:pt idx="23">
                  <c:v>239120</c:v>
                </c:pt>
                <c:pt idx="24">
                  <c:v>347050</c:v>
                </c:pt>
                <c:pt idx="25">
                  <c:v>503400</c:v>
                </c:pt>
                <c:pt idx="26">
                  <c:v>729780</c:v>
                </c:pt>
                <c:pt idx="27">
                  <c:v>1057450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7B-FB4D-9F73-BA008AA76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0030751"/>
        <c:axId val="770246383"/>
      </c:scatterChart>
      <c:valAx>
        <c:axId val="770030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SDC Pod Cost [Euro/$]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770246383"/>
        <c:crosses val="autoZero"/>
        <c:crossBetween val="midCat"/>
      </c:valAx>
      <c:valAx>
        <c:axId val="7702463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003075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SDC User Defined Sensitivity Analysis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temp_data!$B$4:$AC$4</c:f>
              <c:numCache>
                <c:formatCode>0</c:formatCode>
                <c:ptCount val="28"/>
                <c:pt idx="0">
                  <c:v>7190</c:v>
                </c:pt>
                <c:pt idx="1">
                  <c:v>6846.3053661779277</c:v>
                </c:pt>
                <c:pt idx="2">
                  <c:v>6195.9607169495002</c:v>
                </c:pt>
                <c:pt idx="3">
                  <c:v>5770.2374364654788</c:v>
                </c:pt>
                <c:pt idx="4">
                  <c:v>5429.0032718554339</c:v>
                </c:pt>
                <c:pt idx="5">
                  <c:v>5037.3751391109417</c:v>
                </c:pt>
                <c:pt idx="6">
                  <c:v>4686.1954079470306</c:v>
                </c:pt>
                <c:pt idx="7">
                  <c:v>4353.352719546665</c:v>
                </c:pt>
                <c:pt idx="8">
                  <c:v>4057.3560324233422</c:v>
                </c:pt>
                <c:pt idx="9">
                  <c:v>3811.7368965384412</c:v>
                </c:pt>
                <c:pt idx="10">
                  <c:v>3565.3749999999991</c:v>
                </c:pt>
                <c:pt idx="11">
                  <c:v>3343.3109109476968</c:v>
                </c:pt>
                <c:pt idx="12">
                  <c:v>3144.4485097657698</c:v>
                </c:pt>
                <c:pt idx="13">
                  <c:v>2960.6033778933656</c:v>
                </c:pt>
                <c:pt idx="14">
                  <c:v>2790.5620677409943</c:v>
                </c:pt>
                <c:pt idx="15">
                  <c:v>2635.3293867929319</c:v>
                </c:pt>
                <c:pt idx="16">
                  <c:v>2492.1016186082816</c:v>
                </c:pt>
                <c:pt idx="17">
                  <c:v>2361.3163678539036</c:v>
                </c:pt>
                <c:pt idx="18">
                  <c:v>2240.9105716727281</c:v>
                </c:pt>
                <c:pt idx="19">
                  <c:v>2129.1226065214464</c:v>
                </c:pt>
                <c:pt idx="20">
                  <c:v>2026.9257812499989</c:v>
                </c:pt>
                <c:pt idx="21">
                  <c:v>1932.5255089362188</c:v>
                </c:pt>
                <c:pt idx="22">
                  <c:v>1845.2612145806393</c:v>
                </c:pt>
                <c:pt idx="23">
                  <c:v>1764.9075873287461</c:v>
                </c:pt>
                <c:pt idx="24">
                  <c:v>1690.714110573816</c:v>
                </c:pt>
                <c:pt idx="25">
                  <c:v>1622.1137638593655</c:v>
                </c:pt>
                <c:pt idx="26">
                  <c:v>1558.7439266347067</c:v>
                </c:pt>
                <c:pt idx="27">
                  <c:v>1500.1201358804394</c:v>
                </c:pt>
              </c:numCache>
            </c:numRef>
          </c:xVal>
          <c:yVal>
            <c:numRef>
              <c:f>temp_data!$B$45:$AC$45</c:f>
              <c:numCache>
                <c:formatCode>General</c:formatCode>
                <c:ptCount val="28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90</c:v>
                </c:pt>
                <c:pt idx="7">
                  <c:v>130</c:v>
                </c:pt>
                <c:pt idx="8">
                  <c:v>190</c:v>
                </c:pt>
                <c:pt idx="9">
                  <c:v>290</c:v>
                </c:pt>
                <c:pt idx="10">
                  <c:v>420</c:v>
                </c:pt>
                <c:pt idx="11">
                  <c:v>610</c:v>
                </c:pt>
                <c:pt idx="12">
                  <c:v>890</c:v>
                </c:pt>
                <c:pt idx="13">
                  <c:v>1290</c:v>
                </c:pt>
                <c:pt idx="14">
                  <c:v>1860</c:v>
                </c:pt>
                <c:pt idx="15">
                  <c:v>2680</c:v>
                </c:pt>
                <c:pt idx="16">
                  <c:v>3850</c:v>
                </c:pt>
                <c:pt idx="17">
                  <c:v>5530</c:v>
                </c:pt>
                <c:pt idx="18">
                  <c:v>7930</c:v>
                </c:pt>
                <c:pt idx="19">
                  <c:v>11340</c:v>
                </c:pt>
                <c:pt idx="20">
                  <c:v>16220</c:v>
                </c:pt>
                <c:pt idx="21">
                  <c:v>23170</c:v>
                </c:pt>
                <c:pt idx="22">
                  <c:v>33060</c:v>
                </c:pt>
                <c:pt idx="23">
                  <c:v>47150</c:v>
                </c:pt>
                <c:pt idx="24">
                  <c:v>67200</c:v>
                </c:pt>
                <c:pt idx="25">
                  <c:v>95710</c:v>
                </c:pt>
                <c:pt idx="26">
                  <c:v>136250</c:v>
                </c:pt>
                <c:pt idx="27">
                  <c:v>193860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6D-A147-B463-CF5361115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537567"/>
        <c:axId val="943357471"/>
      </c:scatterChart>
      <c:valAx>
        <c:axId val="9545375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SDC Pod Cost [Euro/$]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943357471"/>
        <c:crosses val="autoZero"/>
        <c:crossBetween val="midCat"/>
      </c:valAx>
      <c:valAx>
        <c:axId val="9433574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4537567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SDC User Defined Sensitivity Analysis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temp_data!$B$5:$AC$5</c:f>
              <c:numCache>
                <c:formatCode>0</c:formatCode>
                <c:ptCount val="28"/>
                <c:pt idx="0">
                  <c:v>7902</c:v>
                </c:pt>
                <c:pt idx="1">
                  <c:v>7334.1318075753752</c:v>
                </c:pt>
                <c:pt idx="2">
                  <c:v>7119.3352393790319</c:v>
                </c:pt>
                <c:pt idx="3">
                  <c:v>6713.1915454760965</c:v>
                </c:pt>
                <c:pt idx="4">
                  <c:v>6418.4622097921911</c:v>
                </c:pt>
                <c:pt idx="5">
                  <c:v>6208.9324602189299</c:v>
                </c:pt>
                <c:pt idx="6">
                  <c:v>6041.942334627076</c:v>
                </c:pt>
                <c:pt idx="7">
                  <c:v>5880.7240667381229</c:v>
                </c:pt>
                <c:pt idx="8">
                  <c:v>5758.5219269158661</c:v>
                </c:pt>
                <c:pt idx="9">
                  <c:v>5702.5077460143093</c:v>
                </c:pt>
                <c:pt idx="10">
                  <c:v>5684.8445197787878</c:v>
                </c:pt>
                <c:pt idx="11">
                  <c:v>5702.1309934179808</c:v>
                </c:pt>
                <c:pt idx="12">
                  <c:v>5748.4251801916926</c:v>
                </c:pt>
                <c:pt idx="13">
                  <c:v>5848.6293480383974</c:v>
                </c:pt>
                <c:pt idx="14">
                  <c:v>5984.3867467392029</c:v>
                </c:pt>
                <c:pt idx="15">
                  <c:v>6165.7816849962364</c:v>
                </c:pt>
                <c:pt idx="16">
                  <c:v>6392.9758327813233</c:v>
                </c:pt>
                <c:pt idx="17">
                  <c:v>6670.1030112488897</c:v>
                </c:pt>
                <c:pt idx="18">
                  <c:v>6999.4581026512042</c:v>
                </c:pt>
                <c:pt idx="19">
                  <c:v>7385.3332095202113</c:v>
                </c:pt>
                <c:pt idx="20">
                  <c:v>7832.404177914138</c:v>
                </c:pt>
                <c:pt idx="21">
                  <c:v>8345.5577316454328</c:v>
                </c:pt>
                <c:pt idx="22">
                  <c:v>8931.3734273617411</c:v>
                </c:pt>
                <c:pt idx="23">
                  <c:v>9596.5215993032198</c:v>
                </c:pt>
                <c:pt idx="24">
                  <c:v>10348.89592827774</c:v>
                </c:pt>
                <c:pt idx="25">
                  <c:v>11197.175385328399</c:v>
                </c:pt>
                <c:pt idx="26">
                  <c:v>12150.91183340852</c:v>
                </c:pt>
                <c:pt idx="27">
                  <c:v>13221.368413370428</c:v>
                </c:pt>
              </c:numCache>
            </c:numRef>
          </c:xVal>
          <c:yVal>
            <c:numRef>
              <c:f>temp_data!$B$46:$AC$46</c:f>
              <c:numCache>
                <c:formatCode>General</c:formatCode>
                <c:ptCount val="28"/>
                <c:pt idx="0">
                  <c:v>20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140</c:v>
                </c:pt>
                <c:pt idx="5">
                  <c:v>220</c:v>
                </c:pt>
                <c:pt idx="6">
                  <c:v>340</c:v>
                </c:pt>
                <c:pt idx="7">
                  <c:v>510</c:v>
                </c:pt>
                <c:pt idx="8">
                  <c:v>760</c:v>
                </c:pt>
                <c:pt idx="9">
                  <c:v>1140</c:v>
                </c:pt>
                <c:pt idx="10">
                  <c:v>1700</c:v>
                </c:pt>
                <c:pt idx="11">
                  <c:v>2520</c:v>
                </c:pt>
                <c:pt idx="12">
                  <c:v>3710</c:v>
                </c:pt>
                <c:pt idx="13">
                  <c:v>5470</c:v>
                </c:pt>
                <c:pt idx="14">
                  <c:v>8030</c:v>
                </c:pt>
                <c:pt idx="15">
                  <c:v>11770</c:v>
                </c:pt>
                <c:pt idx="16">
                  <c:v>17220</c:v>
                </c:pt>
                <c:pt idx="17">
                  <c:v>25160</c:v>
                </c:pt>
                <c:pt idx="18">
                  <c:v>36710</c:v>
                </c:pt>
                <c:pt idx="19">
                  <c:v>53500</c:v>
                </c:pt>
                <c:pt idx="20">
                  <c:v>77890</c:v>
                </c:pt>
                <c:pt idx="21">
                  <c:v>113290</c:v>
                </c:pt>
                <c:pt idx="22">
                  <c:v>164650</c:v>
                </c:pt>
                <c:pt idx="23">
                  <c:v>239120</c:v>
                </c:pt>
                <c:pt idx="24">
                  <c:v>347050</c:v>
                </c:pt>
                <c:pt idx="25">
                  <c:v>503400</c:v>
                </c:pt>
                <c:pt idx="26">
                  <c:v>729780</c:v>
                </c:pt>
                <c:pt idx="27">
                  <c:v>1057450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72-8C41-A3A1-E4B9A4499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679887"/>
        <c:axId val="983832735"/>
      </c:scatterChart>
      <c:valAx>
        <c:axId val="9526798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SDC Pod Cost [Euro/$]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983832735"/>
        <c:crosses val="autoZero"/>
        <c:crossBetween val="midCat"/>
      </c:valAx>
      <c:valAx>
        <c:axId val="9838327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2679887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SDC User Defined Sensitivity Analysis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temp_data!$B$7:$AC$7</c:f>
              <c:numCache>
                <c:formatCode>0</c:formatCode>
                <c:ptCount val="28"/>
                <c:pt idx="0">
                  <c:v>9026</c:v>
                </c:pt>
                <c:pt idx="1">
                  <c:v>8939.341438490108</c:v>
                </c:pt>
                <c:pt idx="2">
                  <c:v>8593.9607169494993</c:v>
                </c:pt>
                <c:pt idx="3">
                  <c:v>8296.0228588638256</c:v>
                </c:pt>
                <c:pt idx="4">
                  <c:v>8083.0032718554321</c:v>
                </c:pt>
                <c:pt idx="5">
                  <c:v>7906.4609037753562</c:v>
                </c:pt>
                <c:pt idx="6">
                  <c:v>7710.1954079470288</c:v>
                </c:pt>
                <c:pt idx="7">
                  <c:v>7538.1616620108725</c:v>
                </c:pt>
                <c:pt idx="8">
                  <c:v>7381.1060324233395</c:v>
                </c:pt>
                <c:pt idx="9">
                  <c:v>7240.2325134690627</c:v>
                </c:pt>
                <c:pt idx="10">
                  <c:v>7096.5624999999964</c:v>
                </c:pt>
                <c:pt idx="11">
                  <c:v>6974.7903682526812</c:v>
                </c:pt>
                <c:pt idx="12">
                  <c:v>6863.8547597657653</c:v>
                </c:pt>
                <c:pt idx="13">
                  <c:v>6756.7724239540785</c:v>
                </c:pt>
                <c:pt idx="14">
                  <c:v>6661.4995677409906</c:v>
                </c:pt>
                <c:pt idx="15">
                  <c:v>6574.731750217743</c:v>
                </c:pt>
                <c:pt idx="16">
                  <c:v>6494.2266186082761</c:v>
                </c:pt>
                <c:pt idx="17">
                  <c:v>6420.2694957447929</c:v>
                </c:pt>
                <c:pt idx="18">
                  <c:v>6352.0980716727208</c:v>
                </c:pt>
                <c:pt idx="19">
                  <c:v>6289.437834213908</c:v>
                </c:pt>
                <c:pt idx="20">
                  <c:v>6232.0156249999927</c:v>
                </c:pt>
                <c:pt idx="21">
                  <c:v>6179.2610624738918</c:v>
                </c:pt>
                <c:pt idx="22">
                  <c:v>6130.6967614556315</c:v>
                </c:pt>
                <c:pt idx="23">
                  <c:v>6086.1835203605224</c:v>
                </c:pt>
                <c:pt idx="24">
                  <c:v>6045.2316886988083</c:v>
                </c:pt>
                <c:pt idx="25">
                  <c:v>6007.5689594923615</c:v>
                </c:pt>
                <c:pt idx="26">
                  <c:v>5973.0100399159473</c:v>
                </c:pt>
                <c:pt idx="27">
                  <c:v>5941.181442293243</c:v>
                </c:pt>
              </c:numCache>
            </c:numRef>
          </c:xVal>
          <c:yVal>
            <c:numRef>
              <c:f>temp_data!$B$48:$AC$48</c:f>
              <c:numCache>
                <c:formatCode>General</c:formatCode>
                <c:ptCount val="28"/>
                <c:pt idx="0">
                  <c:v>60</c:v>
                </c:pt>
                <c:pt idx="1">
                  <c:v>110</c:v>
                </c:pt>
                <c:pt idx="2">
                  <c:v>170</c:v>
                </c:pt>
                <c:pt idx="3">
                  <c:v>260</c:v>
                </c:pt>
                <c:pt idx="4">
                  <c:v>400</c:v>
                </c:pt>
                <c:pt idx="5">
                  <c:v>610</c:v>
                </c:pt>
                <c:pt idx="6">
                  <c:v>910</c:v>
                </c:pt>
                <c:pt idx="7">
                  <c:v>1350</c:v>
                </c:pt>
                <c:pt idx="8">
                  <c:v>1990</c:v>
                </c:pt>
                <c:pt idx="9">
                  <c:v>2920</c:v>
                </c:pt>
                <c:pt idx="10">
                  <c:v>4250</c:v>
                </c:pt>
                <c:pt idx="11">
                  <c:v>6180</c:v>
                </c:pt>
                <c:pt idx="12">
                  <c:v>8960</c:v>
                </c:pt>
                <c:pt idx="13">
                  <c:v>12940</c:v>
                </c:pt>
                <c:pt idx="14">
                  <c:v>18660</c:v>
                </c:pt>
                <c:pt idx="15">
                  <c:v>26860</c:v>
                </c:pt>
                <c:pt idx="16">
                  <c:v>38590</c:v>
                </c:pt>
                <c:pt idx="17">
                  <c:v>55360</c:v>
                </c:pt>
                <c:pt idx="18">
                  <c:v>79310</c:v>
                </c:pt>
                <c:pt idx="19">
                  <c:v>113490</c:v>
                </c:pt>
                <c:pt idx="20">
                  <c:v>162240</c:v>
                </c:pt>
                <c:pt idx="21">
                  <c:v>231720</c:v>
                </c:pt>
                <c:pt idx="22">
                  <c:v>330680</c:v>
                </c:pt>
                <c:pt idx="23">
                  <c:v>471570</c:v>
                </c:pt>
                <c:pt idx="24">
                  <c:v>672040</c:v>
                </c:pt>
                <c:pt idx="25">
                  <c:v>957160</c:v>
                </c:pt>
                <c:pt idx="26">
                  <c:v>1362530</c:v>
                </c:pt>
                <c:pt idx="27">
                  <c:v>1938610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38-BC4B-8698-B632B554A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9255535"/>
        <c:axId val="955132815"/>
      </c:scatterChart>
      <c:valAx>
        <c:axId val="9892555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SDC Pod Cost [Euro/$]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955132815"/>
        <c:crosses val="autoZero"/>
        <c:crossBetween val="midCat"/>
      </c:valAx>
      <c:valAx>
        <c:axId val="9551328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8925553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Cost Comparison - Edge Compute to compress 1000x vs. Raw-Data Downlink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>
        <c:manualLayout>
          <c:layoutTarget val="inner"/>
          <c:xMode val="edge"/>
          <c:yMode val="edge"/>
          <c:x val="7.3851092577924798E-2"/>
          <c:y val="8.1516483516483523E-2"/>
          <c:w val="0.9082554162978147"/>
          <c:h val="0.7862507683751427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EdgeAI_vs_Download!$A$8</c:f>
              <c:strCache>
                <c:ptCount val="1"/>
                <c:pt idx="0">
                  <c:v>Total Number of Satellites in Orbit (Statista reconstruction)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EdgeAI_vs_Download!$B$7:$CR$7</c:f>
              <c:numCache>
                <c:formatCode>General</c:formatCode>
                <c:ptCount val="95"/>
                <c:pt idx="1">
                  <c:v>1957</c:v>
                </c:pt>
                <c:pt idx="2">
                  <c:v>1958</c:v>
                </c:pt>
                <c:pt idx="3">
                  <c:v>1959</c:v>
                </c:pt>
                <c:pt idx="4">
                  <c:v>1960</c:v>
                </c:pt>
                <c:pt idx="5">
                  <c:v>1961</c:v>
                </c:pt>
                <c:pt idx="6">
                  <c:v>1962</c:v>
                </c:pt>
                <c:pt idx="7">
                  <c:v>1963</c:v>
                </c:pt>
                <c:pt idx="8">
                  <c:v>1964</c:v>
                </c:pt>
                <c:pt idx="9">
                  <c:v>1965</c:v>
                </c:pt>
                <c:pt idx="10">
                  <c:v>1966</c:v>
                </c:pt>
                <c:pt idx="11">
                  <c:v>1967</c:v>
                </c:pt>
                <c:pt idx="12">
                  <c:v>1968</c:v>
                </c:pt>
                <c:pt idx="13">
                  <c:v>1969</c:v>
                </c:pt>
                <c:pt idx="14">
                  <c:v>1970</c:v>
                </c:pt>
                <c:pt idx="15">
                  <c:v>1971</c:v>
                </c:pt>
                <c:pt idx="16">
                  <c:v>1972</c:v>
                </c:pt>
                <c:pt idx="17">
                  <c:v>1973</c:v>
                </c:pt>
                <c:pt idx="18">
                  <c:v>1974</c:v>
                </c:pt>
                <c:pt idx="19">
                  <c:v>1975</c:v>
                </c:pt>
                <c:pt idx="20">
                  <c:v>1976</c:v>
                </c:pt>
                <c:pt idx="21">
                  <c:v>1977</c:v>
                </c:pt>
                <c:pt idx="22">
                  <c:v>1978</c:v>
                </c:pt>
                <c:pt idx="23">
                  <c:v>1979</c:v>
                </c:pt>
                <c:pt idx="24">
                  <c:v>1980</c:v>
                </c:pt>
                <c:pt idx="25">
                  <c:v>1981</c:v>
                </c:pt>
                <c:pt idx="26">
                  <c:v>1982</c:v>
                </c:pt>
                <c:pt idx="27">
                  <c:v>1983</c:v>
                </c:pt>
                <c:pt idx="28">
                  <c:v>1984</c:v>
                </c:pt>
                <c:pt idx="29">
                  <c:v>1985</c:v>
                </c:pt>
                <c:pt idx="30">
                  <c:v>1986</c:v>
                </c:pt>
                <c:pt idx="31">
                  <c:v>1987</c:v>
                </c:pt>
                <c:pt idx="32">
                  <c:v>1988</c:v>
                </c:pt>
                <c:pt idx="33">
                  <c:v>1989</c:v>
                </c:pt>
                <c:pt idx="34">
                  <c:v>1990</c:v>
                </c:pt>
                <c:pt idx="35">
                  <c:v>1991</c:v>
                </c:pt>
                <c:pt idx="36">
                  <c:v>1992</c:v>
                </c:pt>
                <c:pt idx="37">
                  <c:v>1993</c:v>
                </c:pt>
                <c:pt idx="38">
                  <c:v>1994</c:v>
                </c:pt>
                <c:pt idx="39">
                  <c:v>1995</c:v>
                </c:pt>
                <c:pt idx="40">
                  <c:v>1996</c:v>
                </c:pt>
                <c:pt idx="41">
                  <c:v>1997</c:v>
                </c:pt>
                <c:pt idx="42">
                  <c:v>1998</c:v>
                </c:pt>
                <c:pt idx="43">
                  <c:v>1999</c:v>
                </c:pt>
                <c:pt idx="44">
                  <c:v>2000</c:v>
                </c:pt>
                <c:pt idx="45">
                  <c:v>2001</c:v>
                </c:pt>
                <c:pt idx="46">
                  <c:v>2002</c:v>
                </c:pt>
                <c:pt idx="47">
                  <c:v>2003</c:v>
                </c:pt>
                <c:pt idx="48">
                  <c:v>2004</c:v>
                </c:pt>
                <c:pt idx="49">
                  <c:v>2005</c:v>
                </c:pt>
                <c:pt idx="50">
                  <c:v>2006</c:v>
                </c:pt>
                <c:pt idx="51">
                  <c:v>2007</c:v>
                </c:pt>
                <c:pt idx="52">
                  <c:v>2008</c:v>
                </c:pt>
                <c:pt idx="53">
                  <c:v>2009</c:v>
                </c:pt>
                <c:pt idx="54">
                  <c:v>2010</c:v>
                </c:pt>
                <c:pt idx="55">
                  <c:v>2011</c:v>
                </c:pt>
                <c:pt idx="56">
                  <c:v>2012</c:v>
                </c:pt>
                <c:pt idx="57">
                  <c:v>2013</c:v>
                </c:pt>
                <c:pt idx="58">
                  <c:v>2014</c:v>
                </c:pt>
                <c:pt idx="59">
                  <c:v>2015</c:v>
                </c:pt>
                <c:pt idx="60">
                  <c:v>2016</c:v>
                </c:pt>
                <c:pt idx="61">
                  <c:v>2017</c:v>
                </c:pt>
                <c:pt idx="62">
                  <c:v>2018</c:v>
                </c:pt>
                <c:pt idx="63">
                  <c:v>2019</c:v>
                </c:pt>
                <c:pt idx="64">
                  <c:v>2020</c:v>
                </c:pt>
                <c:pt idx="65">
                  <c:v>2021</c:v>
                </c:pt>
                <c:pt idx="66">
                  <c:v>2022</c:v>
                </c:pt>
                <c:pt idx="67">
                  <c:v>2023</c:v>
                </c:pt>
                <c:pt idx="68">
                  <c:v>2024</c:v>
                </c:pt>
                <c:pt idx="69">
                  <c:v>2025</c:v>
                </c:pt>
                <c:pt idx="70">
                  <c:v>2026</c:v>
                </c:pt>
                <c:pt idx="71">
                  <c:v>2027</c:v>
                </c:pt>
                <c:pt idx="72">
                  <c:v>2028</c:v>
                </c:pt>
                <c:pt idx="73">
                  <c:v>2029</c:v>
                </c:pt>
                <c:pt idx="74">
                  <c:v>2030</c:v>
                </c:pt>
                <c:pt idx="75">
                  <c:v>2031</c:v>
                </c:pt>
                <c:pt idx="76">
                  <c:v>2032</c:v>
                </c:pt>
                <c:pt idx="77">
                  <c:v>2033</c:v>
                </c:pt>
                <c:pt idx="78">
                  <c:v>2034</c:v>
                </c:pt>
                <c:pt idx="79">
                  <c:v>2035</c:v>
                </c:pt>
                <c:pt idx="80">
                  <c:v>2036</c:v>
                </c:pt>
                <c:pt idx="81">
                  <c:v>2037</c:v>
                </c:pt>
                <c:pt idx="82">
                  <c:v>2038</c:v>
                </c:pt>
                <c:pt idx="83">
                  <c:v>2039</c:v>
                </c:pt>
                <c:pt idx="84">
                  <c:v>2040</c:v>
                </c:pt>
                <c:pt idx="85">
                  <c:v>2041</c:v>
                </c:pt>
                <c:pt idx="86">
                  <c:v>2042</c:v>
                </c:pt>
                <c:pt idx="87">
                  <c:v>2043</c:v>
                </c:pt>
                <c:pt idx="88">
                  <c:v>2044</c:v>
                </c:pt>
                <c:pt idx="89">
                  <c:v>2045</c:v>
                </c:pt>
                <c:pt idx="90">
                  <c:v>2046</c:v>
                </c:pt>
                <c:pt idx="91">
                  <c:v>2047</c:v>
                </c:pt>
                <c:pt idx="92">
                  <c:v>2048</c:v>
                </c:pt>
                <c:pt idx="93">
                  <c:v>2049</c:v>
                </c:pt>
                <c:pt idx="94">
                  <c:v>2050</c:v>
                </c:pt>
              </c:numCache>
            </c:numRef>
          </c:xVal>
          <c:yVal>
            <c:numRef>
              <c:f>EdgeAI_vs_Download!$B$8:$CR$8</c:f>
              <c:numCache>
                <c:formatCode>General</c:formatCode>
                <c:ptCount val="95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9</c:v>
                </c:pt>
                <c:pt idx="6">
                  <c:v>22</c:v>
                </c:pt>
                <c:pt idx="7">
                  <c:v>26</c:v>
                </c:pt>
                <c:pt idx="8">
                  <c:v>52</c:v>
                </c:pt>
                <c:pt idx="9">
                  <c:v>92</c:v>
                </c:pt>
                <c:pt idx="10">
                  <c:v>104</c:v>
                </c:pt>
                <c:pt idx="11">
                  <c:v>115</c:v>
                </c:pt>
                <c:pt idx="12">
                  <c:v>145</c:v>
                </c:pt>
                <c:pt idx="13">
                  <c:v>159</c:v>
                </c:pt>
                <c:pt idx="14">
                  <c:v>162</c:v>
                </c:pt>
                <c:pt idx="15">
                  <c:v>195</c:v>
                </c:pt>
                <c:pt idx="16">
                  <c:v>187</c:v>
                </c:pt>
                <c:pt idx="17">
                  <c:v>199</c:v>
                </c:pt>
                <c:pt idx="18">
                  <c:v>203</c:v>
                </c:pt>
                <c:pt idx="19">
                  <c:v>232</c:v>
                </c:pt>
                <c:pt idx="20">
                  <c:v>258</c:v>
                </c:pt>
                <c:pt idx="21">
                  <c:v>269</c:v>
                </c:pt>
                <c:pt idx="22">
                  <c:v>307</c:v>
                </c:pt>
                <c:pt idx="23">
                  <c:v>312</c:v>
                </c:pt>
                <c:pt idx="24">
                  <c:v>318</c:v>
                </c:pt>
                <c:pt idx="25">
                  <c:v>335</c:v>
                </c:pt>
                <c:pt idx="26">
                  <c:v>338</c:v>
                </c:pt>
                <c:pt idx="27">
                  <c:v>359</c:v>
                </c:pt>
                <c:pt idx="28">
                  <c:v>372</c:v>
                </c:pt>
                <c:pt idx="29">
                  <c:v>388</c:v>
                </c:pt>
                <c:pt idx="30">
                  <c:v>399</c:v>
                </c:pt>
                <c:pt idx="31">
                  <c:v>414</c:v>
                </c:pt>
                <c:pt idx="32">
                  <c:v>420</c:v>
                </c:pt>
                <c:pt idx="33">
                  <c:v>416</c:v>
                </c:pt>
                <c:pt idx="34">
                  <c:v>464</c:v>
                </c:pt>
                <c:pt idx="35">
                  <c:v>492</c:v>
                </c:pt>
                <c:pt idx="36">
                  <c:v>513</c:v>
                </c:pt>
                <c:pt idx="37">
                  <c:v>513</c:v>
                </c:pt>
                <c:pt idx="38">
                  <c:v>533</c:v>
                </c:pt>
                <c:pt idx="39">
                  <c:v>537</c:v>
                </c:pt>
                <c:pt idx="40">
                  <c:v>541</c:v>
                </c:pt>
                <c:pt idx="41">
                  <c:v>598</c:v>
                </c:pt>
                <c:pt idx="42">
                  <c:v>673</c:v>
                </c:pt>
                <c:pt idx="43">
                  <c:v>726</c:v>
                </c:pt>
                <c:pt idx="44">
                  <c:v>769</c:v>
                </c:pt>
                <c:pt idx="45">
                  <c:v>771</c:v>
                </c:pt>
                <c:pt idx="46">
                  <c:v>806</c:v>
                </c:pt>
                <c:pt idx="47">
                  <c:v>830</c:v>
                </c:pt>
                <c:pt idx="48">
                  <c:v>852</c:v>
                </c:pt>
                <c:pt idx="49">
                  <c:v>854</c:v>
                </c:pt>
                <c:pt idx="50">
                  <c:v>873</c:v>
                </c:pt>
                <c:pt idx="51">
                  <c:v>912</c:v>
                </c:pt>
                <c:pt idx="52">
                  <c:v>948</c:v>
                </c:pt>
                <c:pt idx="53">
                  <c:v>986</c:v>
                </c:pt>
                <c:pt idx="54">
                  <c:v>997</c:v>
                </c:pt>
                <c:pt idx="55">
                  <c:v>1033</c:v>
                </c:pt>
                <c:pt idx="56">
                  <c:v>1091</c:v>
                </c:pt>
                <c:pt idx="57">
                  <c:v>1187</c:v>
                </c:pt>
                <c:pt idx="58">
                  <c:v>1262</c:v>
                </c:pt>
                <c:pt idx="59">
                  <c:v>1364</c:v>
                </c:pt>
                <c:pt idx="60">
                  <c:v>1462</c:v>
                </c:pt>
                <c:pt idx="61">
                  <c:v>1778</c:v>
                </c:pt>
                <c:pt idx="62">
                  <c:v>2027</c:v>
                </c:pt>
                <c:pt idx="63">
                  <c:v>2272</c:v>
                </c:pt>
                <c:pt idx="64">
                  <c:v>3256</c:v>
                </c:pt>
                <c:pt idx="65">
                  <c:v>4800</c:v>
                </c:pt>
                <c:pt idx="66">
                  <c:v>6905</c:v>
                </c:pt>
                <c:pt idx="67" formatCode="0">
                  <c:v>8211.4751290937893</c:v>
                </c:pt>
                <c:pt idx="68" formatCode="0">
                  <c:v>9765.1446481862222</c:v>
                </c:pt>
                <c:pt idx="69" formatCode="0">
                  <c:v>11612.779494653798</c:v>
                </c:pt>
                <c:pt idx="70" formatCode="0">
                  <c:v>13810</c:v>
                </c:pt>
                <c:pt idx="71" formatCode="0">
                  <c:v>16422.950258187579</c:v>
                </c:pt>
                <c:pt idx="72" formatCode="0">
                  <c:v>19530.289296372444</c:v>
                </c:pt>
                <c:pt idx="73" formatCode="0">
                  <c:v>23225.558989307596</c:v>
                </c:pt>
                <c:pt idx="74" formatCode="0">
                  <c:v>27620</c:v>
                </c:pt>
                <c:pt idx="75" formatCode="0">
                  <c:v>32845.900516375157</c:v>
                </c:pt>
                <c:pt idx="76" formatCode="0">
                  <c:v>39060.578592744889</c:v>
                </c:pt>
                <c:pt idx="77" formatCode="0">
                  <c:v>46451.117978615192</c:v>
                </c:pt>
                <c:pt idx="78" formatCode="0">
                  <c:v>55240</c:v>
                </c:pt>
                <c:pt idx="79" formatCode="0">
                  <c:v>65691.801032750314</c:v>
                </c:pt>
                <c:pt idx="80" formatCode="0">
                  <c:v>78121.157185489777</c:v>
                </c:pt>
                <c:pt idx="81" formatCode="0">
                  <c:v>92902.235957230383</c:v>
                </c:pt>
                <c:pt idx="82" formatCode="0">
                  <c:v>110480</c:v>
                </c:pt>
                <c:pt idx="83" formatCode="0">
                  <c:v>131383.60206550063</c:v>
                </c:pt>
                <c:pt idx="84" formatCode="0">
                  <c:v>156242.31437097955</c:v>
                </c:pt>
                <c:pt idx="85" formatCode="0">
                  <c:v>185804.47191446077</c:v>
                </c:pt>
                <c:pt idx="86" formatCode="0">
                  <c:v>220960</c:v>
                </c:pt>
                <c:pt idx="87" formatCode="0">
                  <c:v>262767.20413100126</c:v>
                </c:pt>
                <c:pt idx="88" formatCode="0">
                  <c:v>312484.62874195911</c:v>
                </c:pt>
                <c:pt idx="89" formatCode="0">
                  <c:v>371608.94382892153</c:v>
                </c:pt>
                <c:pt idx="90" formatCode="0">
                  <c:v>441920</c:v>
                </c:pt>
                <c:pt idx="91" formatCode="0">
                  <c:v>525534.40826200251</c:v>
                </c:pt>
                <c:pt idx="92" formatCode="0">
                  <c:v>624969.25748391822</c:v>
                </c:pt>
                <c:pt idx="93" formatCode="0">
                  <c:v>743217.88765784306</c:v>
                </c:pt>
                <c:pt idx="94" formatCode="0">
                  <c:v>883840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A3-D44D-9EA2-7DE6CAD33ACE}"/>
            </c:ext>
          </c:extLst>
        </c:ser>
        <c:ser>
          <c:idx val="1"/>
          <c:order val="1"/>
          <c:tx>
            <c:strRef>
              <c:f>EdgeAI_vs_Download!$A$11</c:f>
              <c:strCache>
                <c:ptCount val="1"/>
                <c:pt idx="0">
                  <c:v>Data produced per EO Satellite [GB/s]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EdgeAI_vs_Download!$B$7:$CR$7</c:f>
              <c:numCache>
                <c:formatCode>General</c:formatCode>
                <c:ptCount val="95"/>
                <c:pt idx="1">
                  <c:v>1957</c:v>
                </c:pt>
                <c:pt idx="2">
                  <c:v>1958</c:v>
                </c:pt>
                <c:pt idx="3">
                  <c:v>1959</c:v>
                </c:pt>
                <c:pt idx="4">
                  <c:v>1960</c:v>
                </c:pt>
                <c:pt idx="5">
                  <c:v>1961</c:v>
                </c:pt>
                <c:pt idx="6">
                  <c:v>1962</c:v>
                </c:pt>
                <c:pt idx="7">
                  <c:v>1963</c:v>
                </c:pt>
                <c:pt idx="8">
                  <c:v>1964</c:v>
                </c:pt>
                <c:pt idx="9">
                  <c:v>1965</c:v>
                </c:pt>
                <c:pt idx="10">
                  <c:v>1966</c:v>
                </c:pt>
                <c:pt idx="11">
                  <c:v>1967</c:v>
                </c:pt>
                <c:pt idx="12">
                  <c:v>1968</c:v>
                </c:pt>
                <c:pt idx="13">
                  <c:v>1969</c:v>
                </c:pt>
                <c:pt idx="14">
                  <c:v>1970</c:v>
                </c:pt>
                <c:pt idx="15">
                  <c:v>1971</c:v>
                </c:pt>
                <c:pt idx="16">
                  <c:v>1972</c:v>
                </c:pt>
                <c:pt idx="17">
                  <c:v>1973</c:v>
                </c:pt>
                <c:pt idx="18">
                  <c:v>1974</c:v>
                </c:pt>
                <c:pt idx="19">
                  <c:v>1975</c:v>
                </c:pt>
                <c:pt idx="20">
                  <c:v>1976</c:v>
                </c:pt>
                <c:pt idx="21">
                  <c:v>1977</c:v>
                </c:pt>
                <c:pt idx="22">
                  <c:v>1978</c:v>
                </c:pt>
                <c:pt idx="23">
                  <c:v>1979</c:v>
                </c:pt>
                <c:pt idx="24">
                  <c:v>1980</c:v>
                </c:pt>
                <c:pt idx="25">
                  <c:v>1981</c:v>
                </c:pt>
                <c:pt idx="26">
                  <c:v>1982</c:v>
                </c:pt>
                <c:pt idx="27">
                  <c:v>1983</c:v>
                </c:pt>
                <c:pt idx="28">
                  <c:v>1984</c:v>
                </c:pt>
                <c:pt idx="29">
                  <c:v>1985</c:v>
                </c:pt>
                <c:pt idx="30">
                  <c:v>1986</c:v>
                </c:pt>
                <c:pt idx="31">
                  <c:v>1987</c:v>
                </c:pt>
                <c:pt idx="32">
                  <c:v>1988</c:v>
                </c:pt>
                <c:pt idx="33">
                  <c:v>1989</c:v>
                </c:pt>
                <c:pt idx="34">
                  <c:v>1990</c:v>
                </c:pt>
                <c:pt idx="35">
                  <c:v>1991</c:v>
                </c:pt>
                <c:pt idx="36">
                  <c:v>1992</c:v>
                </c:pt>
                <c:pt idx="37">
                  <c:v>1993</c:v>
                </c:pt>
                <c:pt idx="38">
                  <c:v>1994</c:v>
                </c:pt>
                <c:pt idx="39">
                  <c:v>1995</c:v>
                </c:pt>
                <c:pt idx="40">
                  <c:v>1996</c:v>
                </c:pt>
                <c:pt idx="41">
                  <c:v>1997</c:v>
                </c:pt>
                <c:pt idx="42">
                  <c:v>1998</c:v>
                </c:pt>
                <c:pt idx="43">
                  <c:v>1999</c:v>
                </c:pt>
                <c:pt idx="44">
                  <c:v>2000</c:v>
                </c:pt>
                <c:pt idx="45">
                  <c:v>2001</c:v>
                </c:pt>
                <c:pt idx="46">
                  <c:v>2002</c:v>
                </c:pt>
                <c:pt idx="47">
                  <c:v>2003</c:v>
                </c:pt>
                <c:pt idx="48">
                  <c:v>2004</c:v>
                </c:pt>
                <c:pt idx="49">
                  <c:v>2005</c:v>
                </c:pt>
                <c:pt idx="50">
                  <c:v>2006</c:v>
                </c:pt>
                <c:pt idx="51">
                  <c:v>2007</c:v>
                </c:pt>
                <c:pt idx="52">
                  <c:v>2008</c:v>
                </c:pt>
                <c:pt idx="53">
                  <c:v>2009</c:v>
                </c:pt>
                <c:pt idx="54">
                  <c:v>2010</c:v>
                </c:pt>
                <c:pt idx="55">
                  <c:v>2011</c:v>
                </c:pt>
                <c:pt idx="56">
                  <c:v>2012</c:v>
                </c:pt>
                <c:pt idx="57">
                  <c:v>2013</c:v>
                </c:pt>
                <c:pt idx="58">
                  <c:v>2014</c:v>
                </c:pt>
                <c:pt idx="59">
                  <c:v>2015</c:v>
                </c:pt>
                <c:pt idx="60">
                  <c:v>2016</c:v>
                </c:pt>
                <c:pt idx="61">
                  <c:v>2017</c:v>
                </c:pt>
                <c:pt idx="62">
                  <c:v>2018</c:v>
                </c:pt>
                <c:pt idx="63">
                  <c:v>2019</c:v>
                </c:pt>
                <c:pt idx="64">
                  <c:v>2020</c:v>
                </c:pt>
                <c:pt idx="65">
                  <c:v>2021</c:v>
                </c:pt>
                <c:pt idx="66">
                  <c:v>2022</c:v>
                </c:pt>
                <c:pt idx="67">
                  <c:v>2023</c:v>
                </c:pt>
                <c:pt idx="68">
                  <c:v>2024</c:v>
                </c:pt>
                <c:pt idx="69">
                  <c:v>2025</c:v>
                </c:pt>
                <c:pt idx="70">
                  <c:v>2026</c:v>
                </c:pt>
                <c:pt idx="71">
                  <c:v>2027</c:v>
                </c:pt>
                <c:pt idx="72">
                  <c:v>2028</c:v>
                </c:pt>
                <c:pt idx="73">
                  <c:v>2029</c:v>
                </c:pt>
                <c:pt idx="74">
                  <c:v>2030</c:v>
                </c:pt>
                <c:pt idx="75">
                  <c:v>2031</c:v>
                </c:pt>
                <c:pt idx="76">
                  <c:v>2032</c:v>
                </c:pt>
                <c:pt idx="77">
                  <c:v>2033</c:v>
                </c:pt>
                <c:pt idx="78">
                  <c:v>2034</c:v>
                </c:pt>
                <c:pt idx="79">
                  <c:v>2035</c:v>
                </c:pt>
                <c:pt idx="80">
                  <c:v>2036</c:v>
                </c:pt>
                <c:pt idx="81">
                  <c:v>2037</c:v>
                </c:pt>
                <c:pt idx="82">
                  <c:v>2038</c:v>
                </c:pt>
                <c:pt idx="83">
                  <c:v>2039</c:v>
                </c:pt>
                <c:pt idx="84">
                  <c:v>2040</c:v>
                </c:pt>
                <c:pt idx="85">
                  <c:v>2041</c:v>
                </c:pt>
                <c:pt idx="86">
                  <c:v>2042</c:v>
                </c:pt>
                <c:pt idx="87">
                  <c:v>2043</c:v>
                </c:pt>
                <c:pt idx="88">
                  <c:v>2044</c:v>
                </c:pt>
                <c:pt idx="89">
                  <c:v>2045</c:v>
                </c:pt>
                <c:pt idx="90">
                  <c:v>2046</c:v>
                </c:pt>
                <c:pt idx="91">
                  <c:v>2047</c:v>
                </c:pt>
                <c:pt idx="92">
                  <c:v>2048</c:v>
                </c:pt>
                <c:pt idx="93">
                  <c:v>2049</c:v>
                </c:pt>
                <c:pt idx="94">
                  <c:v>2050</c:v>
                </c:pt>
              </c:numCache>
            </c:numRef>
          </c:xVal>
          <c:yVal>
            <c:numRef>
              <c:f>EdgeAI_vs_Download!$B$11:$CR$11</c:f>
              <c:numCache>
                <c:formatCode>General</c:formatCode>
                <c:ptCount val="95"/>
                <c:pt idx="1">
                  <c:v>4.0000000000000001E-8</c:v>
                </c:pt>
                <c:pt idx="2">
                  <c:v>5.0799967929365705E-8</c:v>
                </c:pt>
                <c:pt idx="3">
                  <c:v>6.4515918540614597E-8</c:v>
                </c:pt>
                <c:pt idx="4">
                  <c:v>8.1935164819919791E-8</c:v>
                </c:pt>
                <c:pt idx="5">
                  <c:v>1.0405759362848046E-7</c:v>
                </c:pt>
                <c:pt idx="6">
                  <c:v>1.321530604783444E-7</c:v>
                </c:pt>
                <c:pt idx="7">
                  <c:v>1.6783428085168554E-7</c:v>
                </c:pt>
                <c:pt idx="8">
                  <c:v>2.1314940211784454E-7</c:v>
                </c:pt>
                <c:pt idx="9">
                  <c:v>2.7069956979374942E-7</c:v>
                </c:pt>
                <c:pt idx="10">
                  <c:v>3.4378823660038907E-7</c:v>
                </c:pt>
                <c:pt idx="11">
                  <c:v>4.3661078484482381E-7</c:v>
                </c:pt>
                <c:pt idx="12">
                  <c:v>5.54495346693306E-7</c:v>
                </c:pt>
                <c:pt idx="13">
                  <c:v>7.0420864572506156E-7</c:v>
                </c:pt>
                <c:pt idx="14">
                  <c:v>8.9434441546037948E-7</c:v>
                </c:pt>
                <c:pt idx="15">
                  <c:v>1.1358166905798648E-6</c:v>
                </c:pt>
                <c:pt idx="16">
                  <c:v>1.4424862863773853E-6</c:v>
                </c:pt>
                <c:pt idx="17">
                  <c:v>1.8319564271630251E-6</c:v>
                </c:pt>
                <c:pt idx="18">
                  <c:v>2.3265831936969262E-6</c:v>
                </c:pt>
                <c:pt idx="19">
                  <c:v>2.9547587906201271E-6</c:v>
                </c:pt>
                <c:pt idx="20">
                  <c:v>3.7525412950628461E-6</c:v>
                </c:pt>
                <c:pt idx="21">
                  <c:v>4.765724436070325E-6</c:v>
                </c:pt>
                <c:pt idx="22">
                  <c:v>6.0524662128141739E-6</c:v>
                </c:pt>
                <c:pt idx="23">
                  <c:v>7.6866272376132373E-6</c:v>
                </c:pt>
                <c:pt idx="24">
                  <c:v>9.7620104288935334E-6</c:v>
                </c:pt>
                <c:pt idx="25">
                  <c:v>1.2397745417848125E-5</c:v>
                </c:pt>
                <c:pt idx="26">
                  <c:v>1.5745126740578135E-5</c:v>
                </c:pt>
                <c:pt idx="27">
                  <c:v>1.9996298336629191E-5</c:v>
                </c:pt>
                <c:pt idx="28">
                  <c:v>2.5395282855169791E-5</c:v>
                </c:pt>
                <c:pt idx="29">
                  <c:v>3.22519888649949E-5</c:v>
                </c:pt>
                <c:pt idx="30">
                  <c:v>4.0960000000000014E-5</c:v>
                </c:pt>
                <c:pt idx="31">
                  <c:v>5.2019167159670496E-5</c:v>
                </c:pt>
                <c:pt idx="32">
                  <c:v>6.6064300585589361E-5</c:v>
                </c:pt>
                <c:pt idx="33">
                  <c:v>8.390160877559788E-5</c:v>
                </c:pt>
                <c:pt idx="34">
                  <c:v>1.06554975875564E-4</c:v>
                </c:pt>
                <c:pt idx="35">
                  <c:v>1.3532473392982469E-4</c:v>
                </c:pt>
                <c:pt idx="36">
                  <c:v>1.7186230359212602E-4</c:v>
                </c:pt>
                <c:pt idx="37">
                  <c:v>2.1826498776867284E-4</c:v>
                </c:pt>
                <c:pt idx="38">
                  <c:v>2.7719635946879946E-4</c:v>
                </c:pt>
                <c:pt idx="39">
                  <c:v>3.5203915427879846E-4</c:v>
                </c:pt>
                <c:pt idx="40">
                  <c:v>4.4708944368109963E-4</c:v>
                </c:pt>
                <c:pt idx="41">
                  <c:v>5.6780323501394534E-4</c:v>
                </c:pt>
                <c:pt idx="42">
                  <c:v>7.2110965322246304E-4</c:v>
                </c:pt>
                <c:pt idx="43">
                  <c:v>9.1580868143142859E-4</c:v>
                </c:pt>
                <c:pt idx="44">
                  <c:v>1.1630762911537815E-3</c:v>
                </c:pt>
                <c:pt idx="45">
                  <c:v>1.4771059572504426E-3</c:v>
                </c:pt>
                <c:pt idx="46">
                  <c:v>1.8759233814149377E-3</c:v>
                </c:pt>
                <c:pt idx="47">
                  <c:v>2.3824211903456525E-3</c:v>
                </c:pt>
                <c:pt idx="48">
                  <c:v>3.0256730015950101E-3</c:v>
                </c:pt>
                <c:pt idx="49">
                  <c:v>3.8426022861443544E-3</c:v>
                </c:pt>
                <c:pt idx="50">
                  <c:v>4.8801018225360128E-3</c:v>
                </c:pt>
                <c:pt idx="51">
                  <c:v>6.1977254019217141E-3</c:v>
                </c:pt>
                <c:pt idx="52">
                  <c:v>7.871106291315955E-3</c:v>
                </c:pt>
                <c:pt idx="53">
                  <c:v>9.9962986791869782E-3</c:v>
                </c:pt>
                <c:pt idx="54">
                  <c:v>1.269529130787648E-2</c:v>
                </c:pt>
                <c:pt idx="55">
                  <c:v>1.612300978235201E-2</c:v>
                </c:pt>
                <c:pt idx="56">
                  <c:v>2.0476209496708291E-2</c:v>
                </c:pt>
                <c:pt idx="57" formatCode="0.00">
                  <c:v>2.6004769643693866E-2</c:v>
                </c:pt>
                <c:pt idx="58" formatCode="0.00">
                  <c:v>3.3026036597754778E-2</c:v>
                </c:pt>
                <c:pt idx="59" formatCode="0.00">
                  <c:v>4.1943040000000015E-2</c:v>
                </c:pt>
                <c:pt idx="60" formatCode="0.00">
                  <c:v>5.3267627171502588E-2</c:v>
                </c:pt>
                <c:pt idx="61" formatCode="0.00">
                  <c:v>6.7649843799643505E-2</c:v>
                </c:pt>
                <c:pt idx="62" formatCode="0.00">
                  <c:v>8.5915247386212229E-2</c:v>
                </c:pt>
                <c:pt idx="63" formatCode="0.00">
                  <c:v>0.10911229529657754</c:v>
                </c:pt>
                <c:pt idx="64" formatCode="0.00">
                  <c:v>0.13857252754414048</c:v>
                </c:pt>
                <c:pt idx="65" formatCode="0.00">
                  <c:v>0.17598699887833705</c:v>
                </c:pt>
                <c:pt idx="66" formatCode="0.00">
                  <c:v>0.22350334747512099</c:v>
                </c:pt>
                <c:pt idx="67" formatCode="0.00">
                  <c:v>0.28384907209605065</c:v>
                </c:pt>
                <c:pt idx="68" formatCode="0.00">
                  <c:v>0.36048809398148962</c:v>
                </c:pt>
                <c:pt idx="69" formatCode="0.00">
                  <c:v>0.45781959032944602</c:v>
                </c:pt>
                <c:pt idx="70" formatCode="0.00">
                  <c:v>0.58143051265428003</c:v>
                </c:pt>
                <c:pt idx="71" formatCode="0.0">
                  <c:v>0.73841628489980216</c:v>
                </c:pt>
                <c:pt idx="72" formatCode="0.0">
                  <c:v>0.93778808978578287</c:v>
                </c:pt>
                <c:pt idx="73" formatCode="0.0">
                  <c:v>1.1909901221414723</c:v>
                </c:pt>
                <c:pt idx="74" formatCode="0.0">
                  <c:v>1.5125565002244532</c:v>
                </c:pt>
                <c:pt idx="75" formatCode="0.0">
                  <c:v>1.9209455425688962</c:v>
                </c:pt>
                <c:pt idx="76" formatCode="0.0">
                  <c:v>2.4395992989139481</c:v>
                </c:pt>
                <c:pt idx="77" formatCode="0.0">
                  <c:v>3.0982891536332904</c:v>
                </c:pt>
                <c:pt idx="78" formatCode="0.0">
                  <c:v>3.9348247410118189</c:v>
                </c:pt>
                <c:pt idx="79" formatCode="0.0">
                  <c:v>4.9972242662768771</c:v>
                </c:pt>
                <c:pt idx="80" formatCode="0.0">
                  <c:v>6.3464708115678352</c:v>
                </c:pt>
                <c:pt idx="81" formatCode="0.0">
                  <c:v>8.0600128423075379</c:v>
                </c:pt>
                <c:pt idx="82" formatCode="0.0">
                  <c:v>10.236209847487466</c:v>
                </c:pt>
                <c:pt idx="83" formatCode="0">
                  <c:v>12.999978299265516</c:v>
                </c:pt>
                <c:pt idx="84" formatCode="0">
                  <c:v>16.509962017128458</c:v>
                </c:pt>
                <c:pt idx="85" formatCode="0">
                  <c:v>20.96763852462929</c:v>
                </c:pt>
                <c:pt idx="86" formatCode="0">
                  <c:v>26.628884115142519</c:v>
                </c:pt>
                <c:pt idx="87" formatCode="0">
                  <c:v>33.818661476100893</c:v>
                </c:pt>
                <c:pt idx="88" formatCode="0">
                  <c:v>42.949672960000015</c:v>
                </c:pt>
                <c:pt idx="89" formatCode="0">
                  <c:v>54.54605022361865</c:v>
                </c:pt>
                <c:pt idx="90" formatCode="0">
                  <c:v>69.273440050834949</c:v>
                </c:pt>
                <c:pt idx="91" formatCode="0">
                  <c:v>87.977213323481323</c:v>
                </c:pt>
                <c:pt idx="92" formatCode="0">
                  <c:v>111.7309903836954</c:v>
                </c:pt>
                <c:pt idx="93" formatCode="0">
                  <c:v>141.89826820519986</c:v>
                </c:pt>
                <c:pt idx="94" formatCode="0">
                  <c:v>180.21068685141714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A3-D44D-9EA2-7DE6CAD33ACE}"/>
            </c:ext>
          </c:extLst>
        </c:ser>
        <c:ser>
          <c:idx val="2"/>
          <c:order val="2"/>
          <c:tx>
            <c:strRef>
              <c:f>EdgeAI_vs_Download!$A$13</c:f>
              <c:strCache>
                <c:ptCount val="1"/>
                <c:pt idx="0">
                  <c:v>Aggregated Data-Generation all Satellites [GB/s]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EdgeAI_vs_Download!$B$7:$CR$7</c:f>
              <c:numCache>
                <c:formatCode>General</c:formatCode>
                <c:ptCount val="95"/>
                <c:pt idx="1">
                  <c:v>1957</c:v>
                </c:pt>
                <c:pt idx="2">
                  <c:v>1958</c:v>
                </c:pt>
                <c:pt idx="3">
                  <c:v>1959</c:v>
                </c:pt>
                <c:pt idx="4">
                  <c:v>1960</c:v>
                </c:pt>
                <c:pt idx="5">
                  <c:v>1961</c:v>
                </c:pt>
                <c:pt idx="6">
                  <c:v>1962</c:v>
                </c:pt>
                <c:pt idx="7">
                  <c:v>1963</c:v>
                </c:pt>
                <c:pt idx="8">
                  <c:v>1964</c:v>
                </c:pt>
                <c:pt idx="9">
                  <c:v>1965</c:v>
                </c:pt>
                <c:pt idx="10">
                  <c:v>1966</c:v>
                </c:pt>
                <c:pt idx="11">
                  <c:v>1967</c:v>
                </c:pt>
                <c:pt idx="12">
                  <c:v>1968</c:v>
                </c:pt>
                <c:pt idx="13">
                  <c:v>1969</c:v>
                </c:pt>
                <c:pt idx="14">
                  <c:v>1970</c:v>
                </c:pt>
                <c:pt idx="15">
                  <c:v>1971</c:v>
                </c:pt>
                <c:pt idx="16">
                  <c:v>1972</c:v>
                </c:pt>
                <c:pt idx="17">
                  <c:v>1973</c:v>
                </c:pt>
                <c:pt idx="18">
                  <c:v>1974</c:v>
                </c:pt>
                <c:pt idx="19">
                  <c:v>1975</c:v>
                </c:pt>
                <c:pt idx="20">
                  <c:v>1976</c:v>
                </c:pt>
                <c:pt idx="21">
                  <c:v>1977</c:v>
                </c:pt>
                <c:pt idx="22">
                  <c:v>1978</c:v>
                </c:pt>
                <c:pt idx="23">
                  <c:v>1979</c:v>
                </c:pt>
                <c:pt idx="24">
                  <c:v>1980</c:v>
                </c:pt>
                <c:pt idx="25">
                  <c:v>1981</c:v>
                </c:pt>
                <c:pt idx="26">
                  <c:v>1982</c:v>
                </c:pt>
                <c:pt idx="27">
                  <c:v>1983</c:v>
                </c:pt>
                <c:pt idx="28">
                  <c:v>1984</c:v>
                </c:pt>
                <c:pt idx="29">
                  <c:v>1985</c:v>
                </c:pt>
                <c:pt idx="30">
                  <c:v>1986</c:v>
                </c:pt>
                <c:pt idx="31">
                  <c:v>1987</c:v>
                </c:pt>
                <c:pt idx="32">
                  <c:v>1988</c:v>
                </c:pt>
                <c:pt idx="33">
                  <c:v>1989</c:v>
                </c:pt>
                <c:pt idx="34">
                  <c:v>1990</c:v>
                </c:pt>
                <c:pt idx="35">
                  <c:v>1991</c:v>
                </c:pt>
                <c:pt idx="36">
                  <c:v>1992</c:v>
                </c:pt>
                <c:pt idx="37">
                  <c:v>1993</c:v>
                </c:pt>
                <c:pt idx="38">
                  <c:v>1994</c:v>
                </c:pt>
                <c:pt idx="39">
                  <c:v>1995</c:v>
                </c:pt>
                <c:pt idx="40">
                  <c:v>1996</c:v>
                </c:pt>
                <c:pt idx="41">
                  <c:v>1997</c:v>
                </c:pt>
                <c:pt idx="42">
                  <c:v>1998</c:v>
                </c:pt>
                <c:pt idx="43">
                  <c:v>1999</c:v>
                </c:pt>
                <c:pt idx="44">
                  <c:v>2000</c:v>
                </c:pt>
                <c:pt idx="45">
                  <c:v>2001</c:v>
                </c:pt>
                <c:pt idx="46">
                  <c:v>2002</c:v>
                </c:pt>
                <c:pt idx="47">
                  <c:v>2003</c:v>
                </c:pt>
                <c:pt idx="48">
                  <c:v>2004</c:v>
                </c:pt>
                <c:pt idx="49">
                  <c:v>2005</c:v>
                </c:pt>
                <c:pt idx="50">
                  <c:v>2006</c:v>
                </c:pt>
                <c:pt idx="51">
                  <c:v>2007</c:v>
                </c:pt>
                <c:pt idx="52">
                  <c:v>2008</c:v>
                </c:pt>
                <c:pt idx="53">
                  <c:v>2009</c:v>
                </c:pt>
                <c:pt idx="54">
                  <c:v>2010</c:v>
                </c:pt>
                <c:pt idx="55">
                  <c:v>2011</c:v>
                </c:pt>
                <c:pt idx="56">
                  <c:v>2012</c:v>
                </c:pt>
                <c:pt idx="57">
                  <c:v>2013</c:v>
                </c:pt>
                <c:pt idx="58">
                  <c:v>2014</c:v>
                </c:pt>
                <c:pt idx="59">
                  <c:v>2015</c:v>
                </c:pt>
                <c:pt idx="60">
                  <c:v>2016</c:v>
                </c:pt>
                <c:pt idx="61">
                  <c:v>2017</c:v>
                </c:pt>
                <c:pt idx="62">
                  <c:v>2018</c:v>
                </c:pt>
                <c:pt idx="63">
                  <c:v>2019</c:v>
                </c:pt>
                <c:pt idx="64">
                  <c:v>2020</c:v>
                </c:pt>
                <c:pt idx="65">
                  <c:v>2021</c:v>
                </c:pt>
                <c:pt idx="66">
                  <c:v>2022</c:v>
                </c:pt>
                <c:pt idx="67">
                  <c:v>2023</c:v>
                </c:pt>
                <c:pt idx="68">
                  <c:v>2024</c:v>
                </c:pt>
                <c:pt idx="69">
                  <c:v>2025</c:v>
                </c:pt>
                <c:pt idx="70">
                  <c:v>2026</c:v>
                </c:pt>
                <c:pt idx="71">
                  <c:v>2027</c:v>
                </c:pt>
                <c:pt idx="72">
                  <c:v>2028</c:v>
                </c:pt>
                <c:pt idx="73">
                  <c:v>2029</c:v>
                </c:pt>
                <c:pt idx="74">
                  <c:v>2030</c:v>
                </c:pt>
                <c:pt idx="75">
                  <c:v>2031</c:v>
                </c:pt>
                <c:pt idx="76">
                  <c:v>2032</c:v>
                </c:pt>
                <c:pt idx="77">
                  <c:v>2033</c:v>
                </c:pt>
                <c:pt idx="78">
                  <c:v>2034</c:v>
                </c:pt>
                <c:pt idx="79">
                  <c:v>2035</c:v>
                </c:pt>
                <c:pt idx="80">
                  <c:v>2036</c:v>
                </c:pt>
                <c:pt idx="81">
                  <c:v>2037</c:v>
                </c:pt>
                <c:pt idx="82">
                  <c:v>2038</c:v>
                </c:pt>
                <c:pt idx="83">
                  <c:v>2039</c:v>
                </c:pt>
                <c:pt idx="84">
                  <c:v>2040</c:v>
                </c:pt>
                <c:pt idx="85">
                  <c:v>2041</c:v>
                </c:pt>
                <c:pt idx="86">
                  <c:v>2042</c:v>
                </c:pt>
                <c:pt idx="87">
                  <c:v>2043</c:v>
                </c:pt>
                <c:pt idx="88">
                  <c:v>2044</c:v>
                </c:pt>
                <c:pt idx="89">
                  <c:v>2045</c:v>
                </c:pt>
                <c:pt idx="90">
                  <c:v>2046</c:v>
                </c:pt>
                <c:pt idx="91">
                  <c:v>2047</c:v>
                </c:pt>
                <c:pt idx="92">
                  <c:v>2048</c:v>
                </c:pt>
                <c:pt idx="93">
                  <c:v>2049</c:v>
                </c:pt>
                <c:pt idx="94">
                  <c:v>2050</c:v>
                </c:pt>
              </c:numCache>
            </c:numRef>
          </c:xVal>
          <c:yVal>
            <c:numRef>
              <c:f>EdgeAI_vs_Download!$B$13:$CR$13</c:f>
              <c:numCache>
                <c:formatCode>General</c:formatCode>
                <c:ptCount val="95"/>
                <c:pt idx="1">
                  <c:v>8.0000000000000005E-9</c:v>
                </c:pt>
                <c:pt idx="2">
                  <c:v>2.0319987171746285E-8</c:v>
                </c:pt>
                <c:pt idx="3">
                  <c:v>2.5806367416245841E-8</c:v>
                </c:pt>
                <c:pt idx="4">
                  <c:v>9.8322197783903765E-8</c:v>
                </c:pt>
                <c:pt idx="5">
                  <c:v>1.8730366853126484E-7</c:v>
                </c:pt>
                <c:pt idx="6">
                  <c:v>5.8147346610471535E-7</c:v>
                </c:pt>
                <c:pt idx="7">
                  <c:v>8.727382604287648E-7</c:v>
                </c:pt>
                <c:pt idx="8">
                  <c:v>2.2167537820255833E-6</c:v>
                </c:pt>
                <c:pt idx="9">
                  <c:v>4.9808720842049896E-6</c:v>
                </c:pt>
                <c:pt idx="10">
                  <c:v>7.1507953212880925E-6</c:v>
                </c:pt>
                <c:pt idx="11">
                  <c:v>1.0042048051430947E-5</c:v>
                </c:pt>
                <c:pt idx="12">
                  <c:v>1.6080365054105873E-5</c:v>
                </c:pt>
                <c:pt idx="13">
                  <c:v>2.2393834934056958E-5</c:v>
                </c:pt>
                <c:pt idx="14">
                  <c:v>2.8976759060916297E-5</c:v>
                </c:pt>
                <c:pt idx="15">
                  <c:v>4.4296850932614726E-5</c:v>
                </c:pt>
                <c:pt idx="16">
                  <c:v>5.3948987110514211E-5</c:v>
                </c:pt>
                <c:pt idx="17">
                  <c:v>7.291186580108841E-5</c:v>
                </c:pt>
                <c:pt idx="18">
                  <c:v>9.4459277664095205E-5</c:v>
                </c:pt>
                <c:pt idx="19">
                  <c:v>1.3710080788477392E-4</c:v>
                </c:pt>
                <c:pt idx="20">
                  <c:v>1.9363113082524288E-4</c:v>
                </c:pt>
                <c:pt idx="21">
                  <c:v>2.563959746605835E-4</c:v>
                </c:pt>
                <c:pt idx="22">
                  <c:v>3.7162142546679031E-4</c:v>
                </c:pt>
                <c:pt idx="23">
                  <c:v>4.7964553962706602E-4</c:v>
                </c:pt>
                <c:pt idx="24">
                  <c:v>6.2086386327762878E-4</c:v>
                </c:pt>
                <c:pt idx="25">
                  <c:v>8.3064894299582446E-4</c:v>
                </c:pt>
                <c:pt idx="26">
                  <c:v>1.0643705676630819E-3</c:v>
                </c:pt>
                <c:pt idx="27">
                  <c:v>1.4357342205699761E-3</c:v>
                </c:pt>
                <c:pt idx="28">
                  <c:v>1.8894090444246327E-3</c:v>
                </c:pt>
                <c:pt idx="29">
                  <c:v>2.5027543359236043E-3</c:v>
                </c:pt>
                <c:pt idx="30">
                  <c:v>3.2686080000000014E-3</c:v>
                </c:pt>
                <c:pt idx="31">
                  <c:v>4.3071870408207171E-3</c:v>
                </c:pt>
                <c:pt idx="32">
                  <c:v>5.5494012491895065E-3</c:v>
                </c:pt>
                <c:pt idx="33">
                  <c:v>6.9806138501297445E-3</c:v>
                </c:pt>
                <c:pt idx="34">
                  <c:v>9.8883017612523411E-3</c:v>
                </c:pt>
                <c:pt idx="35">
                  <c:v>1.3315953818694751E-2</c:v>
                </c:pt>
                <c:pt idx="36">
                  <c:v>1.7633072348552131E-2</c:v>
                </c:pt>
                <c:pt idx="37">
                  <c:v>2.2393987745065833E-2</c:v>
                </c:pt>
                <c:pt idx="38">
                  <c:v>2.9549131919374024E-2</c:v>
                </c:pt>
                <c:pt idx="39">
                  <c:v>3.7809005169542956E-2</c:v>
                </c:pt>
                <c:pt idx="40">
                  <c:v>4.8375077806294985E-2</c:v>
                </c:pt>
                <c:pt idx="41">
                  <c:v>6.7909266907667867E-2</c:v>
                </c:pt>
                <c:pt idx="42">
                  <c:v>9.7061359323743532E-2</c:v>
                </c:pt>
                <c:pt idx="43">
                  <c:v>0.13297542054384345</c:v>
                </c:pt>
                <c:pt idx="44">
                  <c:v>0.1788811335794516</c:v>
                </c:pt>
                <c:pt idx="45">
                  <c:v>0.22776973860801825</c:v>
                </c:pt>
                <c:pt idx="46">
                  <c:v>0.30239884908408798</c:v>
                </c:pt>
                <c:pt idx="47">
                  <c:v>0.39548191759737833</c:v>
                </c:pt>
                <c:pt idx="48">
                  <c:v>0.51557467947178981</c:v>
                </c:pt>
                <c:pt idx="49">
                  <c:v>0.65631647047345576</c:v>
                </c:pt>
                <c:pt idx="50">
                  <c:v>0.85206577821478791</c:v>
                </c:pt>
                <c:pt idx="51">
                  <c:v>1.1304651133105208</c:v>
                </c:pt>
                <c:pt idx="52">
                  <c:v>1.4923617528335051</c:v>
                </c:pt>
                <c:pt idx="53">
                  <c:v>1.971270099535672</c:v>
                </c:pt>
                <c:pt idx="54">
                  <c:v>2.5314410867905703</c:v>
                </c:pt>
                <c:pt idx="55">
                  <c:v>3.3310138210339257</c:v>
                </c:pt>
                <c:pt idx="56">
                  <c:v>4.4679089121817492</c:v>
                </c:pt>
                <c:pt idx="57">
                  <c:v>6.1735323134129239</c:v>
                </c:pt>
                <c:pt idx="58">
                  <c:v>8.3357716372733073</c:v>
                </c:pt>
                <c:pt idx="59">
                  <c:v>11.442061312000005</c:v>
                </c:pt>
                <c:pt idx="60">
                  <c:v>15.575454184947356</c:v>
                </c:pt>
                <c:pt idx="61">
                  <c:v>24.056284455153232</c:v>
                </c:pt>
                <c:pt idx="62">
                  <c:v>34.830041290370438</c:v>
                </c:pt>
                <c:pt idx="63">
                  <c:v>49.580626982764841</c:v>
                </c:pt>
                <c:pt idx="64">
                  <c:v>90.238429936744296</c:v>
                </c:pt>
                <c:pt idx="65">
                  <c:v>168.94751892320357</c:v>
                </c:pt>
                <c:pt idx="66">
                  <c:v>308.65812286314213</c:v>
                </c:pt>
                <c:pt idx="67">
                  <c:v>466.16391918661395</c:v>
                </c:pt>
                <c:pt idx="68">
                  <c:v>704.04367633563913</c:v>
                </c:pt>
                <c:pt idx="69">
                  <c:v>1063.3115901657186</c:v>
                </c:pt>
                <c:pt idx="70">
                  <c:v>1605.9110759511216</c:v>
                </c:pt>
                <c:pt idx="71">
                  <c:v>2425.3947833490238</c:v>
                </c:pt>
                <c:pt idx="72">
                  <c:v>3663.0545384417674</c:v>
                </c:pt>
                <c:pt idx="73">
                  <c:v>5532.2822674958843</c:v>
                </c:pt>
                <c:pt idx="74">
                  <c:v>8355.3621072398801</c:v>
                </c:pt>
                <c:pt idx="75">
                  <c:v>12619.037237718454</c:v>
                </c:pt>
                <c:pt idx="76">
                  <c:v>19058.432030006719</c:v>
                </c:pt>
                <c:pt idx="77">
                  <c:v>28783.799001456759</c:v>
                </c:pt>
                <c:pt idx="78">
                  <c:v>43471.943738698581</c:v>
                </c:pt>
                <c:pt idx="79">
                  <c:v>65655.332443258463</c:v>
                </c:pt>
                <c:pt idx="80">
                  <c:v>99158.728768722751</c:v>
                </c:pt>
                <c:pt idx="81">
                  <c:v>149758.64297887241</c:v>
                </c:pt>
                <c:pt idx="82">
                  <c:v>226179.29279008304</c:v>
                </c:pt>
                <c:pt idx="83">
                  <c:v>341596.79514616891</c:v>
                </c:pt>
                <c:pt idx="84">
                  <c:v>515910.93514662329</c:v>
                </c:pt>
                <c:pt idx="85">
                  <c:v>779176.20067240973</c:v>
                </c:pt>
                <c:pt idx="86">
                  <c:v>1176783.6468163782</c:v>
                </c:pt>
                <c:pt idx="87">
                  <c:v>1777287.0247055665</c:v>
                </c:pt>
                <c:pt idx="88">
                  <c:v>2684222.5218988331</c:v>
                </c:pt>
                <c:pt idx="89">
                  <c:v>4053960.0227276478</c:v>
                </c:pt>
                <c:pt idx="90">
                  <c:v>6122663.7254529968</c:v>
                </c:pt>
                <c:pt idx="91">
                  <c:v>9247010.5488991439</c:v>
                </c:pt>
                <c:pt idx="92">
                  <c:v>13965686.819608185</c:v>
                </c:pt>
                <c:pt idx="93">
                  <c:v>21092266.231554944</c:v>
                </c:pt>
                <c:pt idx="94">
                  <c:v>31855482.693351306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A3-D44D-9EA2-7DE6CAD33ACE}"/>
            </c:ext>
          </c:extLst>
        </c:ser>
        <c:ser>
          <c:idx val="3"/>
          <c:order val="3"/>
          <c:tx>
            <c:strRef>
              <c:f>EdgeAI_vs_Download!$A$15</c:f>
              <c:strCache>
                <c:ptCount val="1"/>
                <c:pt idx="0">
                  <c:v>Cost to download all data [Euro/per second] (starts 2023)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EdgeAI_vs_Download!$B$7:$CR$7</c:f>
              <c:numCache>
                <c:formatCode>General</c:formatCode>
                <c:ptCount val="95"/>
                <c:pt idx="1">
                  <c:v>1957</c:v>
                </c:pt>
                <c:pt idx="2">
                  <c:v>1958</c:v>
                </c:pt>
                <c:pt idx="3">
                  <c:v>1959</c:v>
                </c:pt>
                <c:pt idx="4">
                  <c:v>1960</c:v>
                </c:pt>
                <c:pt idx="5">
                  <c:v>1961</c:v>
                </c:pt>
                <c:pt idx="6">
                  <c:v>1962</c:v>
                </c:pt>
                <c:pt idx="7">
                  <c:v>1963</c:v>
                </c:pt>
                <c:pt idx="8">
                  <c:v>1964</c:v>
                </c:pt>
                <c:pt idx="9">
                  <c:v>1965</c:v>
                </c:pt>
                <c:pt idx="10">
                  <c:v>1966</c:v>
                </c:pt>
                <c:pt idx="11">
                  <c:v>1967</c:v>
                </c:pt>
                <c:pt idx="12">
                  <c:v>1968</c:v>
                </c:pt>
                <c:pt idx="13">
                  <c:v>1969</c:v>
                </c:pt>
                <c:pt idx="14">
                  <c:v>1970</c:v>
                </c:pt>
                <c:pt idx="15">
                  <c:v>1971</c:v>
                </c:pt>
                <c:pt idx="16">
                  <c:v>1972</c:v>
                </c:pt>
                <c:pt idx="17">
                  <c:v>1973</c:v>
                </c:pt>
                <c:pt idx="18">
                  <c:v>1974</c:v>
                </c:pt>
                <c:pt idx="19">
                  <c:v>1975</c:v>
                </c:pt>
                <c:pt idx="20">
                  <c:v>1976</c:v>
                </c:pt>
                <c:pt idx="21">
                  <c:v>1977</c:v>
                </c:pt>
                <c:pt idx="22">
                  <c:v>1978</c:v>
                </c:pt>
                <c:pt idx="23">
                  <c:v>1979</c:v>
                </c:pt>
                <c:pt idx="24">
                  <c:v>1980</c:v>
                </c:pt>
                <c:pt idx="25">
                  <c:v>1981</c:v>
                </c:pt>
                <c:pt idx="26">
                  <c:v>1982</c:v>
                </c:pt>
                <c:pt idx="27">
                  <c:v>1983</c:v>
                </c:pt>
                <c:pt idx="28">
                  <c:v>1984</c:v>
                </c:pt>
                <c:pt idx="29">
                  <c:v>1985</c:v>
                </c:pt>
                <c:pt idx="30">
                  <c:v>1986</c:v>
                </c:pt>
                <c:pt idx="31">
                  <c:v>1987</c:v>
                </c:pt>
                <c:pt idx="32">
                  <c:v>1988</c:v>
                </c:pt>
                <c:pt idx="33">
                  <c:v>1989</c:v>
                </c:pt>
                <c:pt idx="34">
                  <c:v>1990</c:v>
                </c:pt>
                <c:pt idx="35">
                  <c:v>1991</c:v>
                </c:pt>
                <c:pt idx="36">
                  <c:v>1992</c:v>
                </c:pt>
                <c:pt idx="37">
                  <c:v>1993</c:v>
                </c:pt>
                <c:pt idx="38">
                  <c:v>1994</c:v>
                </c:pt>
                <c:pt idx="39">
                  <c:v>1995</c:v>
                </c:pt>
                <c:pt idx="40">
                  <c:v>1996</c:v>
                </c:pt>
                <c:pt idx="41">
                  <c:v>1997</c:v>
                </c:pt>
                <c:pt idx="42">
                  <c:v>1998</c:v>
                </c:pt>
                <c:pt idx="43">
                  <c:v>1999</c:v>
                </c:pt>
                <c:pt idx="44">
                  <c:v>2000</c:v>
                </c:pt>
                <c:pt idx="45">
                  <c:v>2001</c:v>
                </c:pt>
                <c:pt idx="46">
                  <c:v>2002</c:v>
                </c:pt>
                <c:pt idx="47">
                  <c:v>2003</c:v>
                </c:pt>
                <c:pt idx="48">
                  <c:v>2004</c:v>
                </c:pt>
                <c:pt idx="49">
                  <c:v>2005</c:v>
                </c:pt>
                <c:pt idx="50">
                  <c:v>2006</c:v>
                </c:pt>
                <c:pt idx="51">
                  <c:v>2007</c:v>
                </c:pt>
                <c:pt idx="52">
                  <c:v>2008</c:v>
                </c:pt>
                <c:pt idx="53">
                  <c:v>2009</c:v>
                </c:pt>
                <c:pt idx="54">
                  <c:v>2010</c:v>
                </c:pt>
                <c:pt idx="55">
                  <c:v>2011</c:v>
                </c:pt>
                <c:pt idx="56">
                  <c:v>2012</c:v>
                </c:pt>
                <c:pt idx="57">
                  <c:v>2013</c:v>
                </c:pt>
                <c:pt idx="58">
                  <c:v>2014</c:v>
                </c:pt>
                <c:pt idx="59">
                  <c:v>2015</c:v>
                </c:pt>
                <c:pt idx="60">
                  <c:v>2016</c:v>
                </c:pt>
                <c:pt idx="61">
                  <c:v>2017</c:v>
                </c:pt>
                <c:pt idx="62">
                  <c:v>2018</c:v>
                </c:pt>
                <c:pt idx="63">
                  <c:v>2019</c:v>
                </c:pt>
                <c:pt idx="64">
                  <c:v>2020</c:v>
                </c:pt>
                <c:pt idx="65">
                  <c:v>2021</c:v>
                </c:pt>
                <c:pt idx="66">
                  <c:v>2022</c:v>
                </c:pt>
                <c:pt idx="67">
                  <c:v>2023</c:v>
                </c:pt>
                <c:pt idx="68">
                  <c:v>2024</c:v>
                </c:pt>
                <c:pt idx="69">
                  <c:v>2025</c:v>
                </c:pt>
                <c:pt idx="70">
                  <c:v>2026</c:v>
                </c:pt>
                <c:pt idx="71">
                  <c:v>2027</c:v>
                </c:pt>
                <c:pt idx="72">
                  <c:v>2028</c:v>
                </c:pt>
                <c:pt idx="73">
                  <c:v>2029</c:v>
                </c:pt>
                <c:pt idx="74">
                  <c:v>2030</c:v>
                </c:pt>
                <c:pt idx="75">
                  <c:v>2031</c:v>
                </c:pt>
                <c:pt idx="76">
                  <c:v>2032</c:v>
                </c:pt>
                <c:pt idx="77">
                  <c:v>2033</c:v>
                </c:pt>
                <c:pt idx="78">
                  <c:v>2034</c:v>
                </c:pt>
                <c:pt idx="79">
                  <c:v>2035</c:v>
                </c:pt>
                <c:pt idx="80">
                  <c:v>2036</c:v>
                </c:pt>
                <c:pt idx="81">
                  <c:v>2037</c:v>
                </c:pt>
                <c:pt idx="82">
                  <c:v>2038</c:v>
                </c:pt>
                <c:pt idx="83">
                  <c:v>2039</c:v>
                </c:pt>
                <c:pt idx="84">
                  <c:v>2040</c:v>
                </c:pt>
                <c:pt idx="85">
                  <c:v>2041</c:v>
                </c:pt>
                <c:pt idx="86">
                  <c:v>2042</c:v>
                </c:pt>
                <c:pt idx="87">
                  <c:v>2043</c:v>
                </c:pt>
                <c:pt idx="88">
                  <c:v>2044</c:v>
                </c:pt>
                <c:pt idx="89">
                  <c:v>2045</c:v>
                </c:pt>
                <c:pt idx="90">
                  <c:v>2046</c:v>
                </c:pt>
                <c:pt idx="91">
                  <c:v>2047</c:v>
                </c:pt>
                <c:pt idx="92">
                  <c:v>2048</c:v>
                </c:pt>
                <c:pt idx="93">
                  <c:v>2049</c:v>
                </c:pt>
                <c:pt idx="94">
                  <c:v>2050</c:v>
                </c:pt>
              </c:numCache>
            </c:numRef>
          </c:xVal>
          <c:yVal>
            <c:numRef>
              <c:f>EdgeAI_vs_Download!$B$15:$CR$15</c:f>
              <c:numCache>
                <c:formatCode>General</c:formatCode>
                <c:ptCount val="95"/>
                <c:pt idx="67" formatCode="#,##0">
                  <c:v>116.54097979665349</c:v>
                </c:pt>
                <c:pt idx="68" formatCode="#,##0">
                  <c:v>120.39138412943414</c:v>
                </c:pt>
                <c:pt idx="69" formatCode="#,##0">
                  <c:v>124.36900219897734</c:v>
                </c:pt>
                <c:pt idx="70" formatCode="#,##0">
                  <c:v>128.47803702746521</c:v>
                </c:pt>
                <c:pt idx="71" formatCode="#,##0">
                  <c:v>132.72283050097874</c:v>
                </c:pt>
                <c:pt idx="72" formatCode="#,##0">
                  <c:v>137.10786795743024</c:v>
                </c:pt>
                <c:pt idx="73" formatCode="#,##0">
                  <c:v>141.63778292607694</c:v>
                </c:pt>
                <c:pt idx="74" formatCode="#,##0">
                  <c:v>146.3173620236235</c:v>
                </c:pt>
                <c:pt idx="75" formatCode="#,##0">
                  <c:v>151.1515500120874</c:v>
                </c:pt>
                <c:pt idx="76" formatCode="#,##0">
                  <c:v>156.14545502377132</c:v>
                </c:pt>
                <c:pt idx="77" formatCode="#,##0">
                  <c:v>161.30435395886335</c:v>
                </c:pt>
                <c:pt idx="78" formatCode="#,##0">
                  <c:v>166.63369806136959</c:v>
                </c:pt>
                <c:pt idx="79" formatCode="#,##0">
                  <c:v>172.13911867926959</c:v>
                </c:pt>
                <c:pt idx="80" formatCode="#,##0">
                  <c:v>177.8264332149823</c:v>
                </c:pt>
                <c:pt idx="81" formatCode="#,##0">
                  <c:v>183.70165127242959</c:v>
                </c:pt>
                <c:pt idx="82" formatCode="#,##0">
                  <c:v>189.77098100719334</c:v>
                </c:pt>
                <c:pt idx="83" formatCode="#,##0">
                  <c:v>196.04083568647516</c:v>
                </c:pt>
                <c:pt idx="84" formatCode="#,##0">
                  <c:v>202.51784046579164</c:v>
                </c:pt>
                <c:pt idx="85" formatCode="#,##0">
                  <c:v>209.2088393895647</c:v>
                </c:pt>
                <c:pt idx="86" formatCode="#,##0">
                  <c:v>216.12090262300535</c:v>
                </c:pt>
                <c:pt idx="87" formatCode="#,##0">
                  <c:v>223.26133392293158</c:v>
                </c:pt>
                <c:pt idx="88" formatCode="#,##0">
                  <c:v>230.63767835541537</c:v>
                </c:pt>
                <c:pt idx="89" formatCode="#,##0">
                  <c:v>238.25773026841352</c:v>
                </c:pt>
                <c:pt idx="90" formatCode="#,##0">
                  <c:v>246.12954152780654</c:v>
                </c:pt>
                <c:pt idx="91" formatCode="#,##0">
                  <c:v>254.26143002554852</c:v>
                </c:pt>
                <c:pt idx="92" formatCode="#,##0">
                  <c:v>262.66198846891848</c:v>
                </c:pt>
                <c:pt idx="93" formatCode="#,##0">
                  <c:v>271.34009346015995</c:v>
                </c:pt>
                <c:pt idx="94" formatCode="#,##0">
                  <c:v>280.30491487610374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EA3-D44D-9EA2-7DE6CAD33ACE}"/>
            </c:ext>
          </c:extLst>
        </c:ser>
        <c:ser>
          <c:idx val="4"/>
          <c:order val="4"/>
          <c:tx>
            <c:strRef>
              <c:f>EdgeAI_vs_Download!$A$21</c:f>
              <c:strCache>
                <c:ptCount val="1"/>
                <c:pt idx="0">
                  <c:v>Cost to compress all data (1000x) AND download to GS [Euro/second]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EdgeAI_vs_Download!$B$7:$CR$7</c:f>
              <c:numCache>
                <c:formatCode>General</c:formatCode>
                <c:ptCount val="95"/>
                <c:pt idx="1">
                  <c:v>1957</c:v>
                </c:pt>
                <c:pt idx="2">
                  <c:v>1958</c:v>
                </c:pt>
                <c:pt idx="3">
                  <c:v>1959</c:v>
                </c:pt>
                <c:pt idx="4">
                  <c:v>1960</c:v>
                </c:pt>
                <c:pt idx="5">
                  <c:v>1961</c:v>
                </c:pt>
                <c:pt idx="6">
                  <c:v>1962</c:v>
                </c:pt>
                <c:pt idx="7">
                  <c:v>1963</c:v>
                </c:pt>
                <c:pt idx="8">
                  <c:v>1964</c:v>
                </c:pt>
                <c:pt idx="9">
                  <c:v>1965</c:v>
                </c:pt>
                <c:pt idx="10">
                  <c:v>1966</c:v>
                </c:pt>
                <c:pt idx="11">
                  <c:v>1967</c:v>
                </c:pt>
                <c:pt idx="12">
                  <c:v>1968</c:v>
                </c:pt>
                <c:pt idx="13">
                  <c:v>1969</c:v>
                </c:pt>
                <c:pt idx="14">
                  <c:v>1970</c:v>
                </c:pt>
                <c:pt idx="15">
                  <c:v>1971</c:v>
                </c:pt>
                <c:pt idx="16">
                  <c:v>1972</c:v>
                </c:pt>
                <c:pt idx="17">
                  <c:v>1973</c:v>
                </c:pt>
                <c:pt idx="18">
                  <c:v>1974</c:v>
                </c:pt>
                <c:pt idx="19">
                  <c:v>1975</c:v>
                </c:pt>
                <c:pt idx="20">
                  <c:v>1976</c:v>
                </c:pt>
                <c:pt idx="21">
                  <c:v>1977</c:v>
                </c:pt>
                <c:pt idx="22">
                  <c:v>1978</c:v>
                </c:pt>
                <c:pt idx="23">
                  <c:v>1979</c:v>
                </c:pt>
                <c:pt idx="24">
                  <c:v>1980</c:v>
                </c:pt>
                <c:pt idx="25">
                  <c:v>1981</c:v>
                </c:pt>
                <c:pt idx="26">
                  <c:v>1982</c:v>
                </c:pt>
                <c:pt idx="27">
                  <c:v>1983</c:v>
                </c:pt>
                <c:pt idx="28">
                  <c:v>1984</c:v>
                </c:pt>
                <c:pt idx="29">
                  <c:v>1985</c:v>
                </c:pt>
                <c:pt idx="30">
                  <c:v>1986</c:v>
                </c:pt>
                <c:pt idx="31">
                  <c:v>1987</c:v>
                </c:pt>
                <c:pt idx="32">
                  <c:v>1988</c:v>
                </c:pt>
                <c:pt idx="33">
                  <c:v>1989</c:v>
                </c:pt>
                <c:pt idx="34">
                  <c:v>1990</c:v>
                </c:pt>
                <c:pt idx="35">
                  <c:v>1991</c:v>
                </c:pt>
                <c:pt idx="36">
                  <c:v>1992</c:v>
                </c:pt>
                <c:pt idx="37">
                  <c:v>1993</c:v>
                </c:pt>
                <c:pt idx="38">
                  <c:v>1994</c:v>
                </c:pt>
                <c:pt idx="39">
                  <c:v>1995</c:v>
                </c:pt>
                <c:pt idx="40">
                  <c:v>1996</c:v>
                </c:pt>
                <c:pt idx="41">
                  <c:v>1997</c:v>
                </c:pt>
                <c:pt idx="42">
                  <c:v>1998</c:v>
                </c:pt>
                <c:pt idx="43">
                  <c:v>1999</c:v>
                </c:pt>
                <c:pt idx="44">
                  <c:v>2000</c:v>
                </c:pt>
                <c:pt idx="45">
                  <c:v>2001</c:v>
                </c:pt>
                <c:pt idx="46">
                  <c:v>2002</c:v>
                </c:pt>
                <c:pt idx="47">
                  <c:v>2003</c:v>
                </c:pt>
                <c:pt idx="48">
                  <c:v>2004</c:v>
                </c:pt>
                <c:pt idx="49">
                  <c:v>2005</c:v>
                </c:pt>
                <c:pt idx="50">
                  <c:v>2006</c:v>
                </c:pt>
                <c:pt idx="51">
                  <c:v>2007</c:v>
                </c:pt>
                <c:pt idx="52">
                  <c:v>2008</c:v>
                </c:pt>
                <c:pt idx="53">
                  <c:v>2009</c:v>
                </c:pt>
                <c:pt idx="54">
                  <c:v>2010</c:v>
                </c:pt>
                <c:pt idx="55">
                  <c:v>2011</c:v>
                </c:pt>
                <c:pt idx="56">
                  <c:v>2012</c:v>
                </c:pt>
                <c:pt idx="57">
                  <c:v>2013</c:v>
                </c:pt>
                <c:pt idx="58">
                  <c:v>2014</c:v>
                </c:pt>
                <c:pt idx="59">
                  <c:v>2015</c:v>
                </c:pt>
                <c:pt idx="60">
                  <c:v>2016</c:v>
                </c:pt>
                <c:pt idx="61">
                  <c:v>2017</c:v>
                </c:pt>
                <c:pt idx="62">
                  <c:v>2018</c:v>
                </c:pt>
                <c:pt idx="63">
                  <c:v>2019</c:v>
                </c:pt>
                <c:pt idx="64">
                  <c:v>2020</c:v>
                </c:pt>
                <c:pt idx="65">
                  <c:v>2021</c:v>
                </c:pt>
                <c:pt idx="66">
                  <c:v>2022</c:v>
                </c:pt>
                <c:pt idx="67">
                  <c:v>2023</c:v>
                </c:pt>
                <c:pt idx="68">
                  <c:v>2024</c:v>
                </c:pt>
                <c:pt idx="69">
                  <c:v>2025</c:v>
                </c:pt>
                <c:pt idx="70">
                  <c:v>2026</c:v>
                </c:pt>
                <c:pt idx="71">
                  <c:v>2027</c:v>
                </c:pt>
                <c:pt idx="72">
                  <c:v>2028</c:v>
                </c:pt>
                <c:pt idx="73">
                  <c:v>2029</c:v>
                </c:pt>
                <c:pt idx="74">
                  <c:v>2030</c:v>
                </c:pt>
                <c:pt idx="75">
                  <c:v>2031</c:v>
                </c:pt>
                <c:pt idx="76">
                  <c:v>2032</c:v>
                </c:pt>
                <c:pt idx="77">
                  <c:v>2033</c:v>
                </c:pt>
                <c:pt idx="78">
                  <c:v>2034</c:v>
                </c:pt>
                <c:pt idx="79">
                  <c:v>2035</c:v>
                </c:pt>
                <c:pt idx="80">
                  <c:v>2036</c:v>
                </c:pt>
                <c:pt idx="81">
                  <c:v>2037</c:v>
                </c:pt>
                <c:pt idx="82">
                  <c:v>2038</c:v>
                </c:pt>
                <c:pt idx="83">
                  <c:v>2039</c:v>
                </c:pt>
                <c:pt idx="84">
                  <c:v>2040</c:v>
                </c:pt>
                <c:pt idx="85">
                  <c:v>2041</c:v>
                </c:pt>
                <c:pt idx="86">
                  <c:v>2042</c:v>
                </c:pt>
                <c:pt idx="87">
                  <c:v>2043</c:v>
                </c:pt>
                <c:pt idx="88">
                  <c:v>2044</c:v>
                </c:pt>
                <c:pt idx="89">
                  <c:v>2045</c:v>
                </c:pt>
                <c:pt idx="90">
                  <c:v>2046</c:v>
                </c:pt>
                <c:pt idx="91">
                  <c:v>2047</c:v>
                </c:pt>
                <c:pt idx="92">
                  <c:v>2048</c:v>
                </c:pt>
                <c:pt idx="93">
                  <c:v>2049</c:v>
                </c:pt>
                <c:pt idx="94">
                  <c:v>2050</c:v>
                </c:pt>
              </c:numCache>
            </c:numRef>
          </c:xVal>
          <c:yVal>
            <c:numRef>
              <c:f>EdgeAI_vs_Download!$B$21:$CR$21</c:f>
              <c:numCache>
                <c:formatCode>0</c:formatCode>
                <c:ptCount val="95"/>
                <c:pt idx="67">
                  <c:v>3338.1958377512688</c:v>
                </c:pt>
                <c:pt idx="68">
                  <c:v>2675.4596189532144</c:v>
                </c:pt>
                <c:pt idx="69">
                  <c:v>1615.5900196339567</c:v>
                </c:pt>
                <c:pt idx="70">
                  <c:v>1298.1460036779588</c:v>
                </c:pt>
                <c:pt idx="71">
                  <c:v>1007.646654949064</c:v>
                </c:pt>
                <c:pt idx="72">
                  <c:v>775.56250084328963</c:v>
                </c:pt>
                <c:pt idx="73">
                  <c:v>607.69544750095758</c:v>
                </c:pt>
                <c:pt idx="74">
                  <c:v>490.90960610795906</c:v>
                </c:pt>
                <c:pt idx="75">
                  <c:v>399.70003221667116</c:v>
                </c:pt>
                <c:pt idx="76">
                  <c:v>323.96966010041416</c:v>
                </c:pt>
                <c:pt idx="77">
                  <c:v>264.57919800032283</c:v>
                </c:pt>
                <c:pt idx="78">
                  <c:v>217.76001845300596</c:v>
                </c:pt>
                <c:pt idx="79">
                  <c:v>180.7885675604953</c:v>
                </c:pt>
                <c:pt idx="80">
                  <c:v>150.27496244541643</c:v>
                </c:pt>
                <c:pt idx="81">
                  <c:v>125.76174469440483</c:v>
                </c:pt>
                <c:pt idx="82">
                  <c:v>105.72280687482697</c:v>
                </c:pt>
                <c:pt idx="83">
                  <c:v>89.331393800589311</c:v>
                </c:pt>
                <c:pt idx="84">
                  <c:v>75.859090161517969</c:v>
                </c:pt>
                <c:pt idx="85">
                  <c:v>64.767890936325571</c:v>
                </c:pt>
                <c:pt idx="86">
                  <c:v>55.609101453009103</c:v>
                </c:pt>
                <c:pt idx="87">
                  <c:v>48.027547590173469</c:v>
                </c:pt>
                <c:pt idx="88">
                  <c:v>41.7398401897903</c:v>
                </c:pt>
                <c:pt idx="89">
                  <c:v>36.512490510049638</c:v>
                </c:pt>
                <c:pt idx="90">
                  <c:v>32.159514642939463</c:v>
                </c:pt>
                <c:pt idx="91">
                  <c:v>28.528340629880599</c:v>
                </c:pt>
                <c:pt idx="92">
                  <c:v>25.494821688430193</c:v>
                </c:pt>
                <c:pt idx="93">
                  <c:v>22.957360236836113</c:v>
                </c:pt>
                <c:pt idx="94">
                  <c:v>20.831827057546114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EA3-D44D-9EA2-7DE6CAD33ACE}"/>
            </c:ext>
          </c:extLst>
        </c:ser>
        <c:ser>
          <c:idx val="5"/>
          <c:order val="5"/>
          <c:tx>
            <c:strRef>
              <c:f>EdgeAI_vs_Download!$A$23</c:f>
              <c:strCache>
                <c:ptCount val="1"/>
                <c:pt idx="0">
                  <c:v>Cost to download compressed data [Euro/per second]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EdgeAI_vs_Download!$B$7:$CR$7</c:f>
              <c:numCache>
                <c:formatCode>General</c:formatCode>
                <c:ptCount val="95"/>
                <c:pt idx="1">
                  <c:v>1957</c:v>
                </c:pt>
                <c:pt idx="2">
                  <c:v>1958</c:v>
                </c:pt>
                <c:pt idx="3">
                  <c:v>1959</c:v>
                </c:pt>
                <c:pt idx="4">
                  <c:v>1960</c:v>
                </c:pt>
                <c:pt idx="5">
                  <c:v>1961</c:v>
                </c:pt>
                <c:pt idx="6">
                  <c:v>1962</c:v>
                </c:pt>
                <c:pt idx="7">
                  <c:v>1963</c:v>
                </c:pt>
                <c:pt idx="8">
                  <c:v>1964</c:v>
                </c:pt>
                <c:pt idx="9">
                  <c:v>1965</c:v>
                </c:pt>
                <c:pt idx="10">
                  <c:v>1966</c:v>
                </c:pt>
                <c:pt idx="11">
                  <c:v>1967</c:v>
                </c:pt>
                <c:pt idx="12">
                  <c:v>1968</c:v>
                </c:pt>
                <c:pt idx="13">
                  <c:v>1969</c:v>
                </c:pt>
                <c:pt idx="14">
                  <c:v>1970</c:v>
                </c:pt>
                <c:pt idx="15">
                  <c:v>1971</c:v>
                </c:pt>
                <c:pt idx="16">
                  <c:v>1972</c:v>
                </c:pt>
                <c:pt idx="17">
                  <c:v>1973</c:v>
                </c:pt>
                <c:pt idx="18">
                  <c:v>1974</c:v>
                </c:pt>
                <c:pt idx="19">
                  <c:v>1975</c:v>
                </c:pt>
                <c:pt idx="20">
                  <c:v>1976</c:v>
                </c:pt>
                <c:pt idx="21">
                  <c:v>1977</c:v>
                </c:pt>
                <c:pt idx="22">
                  <c:v>1978</c:v>
                </c:pt>
                <c:pt idx="23">
                  <c:v>1979</c:v>
                </c:pt>
                <c:pt idx="24">
                  <c:v>1980</c:v>
                </c:pt>
                <c:pt idx="25">
                  <c:v>1981</c:v>
                </c:pt>
                <c:pt idx="26">
                  <c:v>1982</c:v>
                </c:pt>
                <c:pt idx="27">
                  <c:v>1983</c:v>
                </c:pt>
                <c:pt idx="28">
                  <c:v>1984</c:v>
                </c:pt>
                <c:pt idx="29">
                  <c:v>1985</c:v>
                </c:pt>
                <c:pt idx="30">
                  <c:v>1986</c:v>
                </c:pt>
                <c:pt idx="31">
                  <c:v>1987</c:v>
                </c:pt>
                <c:pt idx="32">
                  <c:v>1988</c:v>
                </c:pt>
                <c:pt idx="33">
                  <c:v>1989</c:v>
                </c:pt>
                <c:pt idx="34">
                  <c:v>1990</c:v>
                </c:pt>
                <c:pt idx="35">
                  <c:v>1991</c:v>
                </c:pt>
                <c:pt idx="36">
                  <c:v>1992</c:v>
                </c:pt>
                <c:pt idx="37">
                  <c:v>1993</c:v>
                </c:pt>
                <c:pt idx="38">
                  <c:v>1994</c:v>
                </c:pt>
                <c:pt idx="39">
                  <c:v>1995</c:v>
                </c:pt>
                <c:pt idx="40">
                  <c:v>1996</c:v>
                </c:pt>
                <c:pt idx="41">
                  <c:v>1997</c:v>
                </c:pt>
                <c:pt idx="42">
                  <c:v>1998</c:v>
                </c:pt>
                <c:pt idx="43">
                  <c:v>1999</c:v>
                </c:pt>
                <c:pt idx="44">
                  <c:v>2000</c:v>
                </c:pt>
                <c:pt idx="45">
                  <c:v>2001</c:v>
                </c:pt>
                <c:pt idx="46">
                  <c:v>2002</c:v>
                </c:pt>
                <c:pt idx="47">
                  <c:v>2003</c:v>
                </c:pt>
                <c:pt idx="48">
                  <c:v>2004</c:v>
                </c:pt>
                <c:pt idx="49">
                  <c:v>2005</c:v>
                </c:pt>
                <c:pt idx="50">
                  <c:v>2006</c:v>
                </c:pt>
                <c:pt idx="51">
                  <c:v>2007</c:v>
                </c:pt>
                <c:pt idx="52">
                  <c:v>2008</c:v>
                </c:pt>
                <c:pt idx="53">
                  <c:v>2009</c:v>
                </c:pt>
                <c:pt idx="54">
                  <c:v>2010</c:v>
                </c:pt>
                <c:pt idx="55">
                  <c:v>2011</c:v>
                </c:pt>
                <c:pt idx="56">
                  <c:v>2012</c:v>
                </c:pt>
                <c:pt idx="57">
                  <c:v>2013</c:v>
                </c:pt>
                <c:pt idx="58">
                  <c:v>2014</c:v>
                </c:pt>
                <c:pt idx="59">
                  <c:v>2015</c:v>
                </c:pt>
                <c:pt idx="60">
                  <c:v>2016</c:v>
                </c:pt>
                <c:pt idx="61">
                  <c:v>2017</c:v>
                </c:pt>
                <c:pt idx="62">
                  <c:v>2018</c:v>
                </c:pt>
                <c:pt idx="63">
                  <c:v>2019</c:v>
                </c:pt>
                <c:pt idx="64">
                  <c:v>2020</c:v>
                </c:pt>
                <c:pt idx="65">
                  <c:v>2021</c:v>
                </c:pt>
                <c:pt idx="66">
                  <c:v>2022</c:v>
                </c:pt>
                <c:pt idx="67">
                  <c:v>2023</c:v>
                </c:pt>
                <c:pt idx="68">
                  <c:v>2024</c:v>
                </c:pt>
                <c:pt idx="69">
                  <c:v>2025</c:v>
                </c:pt>
                <c:pt idx="70">
                  <c:v>2026</c:v>
                </c:pt>
                <c:pt idx="71">
                  <c:v>2027</c:v>
                </c:pt>
                <c:pt idx="72">
                  <c:v>2028</c:v>
                </c:pt>
                <c:pt idx="73">
                  <c:v>2029</c:v>
                </c:pt>
                <c:pt idx="74">
                  <c:v>2030</c:v>
                </c:pt>
                <c:pt idx="75">
                  <c:v>2031</c:v>
                </c:pt>
                <c:pt idx="76">
                  <c:v>2032</c:v>
                </c:pt>
                <c:pt idx="77">
                  <c:v>2033</c:v>
                </c:pt>
                <c:pt idx="78">
                  <c:v>2034</c:v>
                </c:pt>
                <c:pt idx="79">
                  <c:v>2035</c:v>
                </c:pt>
                <c:pt idx="80">
                  <c:v>2036</c:v>
                </c:pt>
                <c:pt idx="81">
                  <c:v>2037</c:v>
                </c:pt>
                <c:pt idx="82">
                  <c:v>2038</c:v>
                </c:pt>
                <c:pt idx="83">
                  <c:v>2039</c:v>
                </c:pt>
                <c:pt idx="84">
                  <c:v>2040</c:v>
                </c:pt>
                <c:pt idx="85">
                  <c:v>2041</c:v>
                </c:pt>
                <c:pt idx="86">
                  <c:v>2042</c:v>
                </c:pt>
                <c:pt idx="87">
                  <c:v>2043</c:v>
                </c:pt>
                <c:pt idx="88">
                  <c:v>2044</c:v>
                </c:pt>
                <c:pt idx="89">
                  <c:v>2045</c:v>
                </c:pt>
                <c:pt idx="90">
                  <c:v>2046</c:v>
                </c:pt>
                <c:pt idx="91">
                  <c:v>2047</c:v>
                </c:pt>
                <c:pt idx="92">
                  <c:v>2048</c:v>
                </c:pt>
                <c:pt idx="93">
                  <c:v>2049</c:v>
                </c:pt>
                <c:pt idx="94">
                  <c:v>2050</c:v>
                </c:pt>
              </c:numCache>
            </c:numRef>
          </c:xVal>
          <c:yVal>
            <c:numRef>
              <c:f>EdgeAI_vs_Download!$B$23:$CR$23</c:f>
              <c:numCache>
                <c:formatCode>General</c:formatCode>
                <c:ptCount val="95"/>
                <c:pt idx="67" formatCode="0">
                  <c:v>0.11654097979665348</c:v>
                </c:pt>
                <c:pt idx="68" formatCode="0">
                  <c:v>0.12039138412943415</c:v>
                </c:pt>
                <c:pt idx="69" formatCode="0">
                  <c:v>0.12436900219897734</c:v>
                </c:pt>
                <c:pt idx="70" formatCode="0">
                  <c:v>0.12847803702746521</c:v>
                </c:pt>
                <c:pt idx="71" formatCode="0">
                  <c:v>0.13272283050097874</c:v>
                </c:pt>
                <c:pt idx="72" formatCode="0">
                  <c:v>0.13710786795743024</c:v>
                </c:pt>
                <c:pt idx="73" formatCode="0">
                  <c:v>0.14163778292607693</c:v>
                </c:pt>
                <c:pt idx="74" formatCode="0">
                  <c:v>0.1463173620236235</c:v>
                </c:pt>
                <c:pt idx="75" formatCode="0">
                  <c:v>0.15115155001208741</c:v>
                </c:pt>
                <c:pt idx="76" formatCode="0">
                  <c:v>0.15614545502377131</c:v>
                </c:pt>
                <c:pt idx="77" formatCode="0">
                  <c:v>0.16130435395886333</c:v>
                </c:pt>
                <c:pt idx="78" formatCode="0">
                  <c:v>0.16663369806136957</c:v>
                </c:pt>
                <c:pt idx="79" formatCode="0">
                  <c:v>0.17213911867926959</c:v>
                </c:pt>
                <c:pt idx="80" formatCode="0">
                  <c:v>0.17782643321498232</c:v>
                </c:pt>
                <c:pt idx="81" formatCode="0">
                  <c:v>0.1837016512724296</c:v>
                </c:pt>
                <c:pt idx="82" formatCode="0">
                  <c:v>0.18977098100719333</c:v>
                </c:pt>
                <c:pt idx="83" formatCode="0">
                  <c:v>0.19604083568647515</c:v>
                </c:pt>
                <c:pt idx="84" formatCode="0">
                  <c:v>0.20251784046579163</c:v>
                </c:pt>
                <c:pt idx="85" formatCode="0">
                  <c:v>0.20920883938956469</c:v>
                </c:pt>
                <c:pt idx="86" formatCode="0">
                  <c:v>0.21612090262300535</c:v>
                </c:pt>
                <c:pt idx="87" formatCode="0">
                  <c:v>0.22326133392293157</c:v>
                </c:pt>
                <c:pt idx="88" formatCode="0">
                  <c:v>0.23063767835541538</c:v>
                </c:pt>
                <c:pt idx="89" formatCode="0">
                  <c:v>0.23825773026841351</c:v>
                </c:pt>
                <c:pt idx="90" formatCode="0">
                  <c:v>0.24612954152780653</c:v>
                </c:pt>
                <c:pt idx="91" formatCode="0">
                  <c:v>0.25426143002554852</c:v>
                </c:pt>
                <c:pt idx="92" formatCode="0">
                  <c:v>0.26266198846891847</c:v>
                </c:pt>
                <c:pt idx="93" formatCode="0">
                  <c:v>0.27134009346015997</c:v>
                </c:pt>
                <c:pt idx="94" formatCode="0">
                  <c:v>0.28030491487610376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EA3-D44D-9EA2-7DE6CAD33ACE}"/>
            </c:ext>
          </c:extLst>
        </c:ser>
        <c:ser>
          <c:idx val="6"/>
          <c:order val="6"/>
          <c:tx>
            <c:strRef>
              <c:f>EdgeAI_vs_Download!$A$25</c:f>
              <c:strCache>
                <c:ptCount val="1"/>
                <c:pt idx="0">
                  <c:v>Cost to compress AND download [Euro/second]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EdgeAI_vs_Download!$B$7:$CR$7</c:f>
              <c:numCache>
                <c:formatCode>General</c:formatCode>
                <c:ptCount val="95"/>
                <c:pt idx="1">
                  <c:v>1957</c:v>
                </c:pt>
                <c:pt idx="2">
                  <c:v>1958</c:v>
                </c:pt>
                <c:pt idx="3">
                  <c:v>1959</c:v>
                </c:pt>
                <c:pt idx="4">
                  <c:v>1960</c:v>
                </c:pt>
                <c:pt idx="5">
                  <c:v>1961</c:v>
                </c:pt>
                <c:pt idx="6">
                  <c:v>1962</c:v>
                </c:pt>
                <c:pt idx="7">
                  <c:v>1963</c:v>
                </c:pt>
                <c:pt idx="8">
                  <c:v>1964</c:v>
                </c:pt>
                <c:pt idx="9">
                  <c:v>1965</c:v>
                </c:pt>
                <c:pt idx="10">
                  <c:v>1966</c:v>
                </c:pt>
                <c:pt idx="11">
                  <c:v>1967</c:v>
                </c:pt>
                <c:pt idx="12">
                  <c:v>1968</c:v>
                </c:pt>
                <c:pt idx="13">
                  <c:v>1969</c:v>
                </c:pt>
                <c:pt idx="14">
                  <c:v>1970</c:v>
                </c:pt>
                <c:pt idx="15">
                  <c:v>1971</c:v>
                </c:pt>
                <c:pt idx="16">
                  <c:v>1972</c:v>
                </c:pt>
                <c:pt idx="17">
                  <c:v>1973</c:v>
                </c:pt>
                <c:pt idx="18">
                  <c:v>1974</c:v>
                </c:pt>
                <c:pt idx="19">
                  <c:v>1975</c:v>
                </c:pt>
                <c:pt idx="20">
                  <c:v>1976</c:v>
                </c:pt>
                <c:pt idx="21">
                  <c:v>1977</c:v>
                </c:pt>
                <c:pt idx="22">
                  <c:v>1978</c:v>
                </c:pt>
                <c:pt idx="23">
                  <c:v>1979</c:v>
                </c:pt>
                <c:pt idx="24">
                  <c:v>1980</c:v>
                </c:pt>
                <c:pt idx="25">
                  <c:v>1981</c:v>
                </c:pt>
                <c:pt idx="26">
                  <c:v>1982</c:v>
                </c:pt>
                <c:pt idx="27">
                  <c:v>1983</c:v>
                </c:pt>
                <c:pt idx="28">
                  <c:v>1984</c:v>
                </c:pt>
                <c:pt idx="29">
                  <c:v>1985</c:v>
                </c:pt>
                <c:pt idx="30">
                  <c:v>1986</c:v>
                </c:pt>
                <c:pt idx="31">
                  <c:v>1987</c:v>
                </c:pt>
                <c:pt idx="32">
                  <c:v>1988</c:v>
                </c:pt>
                <c:pt idx="33">
                  <c:v>1989</c:v>
                </c:pt>
                <c:pt idx="34">
                  <c:v>1990</c:v>
                </c:pt>
                <c:pt idx="35">
                  <c:v>1991</c:v>
                </c:pt>
                <c:pt idx="36">
                  <c:v>1992</c:v>
                </c:pt>
                <c:pt idx="37">
                  <c:v>1993</c:v>
                </c:pt>
                <c:pt idx="38">
                  <c:v>1994</c:v>
                </c:pt>
                <c:pt idx="39">
                  <c:v>1995</c:v>
                </c:pt>
                <c:pt idx="40">
                  <c:v>1996</c:v>
                </c:pt>
                <c:pt idx="41">
                  <c:v>1997</c:v>
                </c:pt>
                <c:pt idx="42">
                  <c:v>1998</c:v>
                </c:pt>
                <c:pt idx="43">
                  <c:v>1999</c:v>
                </c:pt>
                <c:pt idx="44">
                  <c:v>2000</c:v>
                </c:pt>
                <c:pt idx="45">
                  <c:v>2001</c:v>
                </c:pt>
                <c:pt idx="46">
                  <c:v>2002</c:v>
                </c:pt>
                <c:pt idx="47">
                  <c:v>2003</c:v>
                </c:pt>
                <c:pt idx="48">
                  <c:v>2004</c:v>
                </c:pt>
                <c:pt idx="49">
                  <c:v>2005</c:v>
                </c:pt>
                <c:pt idx="50">
                  <c:v>2006</c:v>
                </c:pt>
                <c:pt idx="51">
                  <c:v>2007</c:v>
                </c:pt>
                <c:pt idx="52">
                  <c:v>2008</c:v>
                </c:pt>
                <c:pt idx="53">
                  <c:v>2009</c:v>
                </c:pt>
                <c:pt idx="54">
                  <c:v>2010</c:v>
                </c:pt>
                <c:pt idx="55">
                  <c:v>2011</c:v>
                </c:pt>
                <c:pt idx="56">
                  <c:v>2012</c:v>
                </c:pt>
                <c:pt idx="57">
                  <c:v>2013</c:v>
                </c:pt>
                <c:pt idx="58">
                  <c:v>2014</c:v>
                </c:pt>
                <c:pt idx="59">
                  <c:v>2015</c:v>
                </c:pt>
                <c:pt idx="60">
                  <c:v>2016</c:v>
                </c:pt>
                <c:pt idx="61">
                  <c:v>2017</c:v>
                </c:pt>
                <c:pt idx="62">
                  <c:v>2018</c:v>
                </c:pt>
                <c:pt idx="63">
                  <c:v>2019</c:v>
                </c:pt>
                <c:pt idx="64">
                  <c:v>2020</c:v>
                </c:pt>
                <c:pt idx="65">
                  <c:v>2021</c:v>
                </c:pt>
                <c:pt idx="66">
                  <c:v>2022</c:v>
                </c:pt>
                <c:pt idx="67">
                  <c:v>2023</c:v>
                </c:pt>
                <c:pt idx="68">
                  <c:v>2024</c:v>
                </c:pt>
                <c:pt idx="69">
                  <c:v>2025</c:v>
                </c:pt>
                <c:pt idx="70">
                  <c:v>2026</c:v>
                </c:pt>
                <c:pt idx="71">
                  <c:v>2027</c:v>
                </c:pt>
                <c:pt idx="72">
                  <c:v>2028</c:v>
                </c:pt>
                <c:pt idx="73">
                  <c:v>2029</c:v>
                </c:pt>
                <c:pt idx="74">
                  <c:v>2030</c:v>
                </c:pt>
                <c:pt idx="75">
                  <c:v>2031</c:v>
                </c:pt>
                <c:pt idx="76">
                  <c:v>2032</c:v>
                </c:pt>
                <c:pt idx="77">
                  <c:v>2033</c:v>
                </c:pt>
                <c:pt idx="78">
                  <c:v>2034</c:v>
                </c:pt>
                <c:pt idx="79">
                  <c:v>2035</c:v>
                </c:pt>
                <c:pt idx="80">
                  <c:v>2036</c:v>
                </c:pt>
                <c:pt idx="81">
                  <c:v>2037</c:v>
                </c:pt>
                <c:pt idx="82">
                  <c:v>2038</c:v>
                </c:pt>
                <c:pt idx="83">
                  <c:v>2039</c:v>
                </c:pt>
                <c:pt idx="84">
                  <c:v>2040</c:v>
                </c:pt>
                <c:pt idx="85">
                  <c:v>2041</c:v>
                </c:pt>
                <c:pt idx="86">
                  <c:v>2042</c:v>
                </c:pt>
                <c:pt idx="87">
                  <c:v>2043</c:v>
                </c:pt>
                <c:pt idx="88">
                  <c:v>2044</c:v>
                </c:pt>
                <c:pt idx="89">
                  <c:v>2045</c:v>
                </c:pt>
                <c:pt idx="90">
                  <c:v>2046</c:v>
                </c:pt>
                <c:pt idx="91">
                  <c:v>2047</c:v>
                </c:pt>
                <c:pt idx="92">
                  <c:v>2048</c:v>
                </c:pt>
                <c:pt idx="93">
                  <c:v>2049</c:v>
                </c:pt>
                <c:pt idx="94">
                  <c:v>2050</c:v>
                </c:pt>
              </c:numCache>
            </c:numRef>
          </c:xVal>
          <c:yVal>
            <c:numRef>
              <c:f>EdgeAI_vs_Download!$B$25:$CR$25</c:f>
              <c:numCache>
                <c:formatCode>General</c:formatCode>
                <c:ptCount val="95"/>
                <c:pt idx="67" formatCode="0">
                  <c:v>3338.3123787310656</c:v>
                </c:pt>
                <c:pt idx="68" formatCode="0">
                  <c:v>2675.580010337344</c:v>
                </c:pt>
                <c:pt idx="69" formatCode="0">
                  <c:v>1615.7143886361557</c:v>
                </c:pt>
                <c:pt idx="70" formatCode="0">
                  <c:v>1298.2744817149862</c:v>
                </c:pt>
                <c:pt idx="71" formatCode="0">
                  <c:v>1007.7793777795649</c:v>
                </c:pt>
                <c:pt idx="72" formatCode="0">
                  <c:v>775.69960871124704</c:v>
                </c:pt>
                <c:pt idx="73" formatCode="0">
                  <c:v>607.83708528388365</c:v>
                </c:pt>
                <c:pt idx="74" formatCode="0">
                  <c:v>491.0559234699827</c:v>
                </c:pt>
                <c:pt idx="75" formatCode="0">
                  <c:v>399.85118376668322</c:v>
                </c:pt>
                <c:pt idx="76" formatCode="0">
                  <c:v>324.12580555543792</c:v>
                </c:pt>
                <c:pt idx="77" formatCode="0">
                  <c:v>264.74050235428172</c:v>
                </c:pt>
                <c:pt idx="78" formatCode="0">
                  <c:v>217.92665215106732</c:v>
                </c:pt>
                <c:pt idx="79" formatCode="0">
                  <c:v>180.96070667917456</c:v>
                </c:pt>
                <c:pt idx="80" formatCode="0">
                  <c:v>150.45278887863142</c:v>
                </c:pt>
                <c:pt idx="81" formatCode="0">
                  <c:v>125.94544634567725</c:v>
                </c:pt>
                <c:pt idx="82" formatCode="0">
                  <c:v>105.91257785583417</c:v>
                </c:pt>
                <c:pt idx="83" formatCode="0">
                  <c:v>89.527434636275785</c:v>
                </c:pt>
                <c:pt idx="84" formatCode="0">
                  <c:v>76.061608001983757</c:v>
                </c:pt>
                <c:pt idx="85" formatCode="0">
                  <c:v>64.977099775715132</c:v>
                </c:pt>
                <c:pt idx="86" formatCode="0">
                  <c:v>55.825222355632107</c:v>
                </c:pt>
                <c:pt idx="87" formatCode="0">
                  <c:v>48.250808924096404</c:v>
                </c:pt>
                <c:pt idx="88" formatCode="0">
                  <c:v>41.970477868145714</c:v>
                </c:pt>
                <c:pt idx="89" formatCode="0">
                  <c:v>36.750748240318053</c:v>
                </c:pt>
                <c:pt idx="90" formatCode="0">
                  <c:v>32.40564418446727</c:v>
                </c:pt>
                <c:pt idx="91" formatCode="0">
                  <c:v>28.782602059906147</c:v>
                </c:pt>
                <c:pt idx="92" formatCode="0">
                  <c:v>25.75748367689911</c:v>
                </c:pt>
                <c:pt idx="93" formatCode="0">
                  <c:v>23.228700330296274</c:v>
                </c:pt>
                <c:pt idx="94" formatCode="0">
                  <c:v>21.112131972422219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EA3-D44D-9EA2-7DE6CAD33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154704"/>
        <c:axId val="746285152"/>
      </c:scatterChart>
      <c:valAx>
        <c:axId val="746154704"/>
        <c:scaling>
          <c:orientation val="minMax"/>
          <c:max val="2050"/>
          <c:min val="19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746285152"/>
        <c:crosses val="autoZero"/>
        <c:crossBetween val="midCat"/>
      </c:valAx>
      <c:valAx>
        <c:axId val="7462851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746154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aseline="0"/>
              <a:t>Compute Efficiency W/GFLOPS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Technology_Roadmap!$G$108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Technology_Roadmap!$H$1:$AI$1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Technology_Roadmap!$H$108:$AI$108</c:f>
              <c:numCache>
                <c:formatCode>0.00000</c:formatCode>
                <c:ptCount val="28"/>
                <c:pt idx="0">
                  <c:v>10</c:v>
                </c:pt>
                <c:pt idx="1">
                  <c:v>7.0710678118654746</c:v>
                </c:pt>
                <c:pt idx="2">
                  <c:v>4.9999999999999991</c:v>
                </c:pt>
                <c:pt idx="3">
                  <c:v>3.5355339059327369</c:v>
                </c:pt>
                <c:pt idx="4">
                  <c:v>2.4999999999999991</c:v>
                </c:pt>
                <c:pt idx="5">
                  <c:v>1.767766952966368</c:v>
                </c:pt>
                <c:pt idx="6">
                  <c:v>1.2499999999999993</c:v>
                </c:pt>
                <c:pt idx="7">
                  <c:v>0.88388347648318388</c:v>
                </c:pt>
                <c:pt idx="8">
                  <c:v>0.62499999999999956</c:v>
                </c:pt>
                <c:pt idx="9">
                  <c:v>0.44194173824159183</c:v>
                </c:pt>
                <c:pt idx="10">
                  <c:v>0.31249999999999972</c:v>
                </c:pt>
                <c:pt idx="11">
                  <c:v>0.22097086912079589</c:v>
                </c:pt>
                <c:pt idx="12">
                  <c:v>0.15624999999999983</c:v>
                </c:pt>
                <c:pt idx="13">
                  <c:v>0.11048543456039793</c:v>
                </c:pt>
                <c:pt idx="14">
                  <c:v>7.8124999999999903E-2</c:v>
                </c:pt>
                <c:pt idx="15">
                  <c:v>5.5242717280198951E-2</c:v>
                </c:pt>
                <c:pt idx="16">
                  <c:v>3.9062499999999944E-2</c:v>
                </c:pt>
                <c:pt idx="17">
                  <c:v>2.7621358640099472E-2</c:v>
                </c:pt>
                <c:pt idx="18">
                  <c:v>1.9531249999999969E-2</c:v>
                </c:pt>
                <c:pt idx="19">
                  <c:v>1.3810679320049733E-2</c:v>
                </c:pt>
                <c:pt idx="20">
                  <c:v>9.7656249999999827E-3</c:v>
                </c:pt>
                <c:pt idx="21">
                  <c:v>6.9053396600248654E-3</c:v>
                </c:pt>
                <c:pt idx="22">
                  <c:v>4.8828124999999905E-3</c:v>
                </c:pt>
                <c:pt idx="23">
                  <c:v>3.4526698300124318E-3</c:v>
                </c:pt>
                <c:pt idx="24">
                  <c:v>2.4414062499999948E-3</c:v>
                </c:pt>
                <c:pt idx="25">
                  <c:v>1.7263349150062157E-3</c:v>
                </c:pt>
                <c:pt idx="26">
                  <c:v>1.2207031249999972E-3</c:v>
                </c:pt>
                <c:pt idx="27">
                  <c:v>8.6316745750310774E-4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C1-EA43-B341-6496C0B1ED49}"/>
            </c:ext>
          </c:extLst>
        </c:ser>
        <c:ser>
          <c:idx val="1"/>
          <c:order val="1"/>
          <c:tx>
            <c:strRef>
              <c:f>Technology_Roadmap!$G$109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Technology_Roadmap!$H$1:$AI$1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Technology_Roadmap!$H$109:$AI$109</c:f>
              <c:numCache>
                <c:formatCode>0.00000</c:formatCode>
                <c:ptCount val="28"/>
                <c:pt idx="0">
                  <c:v>3</c:v>
                </c:pt>
                <c:pt idx="1">
                  <c:v>2.0829767139219841</c:v>
                </c:pt>
                <c:pt idx="2">
                  <c:v>1.4462639969137425</c:v>
                </c:pt>
                <c:pt idx="3">
                  <c:v>1.0041780759183541</c:v>
                </c:pt>
                <c:pt idx="4">
                  <c:v>0.69722651625630461</c:v>
                </c:pt>
                <c:pt idx="5">
                  <c:v>0.48410219923027675</c:v>
                </c:pt>
                <c:pt idx="6">
                  <c:v>0.33612453605169584</c:v>
                </c:pt>
                <c:pt idx="7">
                  <c:v>0.23337986052450432</c:v>
                </c:pt>
                <c:pt idx="8">
                  <c:v>0.16204160499030101</c:v>
                </c:pt>
                <c:pt idx="9">
                  <c:v>0.11250962996044714</c:v>
                </c:pt>
                <c:pt idx="10">
                  <c:v>7.8118313099863529E-2</c:v>
                </c:pt>
                <c:pt idx="11">
                  <c:v>5.4239542372627479E-2</c:v>
                </c:pt>
                <c:pt idx="12">
                  <c:v>3.7659901245322605E-2</c:v>
                </c:pt>
                <c:pt idx="13">
                  <c:v>2.6148232447536175E-2</c:v>
                </c:pt>
                <c:pt idx="14">
                  <c:v>1.8155386432812368E-2</c:v>
                </c:pt>
                <c:pt idx="15">
                  <c:v>1.2605749057267761E-2</c:v>
                </c:pt>
                <c:pt idx="16">
                  <c:v>8.7524939159442511E-3</c:v>
                </c:pt>
                <c:pt idx="17">
                  <c:v>6.0770803385519056E-3</c:v>
                </c:pt>
                <c:pt idx="18">
                  <c:v>4.2194722779455825E-3</c:v>
                </c:pt>
                <c:pt idx="19">
                  <c:v>2.9296874999999996E-3</c:v>
                </c:pt>
                <c:pt idx="20">
                  <c:v>2.0341569471894376E-3</c:v>
                </c:pt>
                <c:pt idx="21">
                  <c:v>1.4123671844860767E-3</c:v>
                </c:pt>
                <c:pt idx="22">
                  <c:v>9.8064265226401764E-4</c:v>
                </c:pt>
                <c:pt idx="23">
                  <c:v>6.8088526978154747E-4</c:v>
                </c:pt>
                <c:pt idx="24">
                  <c:v>4.7275605393581714E-4</c:v>
                </c:pt>
                <c:pt idx="25">
                  <c:v>3.2824661723798422E-4</c:v>
                </c:pt>
                <c:pt idx="26">
                  <c:v>2.2791002004346125E-4</c:v>
                </c:pt>
                <c:pt idx="27">
                  <c:v>1.5824375487334083E-4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C1-EA43-B341-6496C0B1ED49}"/>
            </c:ext>
          </c:extLst>
        </c:ser>
        <c:ser>
          <c:idx val="2"/>
          <c:order val="2"/>
          <c:tx>
            <c:strRef>
              <c:f>Technology_Roadmap!$G$110</c:f>
              <c:strCache>
                <c:ptCount val="1"/>
                <c:pt idx="0">
                  <c:v>FPGA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Technology_Roadmap!$H$1:$AI$1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Technology_Roadmap!$H$110:$AI$110</c:f>
              <c:numCache>
                <c:formatCode>0.00000</c:formatCode>
                <c:ptCount val="28"/>
                <c:pt idx="0">
                  <c:v>2</c:v>
                </c:pt>
                <c:pt idx="1">
                  <c:v>1.5992764622331681</c:v>
                </c:pt>
                <c:pt idx="2">
                  <c:v>1.2788426013265191</c:v>
                </c:pt>
                <c:pt idx="3">
                  <c:v>1.0226114356012685</c:v>
                </c:pt>
                <c:pt idx="4">
                  <c:v>0.81771919948378902</c:v>
                </c:pt>
                <c:pt idx="5">
                  <c:v>0.65387953422528622</c:v>
                </c:pt>
                <c:pt idx="6">
                  <c:v>0.52286707411124378</c:v>
                </c:pt>
                <c:pt idx="7">
                  <c:v>0.41810450225141882</c:v>
                </c:pt>
                <c:pt idx="8">
                  <c:v>0.3343323446022044</c:v>
                </c:pt>
                <c:pt idx="9">
                  <c:v>0.26734492464276693</c:v>
                </c:pt>
                <c:pt idx="10">
                  <c:v>0.2137792226393386</c:v>
                </c:pt>
                <c:pt idx="11">
                  <c:v>0.17094603944079911</c:v>
                </c:pt>
                <c:pt idx="12">
                  <c:v>0.13669498859482643</c:v>
                </c:pt>
                <c:pt idx="13">
                  <c:v>0.10930653888246863</c:v>
                </c:pt>
                <c:pt idx="14">
                  <c:v>8.7405687401453339E-2</c:v>
                </c:pt>
                <c:pt idx="15">
                  <c:v>6.9892929263227238E-2</c:v>
                </c:pt>
                <c:pt idx="16">
                  <c:v>5.5889058323603566E-2</c:v>
                </c:pt>
                <c:pt idx="17">
                  <c:v>4.4691027736657951E-2</c:v>
                </c:pt>
                <c:pt idx="18">
                  <c:v>3.573665436612336E-2</c:v>
                </c:pt>
                <c:pt idx="19">
                  <c:v>2.8576395083351636E-2</c:v>
                </c:pt>
                <c:pt idx="20">
                  <c:v>2.2850778016139953E-2</c:v>
                </c:pt>
                <c:pt idx="21">
                  <c:v>1.8272355712463877E-2</c:v>
                </c:pt>
                <c:pt idx="22">
                  <c:v>1.4611274200247625E-2</c:v>
                </c:pt>
                <c:pt idx="23">
                  <c:v>1.1683733455845393E-2</c:v>
                </c:pt>
                <c:pt idx="24">
                  <c:v>9.3427599534698629E-3</c:v>
                </c:pt>
                <c:pt idx="25">
                  <c:v>7.4708280429395006E-3</c:v>
                </c:pt>
                <c:pt idx="26">
                  <c:v>5.9739597212323135E-3</c:v>
                </c:pt>
                <c:pt idx="27">
                  <c:v>4.777006584247929E-3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C1-EA43-B341-6496C0B1ED49}"/>
            </c:ext>
          </c:extLst>
        </c:ser>
        <c:ser>
          <c:idx val="3"/>
          <c:order val="3"/>
          <c:tx>
            <c:strRef>
              <c:f>Technology_Roadmap!$G$111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Technology_Roadmap!$H$1:$AI$1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Technology_Roadmap!$H$111:$AI$111</c:f>
              <c:numCache>
                <c:formatCode>0.00000</c:formatCode>
                <c:ptCount val="28"/>
                <c:pt idx="0">
                  <c:v>1</c:v>
                </c:pt>
                <c:pt idx="1">
                  <c:v>0.70710678118654746</c:v>
                </c:pt>
                <c:pt idx="2">
                  <c:v>0.49999999999999989</c:v>
                </c:pt>
                <c:pt idx="3">
                  <c:v>0.35355339059327368</c:v>
                </c:pt>
                <c:pt idx="4">
                  <c:v>0.24999999999999992</c:v>
                </c:pt>
                <c:pt idx="5">
                  <c:v>0.17677669529663681</c:v>
                </c:pt>
                <c:pt idx="6">
                  <c:v>0.12499999999999994</c:v>
                </c:pt>
                <c:pt idx="7">
                  <c:v>8.8388347648318391E-2</c:v>
                </c:pt>
                <c:pt idx="8">
                  <c:v>6.2499999999999958E-2</c:v>
                </c:pt>
                <c:pt idx="9">
                  <c:v>4.4194173824159189E-2</c:v>
                </c:pt>
                <c:pt idx="10">
                  <c:v>3.1249999999999976E-2</c:v>
                </c:pt>
                <c:pt idx="11">
                  <c:v>2.2097086912079591E-2</c:v>
                </c:pt>
                <c:pt idx="12">
                  <c:v>1.5624999999999984E-2</c:v>
                </c:pt>
                <c:pt idx="13">
                  <c:v>1.1048543456039794E-2</c:v>
                </c:pt>
                <c:pt idx="14">
                  <c:v>7.8124999999999913E-3</c:v>
                </c:pt>
                <c:pt idx="15">
                  <c:v>5.524271728019896E-3</c:v>
                </c:pt>
                <c:pt idx="16">
                  <c:v>3.9062499999999952E-3</c:v>
                </c:pt>
                <c:pt idx="17">
                  <c:v>2.7621358640099476E-3</c:v>
                </c:pt>
                <c:pt idx="18">
                  <c:v>1.9531249999999972E-3</c:v>
                </c:pt>
                <c:pt idx="19">
                  <c:v>1.3810679320049736E-3</c:v>
                </c:pt>
                <c:pt idx="20">
                  <c:v>9.7656249999999848E-4</c:v>
                </c:pt>
                <c:pt idx="21">
                  <c:v>6.9053396600248667E-4</c:v>
                </c:pt>
                <c:pt idx="22">
                  <c:v>4.8828124999999913E-4</c:v>
                </c:pt>
                <c:pt idx="23">
                  <c:v>3.4526698300124328E-4</c:v>
                </c:pt>
                <c:pt idx="24">
                  <c:v>2.4414062499999954E-4</c:v>
                </c:pt>
                <c:pt idx="25">
                  <c:v>1.7263349150062161E-4</c:v>
                </c:pt>
                <c:pt idx="26">
                  <c:v>1.2207031249999974E-4</c:v>
                </c:pt>
                <c:pt idx="27">
                  <c:v>8.6316745750310793E-5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0C1-EA43-B341-6496C0B1ED49}"/>
            </c:ext>
          </c:extLst>
        </c:ser>
        <c:ser>
          <c:idx val="4"/>
          <c:order val="4"/>
          <c:tx>
            <c:strRef>
              <c:f>Technology_Roadmap!$G$112</c:f>
              <c:strCache>
                <c:ptCount val="1"/>
                <c:pt idx="0">
                  <c:v>Quantum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Technology_Roadmap!$H$1:$AI$1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Technology_Roadmap!$H$112:$AI$112</c:f>
              <c:numCache>
                <c:formatCode>0</c:formatCode>
                <c:ptCount val="28"/>
                <c:pt idx="7" formatCode="0.00000">
                  <c:v>0.1</c:v>
                </c:pt>
                <c:pt idx="8" formatCode="0.00000">
                  <c:v>6.299605249474366E-2</c:v>
                </c:pt>
                <c:pt idx="9" formatCode="0.00000">
                  <c:v>3.9685026299204985E-2</c:v>
                </c:pt>
                <c:pt idx="10" formatCode="0.00000">
                  <c:v>2.4999999999999998E-2</c:v>
                </c:pt>
                <c:pt idx="11" formatCode="0.00000">
                  <c:v>1.5749013123685915E-2</c:v>
                </c:pt>
                <c:pt idx="12" formatCode="0.00000">
                  <c:v>9.9212565748012464E-3</c:v>
                </c:pt>
                <c:pt idx="13" formatCode="0.00000">
                  <c:v>6.2499999999999995E-3</c:v>
                </c:pt>
                <c:pt idx="14" formatCode="0.00000">
                  <c:v>3.9372532809214787E-3</c:v>
                </c:pt>
                <c:pt idx="15" formatCode="0.00000">
                  <c:v>2.4803141437003116E-3</c:v>
                </c:pt>
                <c:pt idx="16" formatCode="0.00000">
                  <c:v>1.5624999999999999E-3</c:v>
                </c:pt>
                <c:pt idx="17" formatCode="0.00000">
                  <c:v>9.8431332023036968E-4</c:v>
                </c:pt>
                <c:pt idx="18" formatCode="0.00000">
                  <c:v>6.200785359250779E-4</c:v>
                </c:pt>
                <c:pt idx="19" formatCode="0.00000">
                  <c:v>3.9062499999999997E-4</c:v>
                </c:pt>
                <c:pt idx="20" formatCode="0.00000">
                  <c:v>2.4607833005759242E-4</c:v>
                </c:pt>
                <c:pt idx="21" formatCode="0.00000">
                  <c:v>1.5501963398126947E-4</c:v>
                </c:pt>
                <c:pt idx="22" formatCode="0.00000">
                  <c:v>9.7656249999999992E-5</c:v>
                </c:pt>
                <c:pt idx="23" formatCode="0.00000">
                  <c:v>6.1519582514398105E-5</c:v>
                </c:pt>
                <c:pt idx="24" formatCode="0.00000">
                  <c:v>3.8754908495317369E-5</c:v>
                </c:pt>
                <c:pt idx="25" formatCode="0.00000">
                  <c:v>2.4414062499999998E-5</c:v>
                </c:pt>
                <c:pt idx="26" formatCode="0.00000">
                  <c:v>1.5379895628599526E-5</c:v>
                </c:pt>
                <c:pt idx="27" formatCode="0.00000">
                  <c:v>9.6887271238293421E-6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0C1-EA43-B341-6496C0B1E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679983"/>
        <c:axId val="438711807"/>
      </c:scatterChart>
      <c:valAx>
        <c:axId val="438679983"/>
        <c:scaling>
          <c:orientation val="minMax"/>
          <c:max val="20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438711807"/>
        <c:crosses val="autoZero"/>
        <c:crossBetween val="midCat"/>
      </c:valAx>
      <c:valAx>
        <c:axId val="43871180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4386799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Compute Cost $/GFLOPS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Technology_Roadmap!$G$114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Technology_Roadmap!$H$1:$AI$1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Technology_Roadmap!$H$114:$AI$114</c:f>
              <c:numCache>
                <c:formatCode>0.00</c:formatCode>
                <c:ptCount val="28"/>
                <c:pt idx="0">
                  <c:v>15</c:v>
                </c:pt>
                <c:pt idx="1">
                  <c:v>10.606601717798211</c:v>
                </c:pt>
                <c:pt idx="2">
                  <c:v>7.4999999999999982</c:v>
                </c:pt>
                <c:pt idx="3">
                  <c:v>5.3033008588991049</c:v>
                </c:pt>
                <c:pt idx="4">
                  <c:v>3.7499999999999987</c:v>
                </c:pt>
                <c:pt idx="5">
                  <c:v>2.651650429449552</c:v>
                </c:pt>
                <c:pt idx="6">
                  <c:v>1.8749999999999989</c:v>
                </c:pt>
                <c:pt idx="7">
                  <c:v>1.3258252147247758</c:v>
                </c:pt>
                <c:pt idx="8">
                  <c:v>0.93749999999999933</c:v>
                </c:pt>
                <c:pt idx="9">
                  <c:v>0.66291260736238777</c:v>
                </c:pt>
                <c:pt idx="10">
                  <c:v>0.46874999999999956</c:v>
                </c:pt>
                <c:pt idx="11">
                  <c:v>0.33145630368119383</c:v>
                </c:pt>
                <c:pt idx="12">
                  <c:v>0.23437499999999975</c:v>
                </c:pt>
                <c:pt idx="13">
                  <c:v>0.16572815184059689</c:v>
                </c:pt>
                <c:pt idx="14">
                  <c:v>0.11718749999999986</c:v>
                </c:pt>
                <c:pt idx="15">
                  <c:v>8.286407592029843E-2</c:v>
                </c:pt>
                <c:pt idx="16">
                  <c:v>5.8593749999999917E-2</c:v>
                </c:pt>
                <c:pt idx="17">
                  <c:v>4.1432037960149208E-2</c:v>
                </c:pt>
                <c:pt idx="18">
                  <c:v>2.9296874999999955E-2</c:v>
                </c:pt>
                <c:pt idx="19">
                  <c:v>2.0716018980074601E-2</c:v>
                </c:pt>
                <c:pt idx="20">
                  <c:v>1.4648437499999974E-2</c:v>
                </c:pt>
                <c:pt idx="21">
                  <c:v>1.0358009490037299E-2</c:v>
                </c:pt>
                <c:pt idx="22">
                  <c:v>7.3242187499999861E-3</c:v>
                </c:pt>
                <c:pt idx="23">
                  <c:v>5.1790047450186484E-3</c:v>
                </c:pt>
                <c:pt idx="24">
                  <c:v>3.6621093749999926E-3</c:v>
                </c:pt>
                <c:pt idx="25">
                  <c:v>2.5895023725093238E-3</c:v>
                </c:pt>
                <c:pt idx="26">
                  <c:v>1.8310546874999959E-3</c:v>
                </c:pt>
                <c:pt idx="27">
                  <c:v>1.2947511862546617E-3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00-254F-942C-02F348BF43D1}"/>
            </c:ext>
          </c:extLst>
        </c:ser>
        <c:ser>
          <c:idx val="1"/>
          <c:order val="1"/>
          <c:tx>
            <c:strRef>
              <c:f>Technology_Roadmap!$G$115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Technology_Roadmap!$H$1:$AI$1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Technology_Roadmap!$H$115:$AI$115</c:f>
              <c:numCache>
                <c:formatCode>0.00</c:formatCode>
                <c:ptCount val="28"/>
                <c:pt idx="0">
                  <c:v>10</c:v>
                </c:pt>
                <c:pt idx="1">
                  <c:v>7.7284595535972498</c:v>
                </c:pt>
                <c:pt idx="2">
                  <c:v>5.9729087071588607</c:v>
                </c:pt>
                <c:pt idx="3">
                  <c:v>4.6161383360606099</c:v>
                </c:pt>
                <c:pt idx="4">
                  <c:v>3.5675638424054132</c:v>
                </c:pt>
                <c:pt idx="5">
                  <c:v>2.7571772860906232</c:v>
                </c:pt>
                <c:pt idx="6">
                  <c:v>2.1308733137648415</c:v>
                </c:pt>
                <c:pt idx="7">
                  <c:v>1.6468368219271319</c:v>
                </c:pt>
                <c:pt idx="8">
                  <c:v>1.2727511769638475</c:v>
                </c:pt>
                <c:pt idx="9">
                  <c:v>0.98364059929583914</c:v>
                </c:pt>
                <c:pt idx="10">
                  <c:v>0.7602026586934052</c:v>
                </c:pt>
                <c:pt idx="11">
                  <c:v>0.58751955002490774</c:v>
                </c:pt>
                <c:pt idx="12">
                  <c:v>0.45406210793151558</c:v>
                </c:pt>
                <c:pt idx="13">
                  <c:v>0.35092006359698275</c:v>
                </c:pt>
                <c:pt idx="14">
                  <c:v>0.27120715180550559</c:v>
                </c:pt>
                <c:pt idx="15">
                  <c:v>0.20960135033751592</c:v>
                </c:pt>
                <c:pt idx="16">
                  <c:v>0.16198955584628591</c:v>
                </c:pt>
                <c:pt idx="17">
                  <c:v>0.12519297304632035</c:v>
                </c:pt>
                <c:pt idx="18">
                  <c:v>9.6754882858307759E-2</c:v>
                </c:pt>
                <c:pt idx="19">
                  <c:v>7.4776619878347134E-2</c:v>
                </c:pt>
                <c:pt idx="20">
                  <c:v>5.7790808228452194E-2</c:v>
                </c:pt>
                <c:pt idx="21">
                  <c:v>4.4663392396328792E-2</c:v>
                </c:pt>
                <c:pt idx="22">
                  <c:v>3.4517922166147005E-2</c:v>
                </c:pt>
                <c:pt idx="23">
                  <c:v>2.6677036533528511E-2</c:v>
                </c:pt>
                <c:pt idx="24">
                  <c:v>2.0617239785921129E-2</c:v>
                </c:pt>
                <c:pt idx="25">
                  <c:v>1.5933950379230746E-2</c:v>
                </c:pt>
                <c:pt idx="26">
                  <c:v>1.2314489103491038E-2</c:v>
                </c:pt>
                <c:pt idx="27">
                  <c:v>9.5172030959544546E-3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00-254F-942C-02F348BF43D1}"/>
            </c:ext>
          </c:extLst>
        </c:ser>
        <c:ser>
          <c:idx val="2"/>
          <c:order val="2"/>
          <c:tx>
            <c:strRef>
              <c:f>Technology_Roadmap!$G$116</c:f>
              <c:strCache>
                <c:ptCount val="1"/>
                <c:pt idx="0">
                  <c:v>FPGA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Technology_Roadmap!$H$1:$AI$1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Technology_Roadmap!$H$116:$AI$116</c:f>
              <c:numCache>
                <c:formatCode>0.00</c:formatCode>
                <c:ptCount val="28"/>
                <c:pt idx="0">
                  <c:v>7</c:v>
                </c:pt>
                <c:pt idx="1">
                  <c:v>5.597467617816088</c:v>
                </c:pt>
                <c:pt idx="2">
                  <c:v>4.4759491046428161</c:v>
                </c:pt>
                <c:pt idx="3">
                  <c:v>3.5791400246044396</c:v>
                </c:pt>
                <c:pt idx="4">
                  <c:v>2.8620171981932612</c:v>
                </c:pt>
                <c:pt idx="5">
                  <c:v>2.2885783697885014</c:v>
                </c:pt>
                <c:pt idx="6">
                  <c:v>1.8300347593893529</c:v>
                </c:pt>
                <c:pt idx="7">
                  <c:v>1.4633657578799657</c:v>
                </c:pt>
                <c:pt idx="8">
                  <c:v>1.1701632061077152</c:v>
                </c:pt>
                <c:pt idx="9">
                  <c:v>0.9357072362496841</c:v>
                </c:pt>
                <c:pt idx="10">
                  <c:v>0.74822727923768506</c:v>
                </c:pt>
                <c:pt idx="11">
                  <c:v>0.5983111380427969</c:v>
                </c:pt>
                <c:pt idx="12">
                  <c:v>0.47843246008189244</c:v>
                </c:pt>
                <c:pt idx="13">
                  <c:v>0.38257288608864021</c:v>
                </c:pt>
                <c:pt idx="14">
                  <c:v>0.30591990590508666</c:v>
                </c:pt>
                <c:pt idx="15">
                  <c:v>0.24462525242129535</c:v>
                </c:pt>
                <c:pt idx="16">
                  <c:v>0.19561170413261247</c:v>
                </c:pt>
                <c:pt idx="17">
                  <c:v>0.15641859707830283</c:v>
                </c:pt>
                <c:pt idx="18">
                  <c:v>0.12507829028143175</c:v>
                </c:pt>
                <c:pt idx="19">
                  <c:v>0.10001738279173071</c:v>
                </c:pt>
                <c:pt idx="20">
                  <c:v>7.9977723056489813E-2</c:v>
                </c:pt>
                <c:pt idx="21">
                  <c:v>6.3953244993623551E-2</c:v>
                </c:pt>
                <c:pt idx="22">
                  <c:v>5.1139459700866668E-2</c:v>
                </c:pt>
                <c:pt idx="23">
                  <c:v>4.0893067095458854E-2</c:v>
                </c:pt>
                <c:pt idx="24">
                  <c:v>3.2699659837144505E-2</c:v>
                </c:pt>
                <c:pt idx="25">
                  <c:v>2.6147898150288239E-2</c:v>
                </c:pt>
                <c:pt idx="26">
                  <c:v>2.0908859024313088E-2</c:v>
                </c:pt>
                <c:pt idx="27">
                  <c:v>1.6719523044867745E-2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00-254F-942C-02F348BF43D1}"/>
            </c:ext>
          </c:extLst>
        </c:ser>
        <c:ser>
          <c:idx val="3"/>
          <c:order val="3"/>
          <c:tx>
            <c:strRef>
              <c:f>Technology_Roadmap!$G$117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Technology_Roadmap!$H$1:$AI$1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Technology_Roadmap!$H$117:$AI$117</c:f>
              <c:numCache>
                <c:formatCode>0.00</c:formatCode>
                <c:ptCount val="28"/>
                <c:pt idx="0">
                  <c:v>5</c:v>
                </c:pt>
                <c:pt idx="1">
                  <c:v>3.5355339059327373</c:v>
                </c:pt>
                <c:pt idx="2">
                  <c:v>2.4999999999999996</c:v>
                </c:pt>
                <c:pt idx="3">
                  <c:v>1.7677669529663684</c:v>
                </c:pt>
                <c:pt idx="4">
                  <c:v>1.2499999999999996</c:v>
                </c:pt>
                <c:pt idx="5">
                  <c:v>0.88388347648318399</c:v>
                </c:pt>
                <c:pt idx="6">
                  <c:v>0.62499999999999967</c:v>
                </c:pt>
                <c:pt idx="7">
                  <c:v>0.44194173824159194</c:v>
                </c:pt>
                <c:pt idx="8">
                  <c:v>0.31249999999999978</c:v>
                </c:pt>
                <c:pt idx="9">
                  <c:v>0.22097086912079592</c:v>
                </c:pt>
                <c:pt idx="10">
                  <c:v>0.15624999999999986</c:v>
                </c:pt>
                <c:pt idx="11">
                  <c:v>0.11048543456039794</c:v>
                </c:pt>
                <c:pt idx="12">
                  <c:v>7.8124999999999917E-2</c:v>
                </c:pt>
                <c:pt idx="13">
                  <c:v>5.5242717280198965E-2</c:v>
                </c:pt>
                <c:pt idx="14">
                  <c:v>3.9062499999999951E-2</c:v>
                </c:pt>
                <c:pt idx="15">
                  <c:v>2.7621358640099476E-2</c:v>
                </c:pt>
                <c:pt idx="16">
                  <c:v>1.9531249999999972E-2</c:v>
                </c:pt>
                <c:pt idx="17">
                  <c:v>1.3810679320049736E-2</c:v>
                </c:pt>
                <c:pt idx="18">
                  <c:v>9.7656249999999844E-3</c:v>
                </c:pt>
                <c:pt idx="19">
                  <c:v>6.9053396600248663E-3</c:v>
                </c:pt>
                <c:pt idx="20">
                  <c:v>4.8828124999999913E-3</c:v>
                </c:pt>
                <c:pt idx="21">
                  <c:v>3.4526698300124327E-3</c:v>
                </c:pt>
                <c:pt idx="22">
                  <c:v>2.4414062499999952E-3</c:v>
                </c:pt>
                <c:pt idx="23">
                  <c:v>1.7263349150062159E-3</c:v>
                </c:pt>
                <c:pt idx="24">
                  <c:v>1.2207031249999974E-3</c:v>
                </c:pt>
                <c:pt idx="25">
                  <c:v>8.6316745750310785E-4</c:v>
                </c:pt>
                <c:pt idx="26">
                  <c:v>6.1035156249999859E-4</c:v>
                </c:pt>
                <c:pt idx="27">
                  <c:v>4.3158372875155387E-4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900-254F-942C-02F348BF43D1}"/>
            </c:ext>
          </c:extLst>
        </c:ser>
        <c:ser>
          <c:idx val="4"/>
          <c:order val="4"/>
          <c:tx>
            <c:strRef>
              <c:f>Technology_Roadmap!$G$118</c:f>
              <c:strCache>
                <c:ptCount val="1"/>
                <c:pt idx="0">
                  <c:v>Quantum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Technology_Roadmap!$H$1:$AI$1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Technology_Roadmap!$H$118:$AI$118</c:f>
              <c:numCache>
                <c:formatCode>0.00</c:formatCode>
                <c:ptCount val="28"/>
                <c:pt idx="7">
                  <c:v>0.1</c:v>
                </c:pt>
                <c:pt idx="8">
                  <c:v>6.299605249474366E-2</c:v>
                </c:pt>
                <c:pt idx="9">
                  <c:v>3.9685026299204985E-2</c:v>
                </c:pt>
                <c:pt idx="10">
                  <c:v>2.4999999999999998E-2</c:v>
                </c:pt>
                <c:pt idx="11">
                  <c:v>1.5749013123685915E-2</c:v>
                </c:pt>
                <c:pt idx="12">
                  <c:v>9.9212565748012464E-3</c:v>
                </c:pt>
                <c:pt idx="13">
                  <c:v>6.2499999999999995E-3</c:v>
                </c:pt>
                <c:pt idx="14">
                  <c:v>3.9372532809214787E-3</c:v>
                </c:pt>
                <c:pt idx="15">
                  <c:v>2.4803141437003116E-3</c:v>
                </c:pt>
                <c:pt idx="16">
                  <c:v>1.5624999999999999E-3</c:v>
                </c:pt>
                <c:pt idx="17">
                  <c:v>9.8431332023036968E-4</c:v>
                </c:pt>
                <c:pt idx="18">
                  <c:v>6.200785359250779E-4</c:v>
                </c:pt>
                <c:pt idx="19">
                  <c:v>3.9062499999999997E-4</c:v>
                </c:pt>
                <c:pt idx="20">
                  <c:v>2.4607833005759242E-4</c:v>
                </c:pt>
                <c:pt idx="21">
                  <c:v>1.5501963398126947E-4</c:v>
                </c:pt>
                <c:pt idx="22">
                  <c:v>9.7656249999999992E-5</c:v>
                </c:pt>
                <c:pt idx="23">
                  <c:v>6.1519582514398105E-5</c:v>
                </c:pt>
                <c:pt idx="24">
                  <c:v>3.8754908495317369E-5</c:v>
                </c:pt>
                <c:pt idx="25">
                  <c:v>2.4414062499999998E-5</c:v>
                </c:pt>
                <c:pt idx="26">
                  <c:v>1.5379895628599526E-5</c:v>
                </c:pt>
                <c:pt idx="27">
                  <c:v>9.6887271238293421E-6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900-254F-942C-02F348BF4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346335"/>
        <c:axId val="454005679"/>
      </c:scatterChart>
      <c:valAx>
        <c:axId val="438346335"/>
        <c:scaling>
          <c:orientation val="minMax"/>
          <c:max val="20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454005679"/>
        <c:crosses val="autoZero"/>
        <c:crossBetween val="midCat"/>
      </c:valAx>
      <c:valAx>
        <c:axId val="454005679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4383463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Weight per Compute [kg/TFLOPS]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Technology_Roadmap!$G$120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Technology_Roadmap!$H$1:$AI$1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Technology_Roadmap!$H$120:$AI$120</c:f>
              <c:numCache>
                <c:formatCode>0.00</c:formatCode>
                <c:ptCount val="28"/>
                <c:pt idx="0">
                  <c:v>1</c:v>
                </c:pt>
                <c:pt idx="1">
                  <c:v>0.70710678118654746</c:v>
                </c:pt>
                <c:pt idx="2">
                  <c:v>0.49999999999999989</c:v>
                </c:pt>
                <c:pt idx="3">
                  <c:v>0.35355339059327368</c:v>
                </c:pt>
                <c:pt idx="4">
                  <c:v>0.24999999999999992</c:v>
                </c:pt>
                <c:pt idx="5">
                  <c:v>0.17677669529663681</c:v>
                </c:pt>
                <c:pt idx="6">
                  <c:v>0.12499999999999994</c:v>
                </c:pt>
                <c:pt idx="7">
                  <c:v>8.8388347648318391E-2</c:v>
                </c:pt>
                <c:pt idx="8">
                  <c:v>6.2499999999999958E-2</c:v>
                </c:pt>
                <c:pt idx="9">
                  <c:v>4.4194173824159189E-2</c:v>
                </c:pt>
                <c:pt idx="10">
                  <c:v>3.1249999999999976E-2</c:v>
                </c:pt>
                <c:pt idx="11">
                  <c:v>2.2097086912079591E-2</c:v>
                </c:pt>
                <c:pt idx="12">
                  <c:v>1.5624999999999984E-2</c:v>
                </c:pt>
                <c:pt idx="13">
                  <c:v>1.1048543456039794E-2</c:v>
                </c:pt>
                <c:pt idx="14">
                  <c:v>7.8124999999999913E-3</c:v>
                </c:pt>
                <c:pt idx="15">
                  <c:v>5.524271728019896E-3</c:v>
                </c:pt>
                <c:pt idx="16">
                  <c:v>3.9062499999999952E-3</c:v>
                </c:pt>
                <c:pt idx="17">
                  <c:v>2.7621358640099476E-3</c:v>
                </c:pt>
                <c:pt idx="18">
                  <c:v>1.9531249999999972E-3</c:v>
                </c:pt>
                <c:pt idx="19">
                  <c:v>1.3810679320049736E-3</c:v>
                </c:pt>
                <c:pt idx="20">
                  <c:v>9.7656249999999848E-4</c:v>
                </c:pt>
                <c:pt idx="21">
                  <c:v>6.9053396600248667E-4</c:v>
                </c:pt>
                <c:pt idx="22">
                  <c:v>4.8828124999999913E-4</c:v>
                </c:pt>
                <c:pt idx="23">
                  <c:v>3.4526698300124328E-4</c:v>
                </c:pt>
                <c:pt idx="24">
                  <c:v>2.4414062499999954E-4</c:v>
                </c:pt>
                <c:pt idx="25">
                  <c:v>1.7263349150062161E-4</c:v>
                </c:pt>
                <c:pt idx="26">
                  <c:v>1.2207031249999974E-4</c:v>
                </c:pt>
                <c:pt idx="27">
                  <c:v>8.6316745750310793E-5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01-B44F-9F76-4AEF2F3B6D36}"/>
            </c:ext>
          </c:extLst>
        </c:ser>
        <c:ser>
          <c:idx val="1"/>
          <c:order val="1"/>
          <c:tx>
            <c:strRef>
              <c:f>Technology_Roadmap!$G$121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Technology_Roadmap!$H$1:$AI$1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Technology_Roadmap!$H$121:$AI$121</c:f>
              <c:numCache>
                <c:formatCode>0.00</c:formatCode>
                <c:ptCount val="28"/>
                <c:pt idx="0">
                  <c:v>0.6</c:v>
                </c:pt>
                <c:pt idx="1">
                  <c:v>0.463707573215835</c:v>
                </c:pt>
                <c:pt idx="2">
                  <c:v>0.35837452242953161</c:v>
                </c:pt>
                <c:pt idx="3">
                  <c:v>0.27696830016363655</c:v>
                </c:pt>
                <c:pt idx="4">
                  <c:v>0.21405383054432478</c:v>
                </c:pt>
                <c:pt idx="5">
                  <c:v>0.16543063716543738</c:v>
                </c:pt>
                <c:pt idx="6">
                  <c:v>0.12785239882589047</c:v>
                </c:pt>
                <c:pt idx="7">
                  <c:v>9.8810209315627909E-2</c:v>
                </c:pt>
                <c:pt idx="8">
                  <c:v>7.6365070617830849E-2</c:v>
                </c:pt>
                <c:pt idx="9">
                  <c:v>5.9018435957750345E-2</c:v>
                </c:pt>
                <c:pt idx="10">
                  <c:v>4.5612159521604315E-2</c:v>
                </c:pt>
                <c:pt idx="11">
                  <c:v>3.5251173001494461E-2</c:v>
                </c:pt>
                <c:pt idx="12">
                  <c:v>2.724372647589093E-2</c:v>
                </c:pt>
                <c:pt idx="13">
                  <c:v>2.1055203815818959E-2</c:v>
                </c:pt>
                <c:pt idx="14">
                  <c:v>1.6272429108330332E-2</c:v>
                </c:pt>
                <c:pt idx="15">
                  <c:v>1.2576081020250953E-2</c:v>
                </c:pt>
                <c:pt idx="16">
                  <c:v>9.7193733507771538E-3</c:v>
                </c:pt>
                <c:pt idx="17">
                  <c:v>7.5115783827792212E-3</c:v>
                </c:pt>
                <c:pt idx="18">
                  <c:v>5.8052929714984651E-3</c:v>
                </c:pt>
                <c:pt idx="19">
                  <c:v>4.4865971927008277E-3</c:v>
                </c:pt>
                <c:pt idx="20">
                  <c:v>3.4674484937071313E-3</c:v>
                </c:pt>
                <c:pt idx="21">
                  <c:v>2.6798035437797271E-3</c:v>
                </c:pt>
                <c:pt idx="22">
                  <c:v>2.07107532996882E-3</c:v>
                </c:pt>
                <c:pt idx="23">
                  <c:v>1.6006221920117105E-3</c:v>
                </c:pt>
                <c:pt idx="24">
                  <c:v>1.2370343871552676E-3</c:v>
                </c:pt>
                <c:pt idx="25">
                  <c:v>9.5603702275384478E-4</c:v>
                </c:pt>
                <c:pt idx="26">
                  <c:v>7.3886934620946232E-4</c:v>
                </c:pt>
                <c:pt idx="27">
                  <c:v>5.7103218575726728E-4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01-B44F-9F76-4AEF2F3B6D36}"/>
            </c:ext>
          </c:extLst>
        </c:ser>
        <c:ser>
          <c:idx val="2"/>
          <c:order val="2"/>
          <c:tx>
            <c:strRef>
              <c:f>Technology_Roadmap!$G$122</c:f>
              <c:strCache>
                <c:ptCount val="1"/>
                <c:pt idx="0">
                  <c:v>FPGA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Technology_Roadmap!$H$1:$AI$1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Technology_Roadmap!$H$122:$AI$122</c:f>
              <c:numCache>
                <c:formatCode>0.00</c:formatCode>
                <c:ptCount val="28"/>
                <c:pt idx="0">
                  <c:v>0.4</c:v>
                </c:pt>
                <c:pt idx="1">
                  <c:v>0.31985529244663363</c:v>
                </c:pt>
                <c:pt idx="2">
                  <c:v>0.25576852026530383</c:v>
                </c:pt>
                <c:pt idx="3">
                  <c:v>0.20452228712025375</c:v>
                </c:pt>
                <c:pt idx="4">
                  <c:v>0.16354383989675783</c:v>
                </c:pt>
                <c:pt idx="5">
                  <c:v>0.13077590684505727</c:v>
                </c:pt>
                <c:pt idx="6">
                  <c:v>0.10457341482224877</c:v>
                </c:pt>
                <c:pt idx="7">
                  <c:v>8.362090045028378E-2</c:v>
                </c:pt>
                <c:pt idx="8">
                  <c:v>6.6866468920440889E-2</c:v>
                </c:pt>
                <c:pt idx="9">
                  <c:v>5.3468984928553398E-2</c:v>
                </c:pt>
                <c:pt idx="10">
                  <c:v>4.275584452786773E-2</c:v>
                </c:pt>
                <c:pt idx="11">
                  <c:v>3.418920788815983E-2</c:v>
                </c:pt>
                <c:pt idx="12">
                  <c:v>2.7338997718965287E-2</c:v>
                </c:pt>
                <c:pt idx="13">
                  <c:v>2.1861307776493727E-2</c:v>
                </c:pt>
                <c:pt idx="14">
                  <c:v>1.7481137480290666E-2</c:v>
                </c:pt>
                <c:pt idx="15">
                  <c:v>1.3978585852645447E-2</c:v>
                </c:pt>
                <c:pt idx="16">
                  <c:v>1.1177811664720712E-2</c:v>
                </c:pt>
                <c:pt idx="17">
                  <c:v>8.9382055473315892E-3</c:v>
                </c:pt>
                <c:pt idx="18">
                  <c:v>7.1473308732246709E-3</c:v>
                </c:pt>
                <c:pt idx="19">
                  <c:v>5.7152790166703259E-3</c:v>
                </c:pt>
                <c:pt idx="20">
                  <c:v>4.5701556032279895E-3</c:v>
                </c:pt>
                <c:pt idx="21">
                  <c:v>3.6544711424927748E-3</c:v>
                </c:pt>
                <c:pt idx="22">
                  <c:v>2.9222548400495243E-3</c:v>
                </c:pt>
                <c:pt idx="23">
                  <c:v>2.3367466911690779E-3</c:v>
                </c:pt>
                <c:pt idx="24">
                  <c:v>1.8685519906939722E-3</c:v>
                </c:pt>
                <c:pt idx="25">
                  <c:v>1.4941656085878997E-3</c:v>
                </c:pt>
                <c:pt idx="26">
                  <c:v>1.1947919442464624E-3</c:v>
                </c:pt>
                <c:pt idx="27">
                  <c:v>9.5540131684958556E-4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01-B44F-9F76-4AEF2F3B6D36}"/>
            </c:ext>
          </c:extLst>
        </c:ser>
        <c:ser>
          <c:idx val="3"/>
          <c:order val="3"/>
          <c:tx>
            <c:strRef>
              <c:f>Technology_Roadmap!$G$123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Technology_Roadmap!$H$1:$AI$1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Technology_Roadmap!$H$123:$AI$123</c:f>
              <c:numCache>
                <c:formatCode>0.00</c:formatCode>
                <c:ptCount val="28"/>
                <c:pt idx="0">
                  <c:v>0.2</c:v>
                </c:pt>
                <c:pt idx="1">
                  <c:v>0.1414213562373095</c:v>
                </c:pt>
                <c:pt idx="2">
                  <c:v>9.9999999999999992E-2</c:v>
                </c:pt>
                <c:pt idx="3">
                  <c:v>7.0710678118654738E-2</c:v>
                </c:pt>
                <c:pt idx="4">
                  <c:v>4.9999999999999982E-2</c:v>
                </c:pt>
                <c:pt idx="5">
                  <c:v>3.5355339059327362E-2</c:v>
                </c:pt>
                <c:pt idx="6">
                  <c:v>2.4999999999999988E-2</c:v>
                </c:pt>
                <c:pt idx="7">
                  <c:v>1.7677669529663678E-2</c:v>
                </c:pt>
                <c:pt idx="8">
                  <c:v>1.2499999999999992E-2</c:v>
                </c:pt>
                <c:pt idx="9">
                  <c:v>8.838834764831837E-3</c:v>
                </c:pt>
                <c:pt idx="10">
                  <c:v>6.2499999999999943E-3</c:v>
                </c:pt>
                <c:pt idx="11">
                  <c:v>4.4194173824159176E-3</c:v>
                </c:pt>
                <c:pt idx="12">
                  <c:v>3.1249999999999967E-3</c:v>
                </c:pt>
                <c:pt idx="13">
                  <c:v>2.2097086912079584E-3</c:v>
                </c:pt>
                <c:pt idx="14">
                  <c:v>1.5624999999999979E-3</c:v>
                </c:pt>
                <c:pt idx="15">
                  <c:v>1.104854345603979E-3</c:v>
                </c:pt>
                <c:pt idx="16">
                  <c:v>7.8124999999999885E-4</c:v>
                </c:pt>
                <c:pt idx="17">
                  <c:v>5.5242717280198938E-4</c:v>
                </c:pt>
                <c:pt idx="18">
                  <c:v>3.9062499999999937E-4</c:v>
                </c:pt>
                <c:pt idx="19">
                  <c:v>2.7621358640099464E-4</c:v>
                </c:pt>
                <c:pt idx="20">
                  <c:v>1.9531249999999963E-4</c:v>
                </c:pt>
                <c:pt idx="21">
                  <c:v>1.3810679320049729E-4</c:v>
                </c:pt>
                <c:pt idx="22">
                  <c:v>9.7656249999999802E-5</c:v>
                </c:pt>
                <c:pt idx="23">
                  <c:v>6.9053396600248632E-5</c:v>
                </c:pt>
                <c:pt idx="24">
                  <c:v>4.8828124999999888E-5</c:v>
                </c:pt>
                <c:pt idx="25">
                  <c:v>3.4526698300124309E-5</c:v>
                </c:pt>
                <c:pt idx="26">
                  <c:v>2.441406249999994E-5</c:v>
                </c:pt>
                <c:pt idx="27">
                  <c:v>1.7263349150062151E-5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01-B44F-9F76-4AEF2F3B6D36}"/>
            </c:ext>
          </c:extLst>
        </c:ser>
        <c:ser>
          <c:idx val="4"/>
          <c:order val="4"/>
          <c:tx>
            <c:strRef>
              <c:f>Technology_Roadmap!$G$124</c:f>
              <c:strCache>
                <c:ptCount val="1"/>
                <c:pt idx="0">
                  <c:v>Quantum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Technology_Roadmap!$H$1:$AI$1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Technology_Roadmap!$H$124:$AI$124</c:f>
              <c:numCache>
                <c:formatCode>0.00</c:formatCode>
                <c:ptCount val="28"/>
                <c:pt idx="7">
                  <c:v>0.5</c:v>
                </c:pt>
                <c:pt idx="8">
                  <c:v>0.3149802624737183</c:v>
                </c:pt>
                <c:pt idx="9">
                  <c:v>0.19842513149602495</c:v>
                </c:pt>
                <c:pt idx="10">
                  <c:v>0.125</c:v>
                </c:pt>
                <c:pt idx="11">
                  <c:v>7.8745065618429574E-2</c:v>
                </c:pt>
                <c:pt idx="12">
                  <c:v>4.9606282874006237E-2</c:v>
                </c:pt>
                <c:pt idx="13">
                  <c:v>3.125E-2</c:v>
                </c:pt>
                <c:pt idx="14">
                  <c:v>1.9686266404607394E-2</c:v>
                </c:pt>
                <c:pt idx="15">
                  <c:v>1.2401570718501559E-2</c:v>
                </c:pt>
                <c:pt idx="16">
                  <c:v>7.8125E-3</c:v>
                </c:pt>
                <c:pt idx="17">
                  <c:v>4.9215666011518484E-3</c:v>
                </c:pt>
                <c:pt idx="18">
                  <c:v>3.1003926796253898E-3</c:v>
                </c:pt>
                <c:pt idx="19">
                  <c:v>1.953125E-3</c:v>
                </c:pt>
                <c:pt idx="20">
                  <c:v>1.2303916502879621E-3</c:v>
                </c:pt>
                <c:pt idx="21">
                  <c:v>7.7509816990634745E-4</c:v>
                </c:pt>
                <c:pt idx="22">
                  <c:v>4.8828125E-4</c:v>
                </c:pt>
                <c:pt idx="23">
                  <c:v>3.0759791257199053E-4</c:v>
                </c:pt>
                <c:pt idx="24">
                  <c:v>1.9377454247658686E-4</c:v>
                </c:pt>
                <c:pt idx="25">
                  <c:v>1.220703125E-4</c:v>
                </c:pt>
                <c:pt idx="26">
                  <c:v>7.6899478142997631E-5</c:v>
                </c:pt>
                <c:pt idx="27">
                  <c:v>4.8443635619146716E-5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901-B44F-9F76-4AEF2F3B6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824847"/>
        <c:axId val="441354287"/>
      </c:scatterChart>
      <c:valAx>
        <c:axId val="453824847"/>
        <c:scaling>
          <c:orientation val="minMax"/>
          <c:max val="20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441354287"/>
        <c:crosses val="autoZero"/>
        <c:crossBetween val="midCat"/>
      </c:valAx>
      <c:valAx>
        <c:axId val="44135428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453824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Total number of Satellites in Orbit per Year</a:t>
            </a:r>
            <a:br>
              <a:rPr lang="en-GB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</a:br>
            <a:r>
              <a:rPr lang="en-GB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(Extrapolation starts 2022)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EdgeAI_vs_Download!$C$7:$CR$7</c:f>
              <c:numCache>
                <c:formatCode>General</c:formatCode>
                <c:ptCount val="94"/>
                <c:pt idx="0">
                  <c:v>1957</c:v>
                </c:pt>
                <c:pt idx="1">
                  <c:v>1958</c:v>
                </c:pt>
                <c:pt idx="2">
                  <c:v>1959</c:v>
                </c:pt>
                <c:pt idx="3">
                  <c:v>1960</c:v>
                </c:pt>
                <c:pt idx="4">
                  <c:v>1961</c:v>
                </c:pt>
                <c:pt idx="5">
                  <c:v>1962</c:v>
                </c:pt>
                <c:pt idx="6">
                  <c:v>1963</c:v>
                </c:pt>
                <c:pt idx="7">
                  <c:v>1964</c:v>
                </c:pt>
                <c:pt idx="8">
                  <c:v>1965</c:v>
                </c:pt>
                <c:pt idx="9">
                  <c:v>1966</c:v>
                </c:pt>
                <c:pt idx="10">
                  <c:v>1967</c:v>
                </c:pt>
                <c:pt idx="11">
                  <c:v>1968</c:v>
                </c:pt>
                <c:pt idx="12">
                  <c:v>1969</c:v>
                </c:pt>
                <c:pt idx="13">
                  <c:v>1970</c:v>
                </c:pt>
                <c:pt idx="14">
                  <c:v>1971</c:v>
                </c:pt>
                <c:pt idx="15">
                  <c:v>1972</c:v>
                </c:pt>
                <c:pt idx="16">
                  <c:v>1973</c:v>
                </c:pt>
                <c:pt idx="17">
                  <c:v>1974</c:v>
                </c:pt>
                <c:pt idx="18">
                  <c:v>1975</c:v>
                </c:pt>
                <c:pt idx="19">
                  <c:v>1976</c:v>
                </c:pt>
                <c:pt idx="20">
                  <c:v>1977</c:v>
                </c:pt>
                <c:pt idx="21">
                  <c:v>1978</c:v>
                </c:pt>
                <c:pt idx="22">
                  <c:v>1979</c:v>
                </c:pt>
                <c:pt idx="23">
                  <c:v>1980</c:v>
                </c:pt>
                <c:pt idx="24">
                  <c:v>1981</c:v>
                </c:pt>
                <c:pt idx="25">
                  <c:v>1982</c:v>
                </c:pt>
                <c:pt idx="26">
                  <c:v>1983</c:v>
                </c:pt>
                <c:pt idx="27">
                  <c:v>1984</c:v>
                </c:pt>
                <c:pt idx="28">
                  <c:v>1985</c:v>
                </c:pt>
                <c:pt idx="29">
                  <c:v>1986</c:v>
                </c:pt>
                <c:pt idx="30">
                  <c:v>1987</c:v>
                </c:pt>
                <c:pt idx="31">
                  <c:v>1988</c:v>
                </c:pt>
                <c:pt idx="32">
                  <c:v>1989</c:v>
                </c:pt>
                <c:pt idx="33">
                  <c:v>1990</c:v>
                </c:pt>
                <c:pt idx="34">
                  <c:v>1991</c:v>
                </c:pt>
                <c:pt idx="35">
                  <c:v>1992</c:v>
                </c:pt>
                <c:pt idx="36">
                  <c:v>1993</c:v>
                </c:pt>
                <c:pt idx="37">
                  <c:v>1994</c:v>
                </c:pt>
                <c:pt idx="38">
                  <c:v>1995</c:v>
                </c:pt>
                <c:pt idx="39">
                  <c:v>1996</c:v>
                </c:pt>
                <c:pt idx="40">
                  <c:v>1997</c:v>
                </c:pt>
                <c:pt idx="41">
                  <c:v>1998</c:v>
                </c:pt>
                <c:pt idx="42">
                  <c:v>1999</c:v>
                </c:pt>
                <c:pt idx="43">
                  <c:v>2000</c:v>
                </c:pt>
                <c:pt idx="44">
                  <c:v>2001</c:v>
                </c:pt>
                <c:pt idx="45">
                  <c:v>2002</c:v>
                </c:pt>
                <c:pt idx="46">
                  <c:v>2003</c:v>
                </c:pt>
                <c:pt idx="47">
                  <c:v>2004</c:v>
                </c:pt>
                <c:pt idx="48">
                  <c:v>2005</c:v>
                </c:pt>
                <c:pt idx="49">
                  <c:v>2006</c:v>
                </c:pt>
                <c:pt idx="50">
                  <c:v>2007</c:v>
                </c:pt>
                <c:pt idx="51">
                  <c:v>2008</c:v>
                </c:pt>
                <c:pt idx="52">
                  <c:v>2009</c:v>
                </c:pt>
                <c:pt idx="53">
                  <c:v>2010</c:v>
                </c:pt>
                <c:pt idx="54">
                  <c:v>2011</c:v>
                </c:pt>
                <c:pt idx="55">
                  <c:v>2012</c:v>
                </c:pt>
                <c:pt idx="56">
                  <c:v>2013</c:v>
                </c:pt>
                <c:pt idx="57">
                  <c:v>2014</c:v>
                </c:pt>
                <c:pt idx="58">
                  <c:v>2015</c:v>
                </c:pt>
                <c:pt idx="59">
                  <c:v>2016</c:v>
                </c:pt>
                <c:pt idx="60">
                  <c:v>2017</c:v>
                </c:pt>
                <c:pt idx="61">
                  <c:v>2018</c:v>
                </c:pt>
                <c:pt idx="62">
                  <c:v>2019</c:v>
                </c:pt>
                <c:pt idx="63">
                  <c:v>2020</c:v>
                </c:pt>
                <c:pt idx="64">
                  <c:v>2021</c:v>
                </c:pt>
                <c:pt idx="65">
                  <c:v>2022</c:v>
                </c:pt>
                <c:pt idx="66">
                  <c:v>2023</c:v>
                </c:pt>
                <c:pt idx="67">
                  <c:v>2024</c:v>
                </c:pt>
                <c:pt idx="68">
                  <c:v>2025</c:v>
                </c:pt>
                <c:pt idx="69">
                  <c:v>2026</c:v>
                </c:pt>
                <c:pt idx="70">
                  <c:v>2027</c:v>
                </c:pt>
                <c:pt idx="71">
                  <c:v>2028</c:v>
                </c:pt>
                <c:pt idx="72">
                  <c:v>2029</c:v>
                </c:pt>
                <c:pt idx="73">
                  <c:v>2030</c:v>
                </c:pt>
                <c:pt idx="74">
                  <c:v>2031</c:v>
                </c:pt>
                <c:pt idx="75">
                  <c:v>2032</c:v>
                </c:pt>
                <c:pt idx="76">
                  <c:v>2033</c:v>
                </c:pt>
                <c:pt idx="77">
                  <c:v>2034</c:v>
                </c:pt>
                <c:pt idx="78">
                  <c:v>2035</c:v>
                </c:pt>
                <c:pt idx="79">
                  <c:v>2036</c:v>
                </c:pt>
                <c:pt idx="80">
                  <c:v>2037</c:v>
                </c:pt>
                <c:pt idx="81">
                  <c:v>2038</c:v>
                </c:pt>
                <c:pt idx="82">
                  <c:v>2039</c:v>
                </c:pt>
                <c:pt idx="83">
                  <c:v>2040</c:v>
                </c:pt>
                <c:pt idx="84">
                  <c:v>2041</c:v>
                </c:pt>
                <c:pt idx="85">
                  <c:v>2042</c:v>
                </c:pt>
                <c:pt idx="86">
                  <c:v>2043</c:v>
                </c:pt>
                <c:pt idx="87">
                  <c:v>2044</c:v>
                </c:pt>
                <c:pt idx="88">
                  <c:v>2045</c:v>
                </c:pt>
                <c:pt idx="89">
                  <c:v>2046</c:v>
                </c:pt>
                <c:pt idx="90">
                  <c:v>2047</c:v>
                </c:pt>
                <c:pt idx="91">
                  <c:v>2048</c:v>
                </c:pt>
                <c:pt idx="92">
                  <c:v>2049</c:v>
                </c:pt>
                <c:pt idx="93">
                  <c:v>2050</c:v>
                </c:pt>
              </c:numCache>
            </c:numRef>
          </c:xVal>
          <c:yVal>
            <c:numRef>
              <c:f>EdgeAI_vs_Download!$C$8:$CR$8</c:f>
              <c:numCache>
                <c:formatCode>General</c:formatCode>
                <c:ptCount val="9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  <c:pt idx="4">
                  <c:v>9</c:v>
                </c:pt>
                <c:pt idx="5">
                  <c:v>22</c:v>
                </c:pt>
                <c:pt idx="6">
                  <c:v>26</c:v>
                </c:pt>
                <c:pt idx="7">
                  <c:v>52</c:v>
                </c:pt>
                <c:pt idx="8">
                  <c:v>92</c:v>
                </c:pt>
                <c:pt idx="9">
                  <c:v>104</c:v>
                </c:pt>
                <c:pt idx="10">
                  <c:v>115</c:v>
                </c:pt>
                <c:pt idx="11">
                  <c:v>145</c:v>
                </c:pt>
                <c:pt idx="12">
                  <c:v>159</c:v>
                </c:pt>
                <c:pt idx="13">
                  <c:v>162</c:v>
                </c:pt>
                <c:pt idx="14">
                  <c:v>195</c:v>
                </c:pt>
                <c:pt idx="15">
                  <c:v>187</c:v>
                </c:pt>
                <c:pt idx="16">
                  <c:v>199</c:v>
                </c:pt>
                <c:pt idx="17">
                  <c:v>203</c:v>
                </c:pt>
                <c:pt idx="18">
                  <c:v>232</c:v>
                </c:pt>
                <c:pt idx="19">
                  <c:v>258</c:v>
                </c:pt>
                <c:pt idx="20">
                  <c:v>269</c:v>
                </c:pt>
                <c:pt idx="21">
                  <c:v>307</c:v>
                </c:pt>
                <c:pt idx="22">
                  <c:v>312</c:v>
                </c:pt>
                <c:pt idx="23">
                  <c:v>318</c:v>
                </c:pt>
                <c:pt idx="24">
                  <c:v>335</c:v>
                </c:pt>
                <c:pt idx="25">
                  <c:v>338</c:v>
                </c:pt>
                <c:pt idx="26">
                  <c:v>359</c:v>
                </c:pt>
                <c:pt idx="27">
                  <c:v>372</c:v>
                </c:pt>
                <c:pt idx="28">
                  <c:v>388</c:v>
                </c:pt>
                <c:pt idx="29">
                  <c:v>399</c:v>
                </c:pt>
                <c:pt idx="30">
                  <c:v>414</c:v>
                </c:pt>
                <c:pt idx="31">
                  <c:v>420</c:v>
                </c:pt>
                <c:pt idx="32">
                  <c:v>416</c:v>
                </c:pt>
                <c:pt idx="33">
                  <c:v>464</c:v>
                </c:pt>
                <c:pt idx="34">
                  <c:v>492</c:v>
                </c:pt>
                <c:pt idx="35">
                  <c:v>513</c:v>
                </c:pt>
                <c:pt idx="36">
                  <c:v>513</c:v>
                </c:pt>
                <c:pt idx="37">
                  <c:v>533</c:v>
                </c:pt>
                <c:pt idx="38">
                  <c:v>537</c:v>
                </c:pt>
                <c:pt idx="39">
                  <c:v>541</c:v>
                </c:pt>
                <c:pt idx="40">
                  <c:v>598</c:v>
                </c:pt>
                <c:pt idx="41">
                  <c:v>673</c:v>
                </c:pt>
                <c:pt idx="42">
                  <c:v>726</c:v>
                </c:pt>
                <c:pt idx="43">
                  <c:v>769</c:v>
                </c:pt>
                <c:pt idx="44">
                  <c:v>771</c:v>
                </c:pt>
                <c:pt idx="45">
                  <c:v>806</c:v>
                </c:pt>
                <c:pt idx="46">
                  <c:v>830</c:v>
                </c:pt>
                <c:pt idx="47">
                  <c:v>852</c:v>
                </c:pt>
                <c:pt idx="48">
                  <c:v>854</c:v>
                </c:pt>
                <c:pt idx="49">
                  <c:v>873</c:v>
                </c:pt>
                <c:pt idx="50">
                  <c:v>912</c:v>
                </c:pt>
                <c:pt idx="51">
                  <c:v>948</c:v>
                </c:pt>
                <c:pt idx="52">
                  <c:v>986</c:v>
                </c:pt>
                <c:pt idx="53">
                  <c:v>997</c:v>
                </c:pt>
                <c:pt idx="54">
                  <c:v>1033</c:v>
                </c:pt>
                <c:pt idx="55">
                  <c:v>1091</c:v>
                </c:pt>
                <c:pt idx="56">
                  <c:v>1187</c:v>
                </c:pt>
                <c:pt idx="57">
                  <c:v>1262</c:v>
                </c:pt>
                <c:pt idx="58">
                  <c:v>1364</c:v>
                </c:pt>
                <c:pt idx="59">
                  <c:v>1462</c:v>
                </c:pt>
                <c:pt idx="60">
                  <c:v>1778</c:v>
                </c:pt>
                <c:pt idx="61">
                  <c:v>2027</c:v>
                </c:pt>
                <c:pt idx="62">
                  <c:v>2272</c:v>
                </c:pt>
                <c:pt idx="63">
                  <c:v>3256</c:v>
                </c:pt>
                <c:pt idx="64">
                  <c:v>4800</c:v>
                </c:pt>
                <c:pt idx="65">
                  <c:v>6905</c:v>
                </c:pt>
                <c:pt idx="66" formatCode="0">
                  <c:v>8211.4751290937893</c:v>
                </c:pt>
                <c:pt idx="67" formatCode="0">
                  <c:v>9765.1446481862222</c:v>
                </c:pt>
                <c:pt idx="68" formatCode="0">
                  <c:v>11612.779494653798</c:v>
                </c:pt>
                <c:pt idx="69" formatCode="0">
                  <c:v>13810</c:v>
                </c:pt>
                <c:pt idx="70" formatCode="0">
                  <c:v>16422.950258187579</c:v>
                </c:pt>
                <c:pt idx="71" formatCode="0">
                  <c:v>19530.289296372444</c:v>
                </c:pt>
                <c:pt idx="72" formatCode="0">
                  <c:v>23225.558989307596</c:v>
                </c:pt>
                <c:pt idx="73" formatCode="0">
                  <c:v>27620</c:v>
                </c:pt>
                <c:pt idx="74" formatCode="0">
                  <c:v>32845.900516375157</c:v>
                </c:pt>
                <c:pt idx="75" formatCode="0">
                  <c:v>39060.578592744889</c:v>
                </c:pt>
                <c:pt idx="76" formatCode="0">
                  <c:v>46451.117978615192</c:v>
                </c:pt>
                <c:pt idx="77" formatCode="0">
                  <c:v>55240</c:v>
                </c:pt>
                <c:pt idx="78" formatCode="0">
                  <c:v>65691.801032750314</c:v>
                </c:pt>
                <c:pt idx="79" formatCode="0">
                  <c:v>78121.157185489777</c:v>
                </c:pt>
                <c:pt idx="80" formatCode="0">
                  <c:v>92902.235957230383</c:v>
                </c:pt>
                <c:pt idx="81" formatCode="0">
                  <c:v>110480</c:v>
                </c:pt>
                <c:pt idx="82" formatCode="0">
                  <c:v>131383.60206550063</c:v>
                </c:pt>
                <c:pt idx="83" formatCode="0">
                  <c:v>156242.31437097955</c:v>
                </c:pt>
                <c:pt idx="84" formatCode="0">
                  <c:v>185804.47191446077</c:v>
                </c:pt>
                <c:pt idx="85" formatCode="0">
                  <c:v>220960</c:v>
                </c:pt>
                <c:pt idx="86" formatCode="0">
                  <c:v>262767.20413100126</c:v>
                </c:pt>
                <c:pt idx="87" formatCode="0">
                  <c:v>312484.62874195911</c:v>
                </c:pt>
                <c:pt idx="88" formatCode="0">
                  <c:v>371608.94382892153</c:v>
                </c:pt>
                <c:pt idx="89" formatCode="0">
                  <c:v>441920</c:v>
                </c:pt>
                <c:pt idx="90" formatCode="0">
                  <c:v>525534.40826200251</c:v>
                </c:pt>
                <c:pt idx="91" formatCode="0">
                  <c:v>624969.25748391822</c:v>
                </c:pt>
                <c:pt idx="92" formatCode="0">
                  <c:v>743217.88765784306</c:v>
                </c:pt>
                <c:pt idx="93" formatCode="0">
                  <c:v>883840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0D-1A40-82D6-BD9C9BFB1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901728"/>
        <c:axId val="512679936"/>
      </c:scatterChart>
      <c:valAx>
        <c:axId val="495901728"/>
        <c:scaling>
          <c:orientation val="minMax"/>
          <c:max val="2050"/>
          <c:min val="19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512679936"/>
        <c:crosses val="autoZero"/>
        <c:crossBetween val="midCat"/>
      </c:valAx>
      <c:valAx>
        <c:axId val="51267993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495901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Cost Comparison - Edge Compute to compress 1000x vs. Raw-Data Downlink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>
        <c:manualLayout>
          <c:layoutTarget val="inner"/>
          <c:xMode val="edge"/>
          <c:yMode val="edge"/>
          <c:x val="7.3851092577924798E-2"/>
          <c:y val="8.1516483516483523E-2"/>
          <c:w val="0.9082554162978147"/>
          <c:h val="0.7862507683751427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EdgeAI_vs_Download!$A$8</c:f>
              <c:strCache>
                <c:ptCount val="1"/>
                <c:pt idx="0">
                  <c:v>Total Number of Satellites in Orbit (Statista reconstruction)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EdgeAI_vs_Download!$B$7:$CR$7</c:f>
              <c:numCache>
                <c:formatCode>General</c:formatCode>
                <c:ptCount val="95"/>
                <c:pt idx="1">
                  <c:v>1957</c:v>
                </c:pt>
                <c:pt idx="2">
                  <c:v>1958</c:v>
                </c:pt>
                <c:pt idx="3">
                  <c:v>1959</c:v>
                </c:pt>
                <c:pt idx="4">
                  <c:v>1960</c:v>
                </c:pt>
                <c:pt idx="5">
                  <c:v>1961</c:v>
                </c:pt>
                <c:pt idx="6">
                  <c:v>1962</c:v>
                </c:pt>
                <c:pt idx="7">
                  <c:v>1963</c:v>
                </c:pt>
                <c:pt idx="8">
                  <c:v>1964</c:v>
                </c:pt>
                <c:pt idx="9">
                  <c:v>1965</c:v>
                </c:pt>
                <c:pt idx="10">
                  <c:v>1966</c:v>
                </c:pt>
                <c:pt idx="11">
                  <c:v>1967</c:v>
                </c:pt>
                <c:pt idx="12">
                  <c:v>1968</c:v>
                </c:pt>
                <c:pt idx="13">
                  <c:v>1969</c:v>
                </c:pt>
                <c:pt idx="14">
                  <c:v>1970</c:v>
                </c:pt>
                <c:pt idx="15">
                  <c:v>1971</c:v>
                </c:pt>
                <c:pt idx="16">
                  <c:v>1972</c:v>
                </c:pt>
                <c:pt idx="17">
                  <c:v>1973</c:v>
                </c:pt>
                <c:pt idx="18">
                  <c:v>1974</c:v>
                </c:pt>
                <c:pt idx="19">
                  <c:v>1975</c:v>
                </c:pt>
                <c:pt idx="20">
                  <c:v>1976</c:v>
                </c:pt>
                <c:pt idx="21">
                  <c:v>1977</c:v>
                </c:pt>
                <c:pt idx="22">
                  <c:v>1978</c:v>
                </c:pt>
                <c:pt idx="23">
                  <c:v>1979</c:v>
                </c:pt>
                <c:pt idx="24">
                  <c:v>1980</c:v>
                </c:pt>
                <c:pt idx="25">
                  <c:v>1981</c:v>
                </c:pt>
                <c:pt idx="26">
                  <c:v>1982</c:v>
                </c:pt>
                <c:pt idx="27">
                  <c:v>1983</c:v>
                </c:pt>
                <c:pt idx="28">
                  <c:v>1984</c:v>
                </c:pt>
                <c:pt idx="29">
                  <c:v>1985</c:v>
                </c:pt>
                <c:pt idx="30">
                  <c:v>1986</c:v>
                </c:pt>
                <c:pt idx="31">
                  <c:v>1987</c:v>
                </c:pt>
                <c:pt idx="32">
                  <c:v>1988</c:v>
                </c:pt>
                <c:pt idx="33">
                  <c:v>1989</c:v>
                </c:pt>
                <c:pt idx="34">
                  <c:v>1990</c:v>
                </c:pt>
                <c:pt idx="35">
                  <c:v>1991</c:v>
                </c:pt>
                <c:pt idx="36">
                  <c:v>1992</c:v>
                </c:pt>
                <c:pt idx="37">
                  <c:v>1993</c:v>
                </c:pt>
                <c:pt idx="38">
                  <c:v>1994</c:v>
                </c:pt>
                <c:pt idx="39">
                  <c:v>1995</c:v>
                </c:pt>
                <c:pt idx="40">
                  <c:v>1996</c:v>
                </c:pt>
                <c:pt idx="41">
                  <c:v>1997</c:v>
                </c:pt>
                <c:pt idx="42">
                  <c:v>1998</c:v>
                </c:pt>
                <c:pt idx="43">
                  <c:v>1999</c:v>
                </c:pt>
                <c:pt idx="44">
                  <c:v>2000</c:v>
                </c:pt>
                <c:pt idx="45">
                  <c:v>2001</c:v>
                </c:pt>
                <c:pt idx="46">
                  <c:v>2002</c:v>
                </c:pt>
                <c:pt idx="47">
                  <c:v>2003</c:v>
                </c:pt>
                <c:pt idx="48">
                  <c:v>2004</c:v>
                </c:pt>
                <c:pt idx="49">
                  <c:v>2005</c:v>
                </c:pt>
                <c:pt idx="50">
                  <c:v>2006</c:v>
                </c:pt>
                <c:pt idx="51">
                  <c:v>2007</c:v>
                </c:pt>
                <c:pt idx="52">
                  <c:v>2008</c:v>
                </c:pt>
                <c:pt idx="53">
                  <c:v>2009</c:v>
                </c:pt>
                <c:pt idx="54">
                  <c:v>2010</c:v>
                </c:pt>
                <c:pt idx="55">
                  <c:v>2011</c:v>
                </c:pt>
                <c:pt idx="56">
                  <c:v>2012</c:v>
                </c:pt>
                <c:pt idx="57">
                  <c:v>2013</c:v>
                </c:pt>
                <c:pt idx="58">
                  <c:v>2014</c:v>
                </c:pt>
                <c:pt idx="59">
                  <c:v>2015</c:v>
                </c:pt>
                <c:pt idx="60">
                  <c:v>2016</c:v>
                </c:pt>
                <c:pt idx="61">
                  <c:v>2017</c:v>
                </c:pt>
                <c:pt idx="62">
                  <c:v>2018</c:v>
                </c:pt>
                <c:pt idx="63">
                  <c:v>2019</c:v>
                </c:pt>
                <c:pt idx="64">
                  <c:v>2020</c:v>
                </c:pt>
                <c:pt idx="65">
                  <c:v>2021</c:v>
                </c:pt>
                <c:pt idx="66">
                  <c:v>2022</c:v>
                </c:pt>
                <c:pt idx="67">
                  <c:v>2023</c:v>
                </c:pt>
                <c:pt idx="68">
                  <c:v>2024</c:v>
                </c:pt>
                <c:pt idx="69">
                  <c:v>2025</c:v>
                </c:pt>
                <c:pt idx="70">
                  <c:v>2026</c:v>
                </c:pt>
                <c:pt idx="71">
                  <c:v>2027</c:v>
                </c:pt>
                <c:pt idx="72">
                  <c:v>2028</c:v>
                </c:pt>
                <c:pt idx="73">
                  <c:v>2029</c:v>
                </c:pt>
                <c:pt idx="74">
                  <c:v>2030</c:v>
                </c:pt>
                <c:pt idx="75">
                  <c:v>2031</c:v>
                </c:pt>
                <c:pt idx="76">
                  <c:v>2032</c:v>
                </c:pt>
                <c:pt idx="77">
                  <c:v>2033</c:v>
                </c:pt>
                <c:pt idx="78">
                  <c:v>2034</c:v>
                </c:pt>
                <c:pt idx="79">
                  <c:v>2035</c:v>
                </c:pt>
                <c:pt idx="80">
                  <c:v>2036</c:v>
                </c:pt>
                <c:pt idx="81">
                  <c:v>2037</c:v>
                </c:pt>
                <c:pt idx="82">
                  <c:v>2038</c:v>
                </c:pt>
                <c:pt idx="83">
                  <c:v>2039</c:v>
                </c:pt>
                <c:pt idx="84">
                  <c:v>2040</c:v>
                </c:pt>
                <c:pt idx="85">
                  <c:v>2041</c:v>
                </c:pt>
                <c:pt idx="86">
                  <c:v>2042</c:v>
                </c:pt>
                <c:pt idx="87">
                  <c:v>2043</c:v>
                </c:pt>
                <c:pt idx="88">
                  <c:v>2044</c:v>
                </c:pt>
                <c:pt idx="89">
                  <c:v>2045</c:v>
                </c:pt>
                <c:pt idx="90">
                  <c:v>2046</c:v>
                </c:pt>
                <c:pt idx="91">
                  <c:v>2047</c:v>
                </c:pt>
                <c:pt idx="92">
                  <c:v>2048</c:v>
                </c:pt>
                <c:pt idx="93">
                  <c:v>2049</c:v>
                </c:pt>
                <c:pt idx="94">
                  <c:v>2050</c:v>
                </c:pt>
              </c:numCache>
            </c:numRef>
          </c:xVal>
          <c:yVal>
            <c:numRef>
              <c:f>EdgeAI_vs_Download!$B$8:$CR$8</c:f>
              <c:numCache>
                <c:formatCode>General</c:formatCode>
                <c:ptCount val="95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9</c:v>
                </c:pt>
                <c:pt idx="6">
                  <c:v>22</c:v>
                </c:pt>
                <c:pt idx="7">
                  <c:v>26</c:v>
                </c:pt>
                <c:pt idx="8">
                  <c:v>52</c:v>
                </c:pt>
                <c:pt idx="9">
                  <c:v>92</c:v>
                </c:pt>
                <c:pt idx="10">
                  <c:v>104</c:v>
                </c:pt>
                <c:pt idx="11">
                  <c:v>115</c:v>
                </c:pt>
                <c:pt idx="12">
                  <c:v>145</c:v>
                </c:pt>
                <c:pt idx="13">
                  <c:v>159</c:v>
                </c:pt>
                <c:pt idx="14">
                  <c:v>162</c:v>
                </c:pt>
                <c:pt idx="15">
                  <c:v>195</c:v>
                </c:pt>
                <c:pt idx="16">
                  <c:v>187</c:v>
                </c:pt>
                <c:pt idx="17">
                  <c:v>199</c:v>
                </c:pt>
                <c:pt idx="18">
                  <c:v>203</c:v>
                </c:pt>
                <c:pt idx="19">
                  <c:v>232</c:v>
                </c:pt>
                <c:pt idx="20">
                  <c:v>258</c:v>
                </c:pt>
                <c:pt idx="21">
                  <c:v>269</c:v>
                </c:pt>
                <c:pt idx="22">
                  <c:v>307</c:v>
                </c:pt>
                <c:pt idx="23">
                  <c:v>312</c:v>
                </c:pt>
                <c:pt idx="24">
                  <c:v>318</c:v>
                </c:pt>
                <c:pt idx="25">
                  <c:v>335</c:v>
                </c:pt>
                <c:pt idx="26">
                  <c:v>338</c:v>
                </c:pt>
                <c:pt idx="27">
                  <c:v>359</c:v>
                </c:pt>
                <c:pt idx="28">
                  <c:v>372</c:v>
                </c:pt>
                <c:pt idx="29">
                  <c:v>388</c:v>
                </c:pt>
                <c:pt idx="30">
                  <c:v>399</c:v>
                </c:pt>
                <c:pt idx="31">
                  <c:v>414</c:v>
                </c:pt>
                <c:pt idx="32">
                  <c:v>420</c:v>
                </c:pt>
                <c:pt idx="33">
                  <c:v>416</c:v>
                </c:pt>
                <c:pt idx="34">
                  <c:v>464</c:v>
                </c:pt>
                <c:pt idx="35">
                  <c:v>492</c:v>
                </c:pt>
                <c:pt idx="36">
                  <c:v>513</c:v>
                </c:pt>
                <c:pt idx="37">
                  <c:v>513</c:v>
                </c:pt>
                <c:pt idx="38">
                  <c:v>533</c:v>
                </c:pt>
                <c:pt idx="39">
                  <c:v>537</c:v>
                </c:pt>
                <c:pt idx="40">
                  <c:v>541</c:v>
                </c:pt>
                <c:pt idx="41">
                  <c:v>598</c:v>
                </c:pt>
                <c:pt idx="42">
                  <c:v>673</c:v>
                </c:pt>
                <c:pt idx="43">
                  <c:v>726</c:v>
                </c:pt>
                <c:pt idx="44">
                  <c:v>769</c:v>
                </c:pt>
                <c:pt idx="45">
                  <c:v>771</c:v>
                </c:pt>
                <c:pt idx="46">
                  <c:v>806</c:v>
                </c:pt>
                <c:pt idx="47">
                  <c:v>830</c:v>
                </c:pt>
                <c:pt idx="48">
                  <c:v>852</c:v>
                </c:pt>
                <c:pt idx="49">
                  <c:v>854</c:v>
                </c:pt>
                <c:pt idx="50">
                  <c:v>873</c:v>
                </c:pt>
                <c:pt idx="51">
                  <c:v>912</c:v>
                </c:pt>
                <c:pt idx="52">
                  <c:v>948</c:v>
                </c:pt>
                <c:pt idx="53">
                  <c:v>986</c:v>
                </c:pt>
                <c:pt idx="54">
                  <c:v>997</c:v>
                </c:pt>
                <c:pt idx="55">
                  <c:v>1033</c:v>
                </c:pt>
                <c:pt idx="56">
                  <c:v>1091</c:v>
                </c:pt>
                <c:pt idx="57">
                  <c:v>1187</c:v>
                </c:pt>
                <c:pt idx="58">
                  <c:v>1262</c:v>
                </c:pt>
                <c:pt idx="59">
                  <c:v>1364</c:v>
                </c:pt>
                <c:pt idx="60">
                  <c:v>1462</c:v>
                </c:pt>
                <c:pt idx="61">
                  <c:v>1778</c:v>
                </c:pt>
                <c:pt idx="62">
                  <c:v>2027</c:v>
                </c:pt>
                <c:pt idx="63">
                  <c:v>2272</c:v>
                </c:pt>
                <c:pt idx="64">
                  <c:v>3256</c:v>
                </c:pt>
                <c:pt idx="65">
                  <c:v>4800</c:v>
                </c:pt>
                <c:pt idx="66">
                  <c:v>6905</c:v>
                </c:pt>
                <c:pt idx="67" formatCode="0">
                  <c:v>8211.4751290937893</c:v>
                </c:pt>
                <c:pt idx="68" formatCode="0">
                  <c:v>9765.1446481862222</c:v>
                </c:pt>
                <c:pt idx="69" formatCode="0">
                  <c:v>11612.779494653798</c:v>
                </c:pt>
                <c:pt idx="70" formatCode="0">
                  <c:v>13810</c:v>
                </c:pt>
                <c:pt idx="71" formatCode="0">
                  <c:v>16422.950258187579</c:v>
                </c:pt>
                <c:pt idx="72" formatCode="0">
                  <c:v>19530.289296372444</c:v>
                </c:pt>
                <c:pt idx="73" formatCode="0">
                  <c:v>23225.558989307596</c:v>
                </c:pt>
                <c:pt idx="74" formatCode="0">
                  <c:v>27620</c:v>
                </c:pt>
                <c:pt idx="75" formatCode="0">
                  <c:v>32845.900516375157</c:v>
                </c:pt>
                <c:pt idx="76" formatCode="0">
                  <c:v>39060.578592744889</c:v>
                </c:pt>
                <c:pt idx="77" formatCode="0">
                  <c:v>46451.117978615192</c:v>
                </c:pt>
                <c:pt idx="78" formatCode="0">
                  <c:v>55240</c:v>
                </c:pt>
                <c:pt idx="79" formatCode="0">
                  <c:v>65691.801032750314</c:v>
                </c:pt>
                <c:pt idx="80" formatCode="0">
                  <c:v>78121.157185489777</c:v>
                </c:pt>
                <c:pt idx="81" formatCode="0">
                  <c:v>92902.235957230383</c:v>
                </c:pt>
                <c:pt idx="82" formatCode="0">
                  <c:v>110480</c:v>
                </c:pt>
                <c:pt idx="83" formatCode="0">
                  <c:v>131383.60206550063</c:v>
                </c:pt>
                <c:pt idx="84" formatCode="0">
                  <c:v>156242.31437097955</c:v>
                </c:pt>
                <c:pt idx="85" formatCode="0">
                  <c:v>185804.47191446077</c:v>
                </c:pt>
                <c:pt idx="86" formatCode="0">
                  <c:v>220960</c:v>
                </c:pt>
                <c:pt idx="87" formatCode="0">
                  <c:v>262767.20413100126</c:v>
                </c:pt>
                <c:pt idx="88" formatCode="0">
                  <c:v>312484.62874195911</c:v>
                </c:pt>
                <c:pt idx="89" formatCode="0">
                  <c:v>371608.94382892153</c:v>
                </c:pt>
                <c:pt idx="90" formatCode="0">
                  <c:v>441920</c:v>
                </c:pt>
                <c:pt idx="91" formatCode="0">
                  <c:v>525534.40826200251</c:v>
                </c:pt>
                <c:pt idx="92" formatCode="0">
                  <c:v>624969.25748391822</c:v>
                </c:pt>
                <c:pt idx="93" formatCode="0">
                  <c:v>743217.88765784306</c:v>
                </c:pt>
                <c:pt idx="94" formatCode="0">
                  <c:v>883840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6F-1C46-84D1-CD65C41C4569}"/>
            </c:ext>
          </c:extLst>
        </c:ser>
        <c:ser>
          <c:idx val="1"/>
          <c:order val="1"/>
          <c:tx>
            <c:strRef>
              <c:f>EdgeAI_vs_Download!$A$11</c:f>
              <c:strCache>
                <c:ptCount val="1"/>
                <c:pt idx="0">
                  <c:v>Data produced per EO Satellite [GB/s]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EdgeAI_vs_Download!$B$7:$CR$7</c:f>
              <c:numCache>
                <c:formatCode>General</c:formatCode>
                <c:ptCount val="95"/>
                <c:pt idx="1">
                  <c:v>1957</c:v>
                </c:pt>
                <c:pt idx="2">
                  <c:v>1958</c:v>
                </c:pt>
                <c:pt idx="3">
                  <c:v>1959</c:v>
                </c:pt>
                <c:pt idx="4">
                  <c:v>1960</c:v>
                </c:pt>
                <c:pt idx="5">
                  <c:v>1961</c:v>
                </c:pt>
                <c:pt idx="6">
                  <c:v>1962</c:v>
                </c:pt>
                <c:pt idx="7">
                  <c:v>1963</c:v>
                </c:pt>
                <c:pt idx="8">
                  <c:v>1964</c:v>
                </c:pt>
                <c:pt idx="9">
                  <c:v>1965</c:v>
                </c:pt>
                <c:pt idx="10">
                  <c:v>1966</c:v>
                </c:pt>
                <c:pt idx="11">
                  <c:v>1967</c:v>
                </c:pt>
                <c:pt idx="12">
                  <c:v>1968</c:v>
                </c:pt>
                <c:pt idx="13">
                  <c:v>1969</c:v>
                </c:pt>
                <c:pt idx="14">
                  <c:v>1970</c:v>
                </c:pt>
                <c:pt idx="15">
                  <c:v>1971</c:v>
                </c:pt>
                <c:pt idx="16">
                  <c:v>1972</c:v>
                </c:pt>
                <c:pt idx="17">
                  <c:v>1973</c:v>
                </c:pt>
                <c:pt idx="18">
                  <c:v>1974</c:v>
                </c:pt>
                <c:pt idx="19">
                  <c:v>1975</c:v>
                </c:pt>
                <c:pt idx="20">
                  <c:v>1976</c:v>
                </c:pt>
                <c:pt idx="21">
                  <c:v>1977</c:v>
                </c:pt>
                <c:pt idx="22">
                  <c:v>1978</c:v>
                </c:pt>
                <c:pt idx="23">
                  <c:v>1979</c:v>
                </c:pt>
                <c:pt idx="24">
                  <c:v>1980</c:v>
                </c:pt>
                <c:pt idx="25">
                  <c:v>1981</c:v>
                </c:pt>
                <c:pt idx="26">
                  <c:v>1982</c:v>
                </c:pt>
                <c:pt idx="27">
                  <c:v>1983</c:v>
                </c:pt>
                <c:pt idx="28">
                  <c:v>1984</c:v>
                </c:pt>
                <c:pt idx="29">
                  <c:v>1985</c:v>
                </c:pt>
                <c:pt idx="30">
                  <c:v>1986</c:v>
                </c:pt>
                <c:pt idx="31">
                  <c:v>1987</c:v>
                </c:pt>
                <c:pt idx="32">
                  <c:v>1988</c:v>
                </c:pt>
                <c:pt idx="33">
                  <c:v>1989</c:v>
                </c:pt>
                <c:pt idx="34">
                  <c:v>1990</c:v>
                </c:pt>
                <c:pt idx="35">
                  <c:v>1991</c:v>
                </c:pt>
                <c:pt idx="36">
                  <c:v>1992</c:v>
                </c:pt>
                <c:pt idx="37">
                  <c:v>1993</c:v>
                </c:pt>
                <c:pt idx="38">
                  <c:v>1994</c:v>
                </c:pt>
                <c:pt idx="39">
                  <c:v>1995</c:v>
                </c:pt>
                <c:pt idx="40">
                  <c:v>1996</c:v>
                </c:pt>
                <c:pt idx="41">
                  <c:v>1997</c:v>
                </c:pt>
                <c:pt idx="42">
                  <c:v>1998</c:v>
                </c:pt>
                <c:pt idx="43">
                  <c:v>1999</c:v>
                </c:pt>
                <c:pt idx="44">
                  <c:v>2000</c:v>
                </c:pt>
                <c:pt idx="45">
                  <c:v>2001</c:v>
                </c:pt>
                <c:pt idx="46">
                  <c:v>2002</c:v>
                </c:pt>
                <c:pt idx="47">
                  <c:v>2003</c:v>
                </c:pt>
                <c:pt idx="48">
                  <c:v>2004</c:v>
                </c:pt>
                <c:pt idx="49">
                  <c:v>2005</c:v>
                </c:pt>
                <c:pt idx="50">
                  <c:v>2006</c:v>
                </c:pt>
                <c:pt idx="51">
                  <c:v>2007</c:v>
                </c:pt>
                <c:pt idx="52">
                  <c:v>2008</c:v>
                </c:pt>
                <c:pt idx="53">
                  <c:v>2009</c:v>
                </c:pt>
                <c:pt idx="54">
                  <c:v>2010</c:v>
                </c:pt>
                <c:pt idx="55">
                  <c:v>2011</c:v>
                </c:pt>
                <c:pt idx="56">
                  <c:v>2012</c:v>
                </c:pt>
                <c:pt idx="57">
                  <c:v>2013</c:v>
                </c:pt>
                <c:pt idx="58">
                  <c:v>2014</c:v>
                </c:pt>
                <c:pt idx="59">
                  <c:v>2015</c:v>
                </c:pt>
                <c:pt idx="60">
                  <c:v>2016</c:v>
                </c:pt>
                <c:pt idx="61">
                  <c:v>2017</c:v>
                </c:pt>
                <c:pt idx="62">
                  <c:v>2018</c:v>
                </c:pt>
                <c:pt idx="63">
                  <c:v>2019</c:v>
                </c:pt>
                <c:pt idx="64">
                  <c:v>2020</c:v>
                </c:pt>
                <c:pt idx="65">
                  <c:v>2021</c:v>
                </c:pt>
                <c:pt idx="66">
                  <c:v>2022</c:v>
                </c:pt>
                <c:pt idx="67">
                  <c:v>2023</c:v>
                </c:pt>
                <c:pt idx="68">
                  <c:v>2024</c:v>
                </c:pt>
                <c:pt idx="69">
                  <c:v>2025</c:v>
                </c:pt>
                <c:pt idx="70">
                  <c:v>2026</c:v>
                </c:pt>
                <c:pt idx="71">
                  <c:v>2027</c:v>
                </c:pt>
                <c:pt idx="72">
                  <c:v>2028</c:v>
                </c:pt>
                <c:pt idx="73">
                  <c:v>2029</c:v>
                </c:pt>
                <c:pt idx="74">
                  <c:v>2030</c:v>
                </c:pt>
                <c:pt idx="75">
                  <c:v>2031</c:v>
                </c:pt>
                <c:pt idx="76">
                  <c:v>2032</c:v>
                </c:pt>
                <c:pt idx="77">
                  <c:v>2033</c:v>
                </c:pt>
                <c:pt idx="78">
                  <c:v>2034</c:v>
                </c:pt>
                <c:pt idx="79">
                  <c:v>2035</c:v>
                </c:pt>
                <c:pt idx="80">
                  <c:v>2036</c:v>
                </c:pt>
                <c:pt idx="81">
                  <c:v>2037</c:v>
                </c:pt>
                <c:pt idx="82">
                  <c:v>2038</c:v>
                </c:pt>
                <c:pt idx="83">
                  <c:v>2039</c:v>
                </c:pt>
                <c:pt idx="84">
                  <c:v>2040</c:v>
                </c:pt>
                <c:pt idx="85">
                  <c:v>2041</c:v>
                </c:pt>
                <c:pt idx="86">
                  <c:v>2042</c:v>
                </c:pt>
                <c:pt idx="87">
                  <c:v>2043</c:v>
                </c:pt>
                <c:pt idx="88">
                  <c:v>2044</c:v>
                </c:pt>
                <c:pt idx="89">
                  <c:v>2045</c:v>
                </c:pt>
                <c:pt idx="90">
                  <c:v>2046</c:v>
                </c:pt>
                <c:pt idx="91">
                  <c:v>2047</c:v>
                </c:pt>
                <c:pt idx="92">
                  <c:v>2048</c:v>
                </c:pt>
                <c:pt idx="93">
                  <c:v>2049</c:v>
                </c:pt>
                <c:pt idx="94">
                  <c:v>2050</c:v>
                </c:pt>
              </c:numCache>
            </c:numRef>
          </c:xVal>
          <c:yVal>
            <c:numRef>
              <c:f>EdgeAI_vs_Download!$B$11:$CR$11</c:f>
              <c:numCache>
                <c:formatCode>General</c:formatCode>
                <c:ptCount val="95"/>
                <c:pt idx="1">
                  <c:v>4.0000000000000001E-8</c:v>
                </c:pt>
                <c:pt idx="2">
                  <c:v>5.0799967929365705E-8</c:v>
                </c:pt>
                <c:pt idx="3">
                  <c:v>6.4515918540614597E-8</c:v>
                </c:pt>
                <c:pt idx="4">
                  <c:v>8.1935164819919791E-8</c:v>
                </c:pt>
                <c:pt idx="5">
                  <c:v>1.0405759362848046E-7</c:v>
                </c:pt>
                <c:pt idx="6">
                  <c:v>1.321530604783444E-7</c:v>
                </c:pt>
                <c:pt idx="7">
                  <c:v>1.6783428085168554E-7</c:v>
                </c:pt>
                <c:pt idx="8">
                  <c:v>2.1314940211784454E-7</c:v>
                </c:pt>
                <c:pt idx="9">
                  <c:v>2.7069956979374942E-7</c:v>
                </c:pt>
                <c:pt idx="10">
                  <c:v>3.4378823660038907E-7</c:v>
                </c:pt>
                <c:pt idx="11">
                  <c:v>4.3661078484482381E-7</c:v>
                </c:pt>
                <c:pt idx="12">
                  <c:v>5.54495346693306E-7</c:v>
                </c:pt>
                <c:pt idx="13">
                  <c:v>7.0420864572506156E-7</c:v>
                </c:pt>
                <c:pt idx="14">
                  <c:v>8.9434441546037948E-7</c:v>
                </c:pt>
                <c:pt idx="15">
                  <c:v>1.1358166905798648E-6</c:v>
                </c:pt>
                <c:pt idx="16">
                  <c:v>1.4424862863773853E-6</c:v>
                </c:pt>
                <c:pt idx="17">
                  <c:v>1.8319564271630251E-6</c:v>
                </c:pt>
                <c:pt idx="18">
                  <c:v>2.3265831936969262E-6</c:v>
                </c:pt>
                <c:pt idx="19">
                  <c:v>2.9547587906201271E-6</c:v>
                </c:pt>
                <c:pt idx="20">
                  <c:v>3.7525412950628461E-6</c:v>
                </c:pt>
                <c:pt idx="21">
                  <c:v>4.765724436070325E-6</c:v>
                </c:pt>
                <c:pt idx="22">
                  <c:v>6.0524662128141739E-6</c:v>
                </c:pt>
                <c:pt idx="23">
                  <c:v>7.6866272376132373E-6</c:v>
                </c:pt>
                <c:pt idx="24">
                  <c:v>9.7620104288935334E-6</c:v>
                </c:pt>
                <c:pt idx="25">
                  <c:v>1.2397745417848125E-5</c:v>
                </c:pt>
                <c:pt idx="26">
                  <c:v>1.5745126740578135E-5</c:v>
                </c:pt>
                <c:pt idx="27">
                  <c:v>1.9996298336629191E-5</c:v>
                </c:pt>
                <c:pt idx="28">
                  <c:v>2.5395282855169791E-5</c:v>
                </c:pt>
                <c:pt idx="29">
                  <c:v>3.22519888649949E-5</c:v>
                </c:pt>
                <c:pt idx="30">
                  <c:v>4.0960000000000014E-5</c:v>
                </c:pt>
                <c:pt idx="31">
                  <c:v>5.2019167159670496E-5</c:v>
                </c:pt>
                <c:pt idx="32">
                  <c:v>6.6064300585589361E-5</c:v>
                </c:pt>
                <c:pt idx="33">
                  <c:v>8.390160877559788E-5</c:v>
                </c:pt>
                <c:pt idx="34">
                  <c:v>1.06554975875564E-4</c:v>
                </c:pt>
                <c:pt idx="35">
                  <c:v>1.3532473392982469E-4</c:v>
                </c:pt>
                <c:pt idx="36">
                  <c:v>1.7186230359212602E-4</c:v>
                </c:pt>
                <c:pt idx="37">
                  <c:v>2.1826498776867284E-4</c:v>
                </c:pt>
                <c:pt idx="38">
                  <c:v>2.7719635946879946E-4</c:v>
                </c:pt>
                <c:pt idx="39">
                  <c:v>3.5203915427879846E-4</c:v>
                </c:pt>
                <c:pt idx="40">
                  <c:v>4.4708944368109963E-4</c:v>
                </c:pt>
                <c:pt idx="41">
                  <c:v>5.6780323501394534E-4</c:v>
                </c:pt>
                <c:pt idx="42">
                  <c:v>7.2110965322246304E-4</c:v>
                </c:pt>
                <c:pt idx="43">
                  <c:v>9.1580868143142859E-4</c:v>
                </c:pt>
                <c:pt idx="44">
                  <c:v>1.1630762911537815E-3</c:v>
                </c:pt>
                <c:pt idx="45">
                  <c:v>1.4771059572504426E-3</c:v>
                </c:pt>
                <c:pt idx="46">
                  <c:v>1.8759233814149377E-3</c:v>
                </c:pt>
                <c:pt idx="47">
                  <c:v>2.3824211903456525E-3</c:v>
                </c:pt>
                <c:pt idx="48">
                  <c:v>3.0256730015950101E-3</c:v>
                </c:pt>
                <c:pt idx="49">
                  <c:v>3.8426022861443544E-3</c:v>
                </c:pt>
                <c:pt idx="50">
                  <c:v>4.8801018225360128E-3</c:v>
                </c:pt>
                <c:pt idx="51">
                  <c:v>6.1977254019217141E-3</c:v>
                </c:pt>
                <c:pt idx="52">
                  <c:v>7.871106291315955E-3</c:v>
                </c:pt>
                <c:pt idx="53">
                  <c:v>9.9962986791869782E-3</c:v>
                </c:pt>
                <c:pt idx="54">
                  <c:v>1.269529130787648E-2</c:v>
                </c:pt>
                <c:pt idx="55">
                  <c:v>1.612300978235201E-2</c:v>
                </c:pt>
                <c:pt idx="56">
                  <c:v>2.0476209496708291E-2</c:v>
                </c:pt>
                <c:pt idx="57" formatCode="0.00">
                  <c:v>2.6004769643693866E-2</c:v>
                </c:pt>
                <c:pt idx="58" formatCode="0.00">
                  <c:v>3.3026036597754778E-2</c:v>
                </c:pt>
                <c:pt idx="59" formatCode="0.00">
                  <c:v>4.1943040000000015E-2</c:v>
                </c:pt>
                <c:pt idx="60" formatCode="0.00">
                  <c:v>5.3267627171502588E-2</c:v>
                </c:pt>
                <c:pt idx="61" formatCode="0.00">
                  <c:v>6.7649843799643505E-2</c:v>
                </c:pt>
                <c:pt idx="62" formatCode="0.00">
                  <c:v>8.5915247386212229E-2</c:v>
                </c:pt>
                <c:pt idx="63" formatCode="0.00">
                  <c:v>0.10911229529657754</c:v>
                </c:pt>
                <c:pt idx="64" formatCode="0.00">
                  <c:v>0.13857252754414048</c:v>
                </c:pt>
                <c:pt idx="65" formatCode="0.00">
                  <c:v>0.17598699887833705</c:v>
                </c:pt>
                <c:pt idx="66" formatCode="0.00">
                  <c:v>0.22350334747512099</c:v>
                </c:pt>
                <c:pt idx="67" formatCode="0.00">
                  <c:v>0.28384907209605065</c:v>
                </c:pt>
                <c:pt idx="68" formatCode="0.00">
                  <c:v>0.36048809398148962</c:v>
                </c:pt>
                <c:pt idx="69" formatCode="0.00">
                  <c:v>0.45781959032944602</c:v>
                </c:pt>
                <c:pt idx="70" formatCode="0.00">
                  <c:v>0.58143051265428003</c:v>
                </c:pt>
                <c:pt idx="71" formatCode="0.0">
                  <c:v>0.73841628489980216</c:v>
                </c:pt>
                <c:pt idx="72" formatCode="0.0">
                  <c:v>0.93778808978578287</c:v>
                </c:pt>
                <c:pt idx="73" formatCode="0.0">
                  <c:v>1.1909901221414723</c:v>
                </c:pt>
                <c:pt idx="74" formatCode="0.0">
                  <c:v>1.5125565002244532</c:v>
                </c:pt>
                <c:pt idx="75" formatCode="0.0">
                  <c:v>1.9209455425688962</c:v>
                </c:pt>
                <c:pt idx="76" formatCode="0.0">
                  <c:v>2.4395992989139481</c:v>
                </c:pt>
                <c:pt idx="77" formatCode="0.0">
                  <c:v>3.0982891536332904</c:v>
                </c:pt>
                <c:pt idx="78" formatCode="0.0">
                  <c:v>3.9348247410118189</c:v>
                </c:pt>
                <c:pt idx="79" formatCode="0.0">
                  <c:v>4.9972242662768771</c:v>
                </c:pt>
                <c:pt idx="80" formatCode="0.0">
                  <c:v>6.3464708115678352</c:v>
                </c:pt>
                <c:pt idx="81" formatCode="0.0">
                  <c:v>8.0600128423075379</c:v>
                </c:pt>
                <c:pt idx="82" formatCode="0.0">
                  <c:v>10.236209847487466</c:v>
                </c:pt>
                <c:pt idx="83" formatCode="0">
                  <c:v>12.999978299265516</c:v>
                </c:pt>
                <c:pt idx="84" formatCode="0">
                  <c:v>16.509962017128458</c:v>
                </c:pt>
                <c:pt idx="85" formatCode="0">
                  <c:v>20.96763852462929</c:v>
                </c:pt>
                <c:pt idx="86" formatCode="0">
                  <c:v>26.628884115142519</c:v>
                </c:pt>
                <c:pt idx="87" formatCode="0">
                  <c:v>33.818661476100893</c:v>
                </c:pt>
                <c:pt idx="88" formatCode="0">
                  <c:v>42.949672960000015</c:v>
                </c:pt>
                <c:pt idx="89" formatCode="0">
                  <c:v>54.54605022361865</c:v>
                </c:pt>
                <c:pt idx="90" formatCode="0">
                  <c:v>69.273440050834949</c:v>
                </c:pt>
                <c:pt idx="91" formatCode="0">
                  <c:v>87.977213323481323</c:v>
                </c:pt>
                <c:pt idx="92" formatCode="0">
                  <c:v>111.7309903836954</c:v>
                </c:pt>
                <c:pt idx="93" formatCode="0">
                  <c:v>141.89826820519986</c:v>
                </c:pt>
                <c:pt idx="94" formatCode="0">
                  <c:v>180.21068685141714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6F-1C46-84D1-CD65C41C4569}"/>
            </c:ext>
          </c:extLst>
        </c:ser>
        <c:ser>
          <c:idx val="2"/>
          <c:order val="2"/>
          <c:tx>
            <c:strRef>
              <c:f>EdgeAI_vs_Download!$A$13</c:f>
              <c:strCache>
                <c:ptCount val="1"/>
                <c:pt idx="0">
                  <c:v>Aggregated Data-Generation all Satellites [GB/s]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EdgeAI_vs_Download!$B$7:$CR$7</c:f>
              <c:numCache>
                <c:formatCode>General</c:formatCode>
                <c:ptCount val="95"/>
                <c:pt idx="1">
                  <c:v>1957</c:v>
                </c:pt>
                <c:pt idx="2">
                  <c:v>1958</c:v>
                </c:pt>
                <c:pt idx="3">
                  <c:v>1959</c:v>
                </c:pt>
                <c:pt idx="4">
                  <c:v>1960</c:v>
                </c:pt>
                <c:pt idx="5">
                  <c:v>1961</c:v>
                </c:pt>
                <c:pt idx="6">
                  <c:v>1962</c:v>
                </c:pt>
                <c:pt idx="7">
                  <c:v>1963</c:v>
                </c:pt>
                <c:pt idx="8">
                  <c:v>1964</c:v>
                </c:pt>
                <c:pt idx="9">
                  <c:v>1965</c:v>
                </c:pt>
                <c:pt idx="10">
                  <c:v>1966</c:v>
                </c:pt>
                <c:pt idx="11">
                  <c:v>1967</c:v>
                </c:pt>
                <c:pt idx="12">
                  <c:v>1968</c:v>
                </c:pt>
                <c:pt idx="13">
                  <c:v>1969</c:v>
                </c:pt>
                <c:pt idx="14">
                  <c:v>1970</c:v>
                </c:pt>
                <c:pt idx="15">
                  <c:v>1971</c:v>
                </c:pt>
                <c:pt idx="16">
                  <c:v>1972</c:v>
                </c:pt>
                <c:pt idx="17">
                  <c:v>1973</c:v>
                </c:pt>
                <c:pt idx="18">
                  <c:v>1974</c:v>
                </c:pt>
                <c:pt idx="19">
                  <c:v>1975</c:v>
                </c:pt>
                <c:pt idx="20">
                  <c:v>1976</c:v>
                </c:pt>
                <c:pt idx="21">
                  <c:v>1977</c:v>
                </c:pt>
                <c:pt idx="22">
                  <c:v>1978</c:v>
                </c:pt>
                <c:pt idx="23">
                  <c:v>1979</c:v>
                </c:pt>
                <c:pt idx="24">
                  <c:v>1980</c:v>
                </c:pt>
                <c:pt idx="25">
                  <c:v>1981</c:v>
                </c:pt>
                <c:pt idx="26">
                  <c:v>1982</c:v>
                </c:pt>
                <c:pt idx="27">
                  <c:v>1983</c:v>
                </c:pt>
                <c:pt idx="28">
                  <c:v>1984</c:v>
                </c:pt>
                <c:pt idx="29">
                  <c:v>1985</c:v>
                </c:pt>
                <c:pt idx="30">
                  <c:v>1986</c:v>
                </c:pt>
                <c:pt idx="31">
                  <c:v>1987</c:v>
                </c:pt>
                <c:pt idx="32">
                  <c:v>1988</c:v>
                </c:pt>
                <c:pt idx="33">
                  <c:v>1989</c:v>
                </c:pt>
                <c:pt idx="34">
                  <c:v>1990</c:v>
                </c:pt>
                <c:pt idx="35">
                  <c:v>1991</c:v>
                </c:pt>
                <c:pt idx="36">
                  <c:v>1992</c:v>
                </c:pt>
                <c:pt idx="37">
                  <c:v>1993</c:v>
                </c:pt>
                <c:pt idx="38">
                  <c:v>1994</c:v>
                </c:pt>
                <c:pt idx="39">
                  <c:v>1995</c:v>
                </c:pt>
                <c:pt idx="40">
                  <c:v>1996</c:v>
                </c:pt>
                <c:pt idx="41">
                  <c:v>1997</c:v>
                </c:pt>
                <c:pt idx="42">
                  <c:v>1998</c:v>
                </c:pt>
                <c:pt idx="43">
                  <c:v>1999</c:v>
                </c:pt>
                <c:pt idx="44">
                  <c:v>2000</c:v>
                </c:pt>
                <c:pt idx="45">
                  <c:v>2001</c:v>
                </c:pt>
                <c:pt idx="46">
                  <c:v>2002</c:v>
                </c:pt>
                <c:pt idx="47">
                  <c:v>2003</c:v>
                </c:pt>
                <c:pt idx="48">
                  <c:v>2004</c:v>
                </c:pt>
                <c:pt idx="49">
                  <c:v>2005</c:v>
                </c:pt>
                <c:pt idx="50">
                  <c:v>2006</c:v>
                </c:pt>
                <c:pt idx="51">
                  <c:v>2007</c:v>
                </c:pt>
                <c:pt idx="52">
                  <c:v>2008</c:v>
                </c:pt>
                <c:pt idx="53">
                  <c:v>2009</c:v>
                </c:pt>
                <c:pt idx="54">
                  <c:v>2010</c:v>
                </c:pt>
                <c:pt idx="55">
                  <c:v>2011</c:v>
                </c:pt>
                <c:pt idx="56">
                  <c:v>2012</c:v>
                </c:pt>
                <c:pt idx="57">
                  <c:v>2013</c:v>
                </c:pt>
                <c:pt idx="58">
                  <c:v>2014</c:v>
                </c:pt>
                <c:pt idx="59">
                  <c:v>2015</c:v>
                </c:pt>
                <c:pt idx="60">
                  <c:v>2016</c:v>
                </c:pt>
                <c:pt idx="61">
                  <c:v>2017</c:v>
                </c:pt>
                <c:pt idx="62">
                  <c:v>2018</c:v>
                </c:pt>
                <c:pt idx="63">
                  <c:v>2019</c:v>
                </c:pt>
                <c:pt idx="64">
                  <c:v>2020</c:v>
                </c:pt>
                <c:pt idx="65">
                  <c:v>2021</c:v>
                </c:pt>
                <c:pt idx="66">
                  <c:v>2022</c:v>
                </c:pt>
                <c:pt idx="67">
                  <c:v>2023</c:v>
                </c:pt>
                <c:pt idx="68">
                  <c:v>2024</c:v>
                </c:pt>
                <c:pt idx="69">
                  <c:v>2025</c:v>
                </c:pt>
                <c:pt idx="70">
                  <c:v>2026</c:v>
                </c:pt>
                <c:pt idx="71">
                  <c:v>2027</c:v>
                </c:pt>
                <c:pt idx="72">
                  <c:v>2028</c:v>
                </c:pt>
                <c:pt idx="73">
                  <c:v>2029</c:v>
                </c:pt>
                <c:pt idx="74">
                  <c:v>2030</c:v>
                </c:pt>
                <c:pt idx="75">
                  <c:v>2031</c:v>
                </c:pt>
                <c:pt idx="76">
                  <c:v>2032</c:v>
                </c:pt>
                <c:pt idx="77">
                  <c:v>2033</c:v>
                </c:pt>
                <c:pt idx="78">
                  <c:v>2034</c:v>
                </c:pt>
                <c:pt idx="79">
                  <c:v>2035</c:v>
                </c:pt>
                <c:pt idx="80">
                  <c:v>2036</c:v>
                </c:pt>
                <c:pt idx="81">
                  <c:v>2037</c:v>
                </c:pt>
                <c:pt idx="82">
                  <c:v>2038</c:v>
                </c:pt>
                <c:pt idx="83">
                  <c:v>2039</c:v>
                </c:pt>
                <c:pt idx="84">
                  <c:v>2040</c:v>
                </c:pt>
                <c:pt idx="85">
                  <c:v>2041</c:v>
                </c:pt>
                <c:pt idx="86">
                  <c:v>2042</c:v>
                </c:pt>
                <c:pt idx="87">
                  <c:v>2043</c:v>
                </c:pt>
                <c:pt idx="88">
                  <c:v>2044</c:v>
                </c:pt>
                <c:pt idx="89">
                  <c:v>2045</c:v>
                </c:pt>
                <c:pt idx="90">
                  <c:v>2046</c:v>
                </c:pt>
                <c:pt idx="91">
                  <c:v>2047</c:v>
                </c:pt>
                <c:pt idx="92">
                  <c:v>2048</c:v>
                </c:pt>
                <c:pt idx="93">
                  <c:v>2049</c:v>
                </c:pt>
                <c:pt idx="94">
                  <c:v>2050</c:v>
                </c:pt>
              </c:numCache>
            </c:numRef>
          </c:xVal>
          <c:yVal>
            <c:numRef>
              <c:f>EdgeAI_vs_Download!$B$13:$CR$13</c:f>
              <c:numCache>
                <c:formatCode>General</c:formatCode>
                <c:ptCount val="95"/>
                <c:pt idx="1">
                  <c:v>8.0000000000000005E-9</c:v>
                </c:pt>
                <c:pt idx="2">
                  <c:v>2.0319987171746285E-8</c:v>
                </c:pt>
                <c:pt idx="3">
                  <c:v>2.5806367416245841E-8</c:v>
                </c:pt>
                <c:pt idx="4">
                  <c:v>9.8322197783903765E-8</c:v>
                </c:pt>
                <c:pt idx="5">
                  <c:v>1.8730366853126484E-7</c:v>
                </c:pt>
                <c:pt idx="6">
                  <c:v>5.8147346610471535E-7</c:v>
                </c:pt>
                <c:pt idx="7">
                  <c:v>8.727382604287648E-7</c:v>
                </c:pt>
                <c:pt idx="8">
                  <c:v>2.2167537820255833E-6</c:v>
                </c:pt>
                <c:pt idx="9">
                  <c:v>4.9808720842049896E-6</c:v>
                </c:pt>
                <c:pt idx="10">
                  <c:v>7.1507953212880925E-6</c:v>
                </c:pt>
                <c:pt idx="11">
                  <c:v>1.0042048051430947E-5</c:v>
                </c:pt>
                <c:pt idx="12">
                  <c:v>1.6080365054105873E-5</c:v>
                </c:pt>
                <c:pt idx="13">
                  <c:v>2.2393834934056958E-5</c:v>
                </c:pt>
                <c:pt idx="14">
                  <c:v>2.8976759060916297E-5</c:v>
                </c:pt>
                <c:pt idx="15">
                  <c:v>4.4296850932614726E-5</c:v>
                </c:pt>
                <c:pt idx="16">
                  <c:v>5.3948987110514211E-5</c:v>
                </c:pt>
                <c:pt idx="17">
                  <c:v>7.291186580108841E-5</c:v>
                </c:pt>
                <c:pt idx="18">
                  <c:v>9.4459277664095205E-5</c:v>
                </c:pt>
                <c:pt idx="19">
                  <c:v>1.3710080788477392E-4</c:v>
                </c:pt>
                <c:pt idx="20">
                  <c:v>1.9363113082524288E-4</c:v>
                </c:pt>
                <c:pt idx="21">
                  <c:v>2.563959746605835E-4</c:v>
                </c:pt>
                <c:pt idx="22">
                  <c:v>3.7162142546679031E-4</c:v>
                </c:pt>
                <c:pt idx="23">
                  <c:v>4.7964553962706602E-4</c:v>
                </c:pt>
                <c:pt idx="24">
                  <c:v>6.2086386327762878E-4</c:v>
                </c:pt>
                <c:pt idx="25">
                  <c:v>8.3064894299582446E-4</c:v>
                </c:pt>
                <c:pt idx="26">
                  <c:v>1.0643705676630819E-3</c:v>
                </c:pt>
                <c:pt idx="27">
                  <c:v>1.4357342205699761E-3</c:v>
                </c:pt>
                <c:pt idx="28">
                  <c:v>1.8894090444246327E-3</c:v>
                </c:pt>
                <c:pt idx="29">
                  <c:v>2.5027543359236043E-3</c:v>
                </c:pt>
                <c:pt idx="30">
                  <c:v>3.2686080000000014E-3</c:v>
                </c:pt>
                <c:pt idx="31">
                  <c:v>4.3071870408207171E-3</c:v>
                </c:pt>
                <c:pt idx="32">
                  <c:v>5.5494012491895065E-3</c:v>
                </c:pt>
                <c:pt idx="33">
                  <c:v>6.9806138501297445E-3</c:v>
                </c:pt>
                <c:pt idx="34">
                  <c:v>9.8883017612523411E-3</c:v>
                </c:pt>
                <c:pt idx="35">
                  <c:v>1.3315953818694751E-2</c:v>
                </c:pt>
                <c:pt idx="36">
                  <c:v>1.7633072348552131E-2</c:v>
                </c:pt>
                <c:pt idx="37">
                  <c:v>2.2393987745065833E-2</c:v>
                </c:pt>
                <c:pt idx="38">
                  <c:v>2.9549131919374024E-2</c:v>
                </c:pt>
                <c:pt idx="39">
                  <c:v>3.7809005169542956E-2</c:v>
                </c:pt>
                <c:pt idx="40">
                  <c:v>4.8375077806294985E-2</c:v>
                </c:pt>
                <c:pt idx="41">
                  <c:v>6.7909266907667867E-2</c:v>
                </c:pt>
                <c:pt idx="42">
                  <c:v>9.7061359323743532E-2</c:v>
                </c:pt>
                <c:pt idx="43">
                  <c:v>0.13297542054384345</c:v>
                </c:pt>
                <c:pt idx="44">
                  <c:v>0.1788811335794516</c:v>
                </c:pt>
                <c:pt idx="45">
                  <c:v>0.22776973860801825</c:v>
                </c:pt>
                <c:pt idx="46">
                  <c:v>0.30239884908408798</c:v>
                </c:pt>
                <c:pt idx="47">
                  <c:v>0.39548191759737833</c:v>
                </c:pt>
                <c:pt idx="48">
                  <c:v>0.51557467947178981</c:v>
                </c:pt>
                <c:pt idx="49">
                  <c:v>0.65631647047345576</c:v>
                </c:pt>
                <c:pt idx="50">
                  <c:v>0.85206577821478791</c:v>
                </c:pt>
                <c:pt idx="51">
                  <c:v>1.1304651133105208</c:v>
                </c:pt>
                <c:pt idx="52">
                  <c:v>1.4923617528335051</c:v>
                </c:pt>
                <c:pt idx="53">
                  <c:v>1.971270099535672</c:v>
                </c:pt>
                <c:pt idx="54">
                  <c:v>2.5314410867905703</c:v>
                </c:pt>
                <c:pt idx="55">
                  <c:v>3.3310138210339257</c:v>
                </c:pt>
                <c:pt idx="56">
                  <c:v>4.4679089121817492</c:v>
                </c:pt>
                <c:pt idx="57">
                  <c:v>6.1735323134129239</c:v>
                </c:pt>
                <c:pt idx="58">
                  <c:v>8.3357716372733073</c:v>
                </c:pt>
                <c:pt idx="59">
                  <c:v>11.442061312000005</c:v>
                </c:pt>
                <c:pt idx="60">
                  <c:v>15.575454184947356</c:v>
                </c:pt>
                <c:pt idx="61">
                  <c:v>24.056284455153232</c:v>
                </c:pt>
                <c:pt idx="62">
                  <c:v>34.830041290370438</c:v>
                </c:pt>
                <c:pt idx="63">
                  <c:v>49.580626982764841</c:v>
                </c:pt>
                <c:pt idx="64">
                  <c:v>90.238429936744296</c:v>
                </c:pt>
                <c:pt idx="65">
                  <c:v>168.94751892320357</c:v>
                </c:pt>
                <c:pt idx="66">
                  <c:v>308.65812286314213</c:v>
                </c:pt>
                <c:pt idx="67">
                  <c:v>466.16391918661395</c:v>
                </c:pt>
                <c:pt idx="68">
                  <c:v>704.04367633563913</c:v>
                </c:pt>
                <c:pt idx="69">
                  <c:v>1063.3115901657186</c:v>
                </c:pt>
                <c:pt idx="70">
                  <c:v>1605.9110759511216</c:v>
                </c:pt>
                <c:pt idx="71">
                  <c:v>2425.3947833490238</c:v>
                </c:pt>
                <c:pt idx="72">
                  <c:v>3663.0545384417674</c:v>
                </c:pt>
                <c:pt idx="73">
                  <c:v>5532.2822674958843</c:v>
                </c:pt>
                <c:pt idx="74">
                  <c:v>8355.3621072398801</c:v>
                </c:pt>
                <c:pt idx="75">
                  <c:v>12619.037237718454</c:v>
                </c:pt>
                <c:pt idx="76">
                  <c:v>19058.432030006719</c:v>
                </c:pt>
                <c:pt idx="77">
                  <c:v>28783.799001456759</c:v>
                </c:pt>
                <c:pt idx="78">
                  <c:v>43471.943738698581</c:v>
                </c:pt>
                <c:pt idx="79">
                  <c:v>65655.332443258463</c:v>
                </c:pt>
                <c:pt idx="80">
                  <c:v>99158.728768722751</c:v>
                </c:pt>
                <c:pt idx="81">
                  <c:v>149758.64297887241</c:v>
                </c:pt>
                <c:pt idx="82">
                  <c:v>226179.29279008304</c:v>
                </c:pt>
                <c:pt idx="83">
                  <c:v>341596.79514616891</c:v>
                </c:pt>
                <c:pt idx="84">
                  <c:v>515910.93514662329</c:v>
                </c:pt>
                <c:pt idx="85">
                  <c:v>779176.20067240973</c:v>
                </c:pt>
                <c:pt idx="86">
                  <c:v>1176783.6468163782</c:v>
                </c:pt>
                <c:pt idx="87">
                  <c:v>1777287.0247055665</c:v>
                </c:pt>
                <c:pt idx="88">
                  <c:v>2684222.5218988331</c:v>
                </c:pt>
                <c:pt idx="89">
                  <c:v>4053960.0227276478</c:v>
                </c:pt>
                <c:pt idx="90">
                  <c:v>6122663.7254529968</c:v>
                </c:pt>
                <c:pt idx="91">
                  <c:v>9247010.5488991439</c:v>
                </c:pt>
                <c:pt idx="92">
                  <c:v>13965686.819608185</c:v>
                </c:pt>
                <c:pt idx="93">
                  <c:v>21092266.231554944</c:v>
                </c:pt>
                <c:pt idx="94">
                  <c:v>31855482.693351306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6F-1C46-84D1-CD65C41C4569}"/>
            </c:ext>
          </c:extLst>
        </c:ser>
        <c:ser>
          <c:idx val="3"/>
          <c:order val="3"/>
          <c:tx>
            <c:strRef>
              <c:f>EdgeAI_vs_Download!$A$15</c:f>
              <c:strCache>
                <c:ptCount val="1"/>
                <c:pt idx="0">
                  <c:v>Cost to download all data [Euro/per second] (starts 2023)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EdgeAI_vs_Download!$B$7:$CR$7</c:f>
              <c:numCache>
                <c:formatCode>General</c:formatCode>
                <c:ptCount val="95"/>
                <c:pt idx="1">
                  <c:v>1957</c:v>
                </c:pt>
                <c:pt idx="2">
                  <c:v>1958</c:v>
                </c:pt>
                <c:pt idx="3">
                  <c:v>1959</c:v>
                </c:pt>
                <c:pt idx="4">
                  <c:v>1960</c:v>
                </c:pt>
                <c:pt idx="5">
                  <c:v>1961</c:v>
                </c:pt>
                <c:pt idx="6">
                  <c:v>1962</c:v>
                </c:pt>
                <c:pt idx="7">
                  <c:v>1963</c:v>
                </c:pt>
                <c:pt idx="8">
                  <c:v>1964</c:v>
                </c:pt>
                <c:pt idx="9">
                  <c:v>1965</c:v>
                </c:pt>
                <c:pt idx="10">
                  <c:v>1966</c:v>
                </c:pt>
                <c:pt idx="11">
                  <c:v>1967</c:v>
                </c:pt>
                <c:pt idx="12">
                  <c:v>1968</c:v>
                </c:pt>
                <c:pt idx="13">
                  <c:v>1969</c:v>
                </c:pt>
                <c:pt idx="14">
                  <c:v>1970</c:v>
                </c:pt>
                <c:pt idx="15">
                  <c:v>1971</c:v>
                </c:pt>
                <c:pt idx="16">
                  <c:v>1972</c:v>
                </c:pt>
                <c:pt idx="17">
                  <c:v>1973</c:v>
                </c:pt>
                <c:pt idx="18">
                  <c:v>1974</c:v>
                </c:pt>
                <c:pt idx="19">
                  <c:v>1975</c:v>
                </c:pt>
                <c:pt idx="20">
                  <c:v>1976</c:v>
                </c:pt>
                <c:pt idx="21">
                  <c:v>1977</c:v>
                </c:pt>
                <c:pt idx="22">
                  <c:v>1978</c:v>
                </c:pt>
                <c:pt idx="23">
                  <c:v>1979</c:v>
                </c:pt>
                <c:pt idx="24">
                  <c:v>1980</c:v>
                </c:pt>
                <c:pt idx="25">
                  <c:v>1981</c:v>
                </c:pt>
                <c:pt idx="26">
                  <c:v>1982</c:v>
                </c:pt>
                <c:pt idx="27">
                  <c:v>1983</c:v>
                </c:pt>
                <c:pt idx="28">
                  <c:v>1984</c:v>
                </c:pt>
                <c:pt idx="29">
                  <c:v>1985</c:v>
                </c:pt>
                <c:pt idx="30">
                  <c:v>1986</c:v>
                </c:pt>
                <c:pt idx="31">
                  <c:v>1987</c:v>
                </c:pt>
                <c:pt idx="32">
                  <c:v>1988</c:v>
                </c:pt>
                <c:pt idx="33">
                  <c:v>1989</c:v>
                </c:pt>
                <c:pt idx="34">
                  <c:v>1990</c:v>
                </c:pt>
                <c:pt idx="35">
                  <c:v>1991</c:v>
                </c:pt>
                <c:pt idx="36">
                  <c:v>1992</c:v>
                </c:pt>
                <c:pt idx="37">
                  <c:v>1993</c:v>
                </c:pt>
                <c:pt idx="38">
                  <c:v>1994</c:v>
                </c:pt>
                <c:pt idx="39">
                  <c:v>1995</c:v>
                </c:pt>
                <c:pt idx="40">
                  <c:v>1996</c:v>
                </c:pt>
                <c:pt idx="41">
                  <c:v>1997</c:v>
                </c:pt>
                <c:pt idx="42">
                  <c:v>1998</c:v>
                </c:pt>
                <c:pt idx="43">
                  <c:v>1999</c:v>
                </c:pt>
                <c:pt idx="44">
                  <c:v>2000</c:v>
                </c:pt>
                <c:pt idx="45">
                  <c:v>2001</c:v>
                </c:pt>
                <c:pt idx="46">
                  <c:v>2002</c:v>
                </c:pt>
                <c:pt idx="47">
                  <c:v>2003</c:v>
                </c:pt>
                <c:pt idx="48">
                  <c:v>2004</c:v>
                </c:pt>
                <c:pt idx="49">
                  <c:v>2005</c:v>
                </c:pt>
                <c:pt idx="50">
                  <c:v>2006</c:v>
                </c:pt>
                <c:pt idx="51">
                  <c:v>2007</c:v>
                </c:pt>
                <c:pt idx="52">
                  <c:v>2008</c:v>
                </c:pt>
                <c:pt idx="53">
                  <c:v>2009</c:v>
                </c:pt>
                <c:pt idx="54">
                  <c:v>2010</c:v>
                </c:pt>
                <c:pt idx="55">
                  <c:v>2011</c:v>
                </c:pt>
                <c:pt idx="56">
                  <c:v>2012</c:v>
                </c:pt>
                <c:pt idx="57">
                  <c:v>2013</c:v>
                </c:pt>
                <c:pt idx="58">
                  <c:v>2014</c:v>
                </c:pt>
                <c:pt idx="59">
                  <c:v>2015</c:v>
                </c:pt>
                <c:pt idx="60">
                  <c:v>2016</c:v>
                </c:pt>
                <c:pt idx="61">
                  <c:v>2017</c:v>
                </c:pt>
                <c:pt idx="62">
                  <c:v>2018</c:v>
                </c:pt>
                <c:pt idx="63">
                  <c:v>2019</c:v>
                </c:pt>
                <c:pt idx="64">
                  <c:v>2020</c:v>
                </c:pt>
                <c:pt idx="65">
                  <c:v>2021</c:v>
                </c:pt>
                <c:pt idx="66">
                  <c:v>2022</c:v>
                </c:pt>
                <c:pt idx="67">
                  <c:v>2023</c:v>
                </c:pt>
                <c:pt idx="68">
                  <c:v>2024</c:v>
                </c:pt>
                <c:pt idx="69">
                  <c:v>2025</c:v>
                </c:pt>
                <c:pt idx="70">
                  <c:v>2026</c:v>
                </c:pt>
                <c:pt idx="71">
                  <c:v>2027</c:v>
                </c:pt>
                <c:pt idx="72">
                  <c:v>2028</c:v>
                </c:pt>
                <c:pt idx="73">
                  <c:v>2029</c:v>
                </c:pt>
                <c:pt idx="74">
                  <c:v>2030</c:v>
                </c:pt>
                <c:pt idx="75">
                  <c:v>2031</c:v>
                </c:pt>
                <c:pt idx="76">
                  <c:v>2032</c:v>
                </c:pt>
                <c:pt idx="77">
                  <c:v>2033</c:v>
                </c:pt>
                <c:pt idx="78">
                  <c:v>2034</c:v>
                </c:pt>
                <c:pt idx="79">
                  <c:v>2035</c:v>
                </c:pt>
                <c:pt idx="80">
                  <c:v>2036</c:v>
                </c:pt>
                <c:pt idx="81">
                  <c:v>2037</c:v>
                </c:pt>
                <c:pt idx="82">
                  <c:v>2038</c:v>
                </c:pt>
                <c:pt idx="83">
                  <c:v>2039</c:v>
                </c:pt>
                <c:pt idx="84">
                  <c:v>2040</c:v>
                </c:pt>
                <c:pt idx="85">
                  <c:v>2041</c:v>
                </c:pt>
                <c:pt idx="86">
                  <c:v>2042</c:v>
                </c:pt>
                <c:pt idx="87">
                  <c:v>2043</c:v>
                </c:pt>
                <c:pt idx="88">
                  <c:v>2044</c:v>
                </c:pt>
                <c:pt idx="89">
                  <c:v>2045</c:v>
                </c:pt>
                <c:pt idx="90">
                  <c:v>2046</c:v>
                </c:pt>
                <c:pt idx="91">
                  <c:v>2047</c:v>
                </c:pt>
                <c:pt idx="92">
                  <c:v>2048</c:v>
                </c:pt>
                <c:pt idx="93">
                  <c:v>2049</c:v>
                </c:pt>
                <c:pt idx="94">
                  <c:v>2050</c:v>
                </c:pt>
              </c:numCache>
            </c:numRef>
          </c:xVal>
          <c:yVal>
            <c:numRef>
              <c:f>EdgeAI_vs_Download!$B$15:$CR$15</c:f>
              <c:numCache>
                <c:formatCode>General</c:formatCode>
                <c:ptCount val="95"/>
                <c:pt idx="67" formatCode="#,##0">
                  <c:v>116.54097979665349</c:v>
                </c:pt>
                <c:pt idx="68" formatCode="#,##0">
                  <c:v>120.39138412943414</c:v>
                </c:pt>
                <c:pt idx="69" formatCode="#,##0">
                  <c:v>124.36900219897734</c:v>
                </c:pt>
                <c:pt idx="70" formatCode="#,##0">
                  <c:v>128.47803702746521</c:v>
                </c:pt>
                <c:pt idx="71" formatCode="#,##0">
                  <c:v>132.72283050097874</c:v>
                </c:pt>
                <c:pt idx="72" formatCode="#,##0">
                  <c:v>137.10786795743024</c:v>
                </c:pt>
                <c:pt idx="73" formatCode="#,##0">
                  <c:v>141.63778292607694</c:v>
                </c:pt>
                <c:pt idx="74" formatCode="#,##0">
                  <c:v>146.3173620236235</c:v>
                </c:pt>
                <c:pt idx="75" formatCode="#,##0">
                  <c:v>151.1515500120874</c:v>
                </c:pt>
                <c:pt idx="76" formatCode="#,##0">
                  <c:v>156.14545502377132</c:v>
                </c:pt>
                <c:pt idx="77" formatCode="#,##0">
                  <c:v>161.30435395886335</c:v>
                </c:pt>
                <c:pt idx="78" formatCode="#,##0">
                  <c:v>166.63369806136959</c:v>
                </c:pt>
                <c:pt idx="79" formatCode="#,##0">
                  <c:v>172.13911867926959</c:v>
                </c:pt>
                <c:pt idx="80" formatCode="#,##0">
                  <c:v>177.8264332149823</c:v>
                </c:pt>
                <c:pt idx="81" formatCode="#,##0">
                  <c:v>183.70165127242959</c:v>
                </c:pt>
                <c:pt idx="82" formatCode="#,##0">
                  <c:v>189.77098100719334</c:v>
                </c:pt>
                <c:pt idx="83" formatCode="#,##0">
                  <c:v>196.04083568647516</c:v>
                </c:pt>
                <c:pt idx="84" formatCode="#,##0">
                  <c:v>202.51784046579164</c:v>
                </c:pt>
                <c:pt idx="85" formatCode="#,##0">
                  <c:v>209.2088393895647</c:v>
                </c:pt>
                <c:pt idx="86" formatCode="#,##0">
                  <c:v>216.12090262300535</c:v>
                </c:pt>
                <c:pt idx="87" formatCode="#,##0">
                  <c:v>223.26133392293158</c:v>
                </c:pt>
                <c:pt idx="88" formatCode="#,##0">
                  <c:v>230.63767835541537</c:v>
                </c:pt>
                <c:pt idx="89" formatCode="#,##0">
                  <c:v>238.25773026841352</c:v>
                </c:pt>
                <c:pt idx="90" formatCode="#,##0">
                  <c:v>246.12954152780654</c:v>
                </c:pt>
                <c:pt idx="91" formatCode="#,##0">
                  <c:v>254.26143002554852</c:v>
                </c:pt>
                <c:pt idx="92" formatCode="#,##0">
                  <c:v>262.66198846891848</c:v>
                </c:pt>
                <c:pt idx="93" formatCode="#,##0">
                  <c:v>271.34009346015995</c:v>
                </c:pt>
                <c:pt idx="94" formatCode="#,##0">
                  <c:v>280.30491487610374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6F-1C46-84D1-CD65C41C4569}"/>
            </c:ext>
          </c:extLst>
        </c:ser>
        <c:ser>
          <c:idx val="4"/>
          <c:order val="4"/>
          <c:tx>
            <c:strRef>
              <c:f>EdgeAI_vs_Download!$A$21</c:f>
              <c:strCache>
                <c:ptCount val="1"/>
                <c:pt idx="0">
                  <c:v>Cost to compress all data (1000x) AND download to GS [Euro/second]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EdgeAI_vs_Download!$B$7:$CR$7</c:f>
              <c:numCache>
                <c:formatCode>General</c:formatCode>
                <c:ptCount val="95"/>
                <c:pt idx="1">
                  <c:v>1957</c:v>
                </c:pt>
                <c:pt idx="2">
                  <c:v>1958</c:v>
                </c:pt>
                <c:pt idx="3">
                  <c:v>1959</c:v>
                </c:pt>
                <c:pt idx="4">
                  <c:v>1960</c:v>
                </c:pt>
                <c:pt idx="5">
                  <c:v>1961</c:v>
                </c:pt>
                <c:pt idx="6">
                  <c:v>1962</c:v>
                </c:pt>
                <c:pt idx="7">
                  <c:v>1963</c:v>
                </c:pt>
                <c:pt idx="8">
                  <c:v>1964</c:v>
                </c:pt>
                <c:pt idx="9">
                  <c:v>1965</c:v>
                </c:pt>
                <c:pt idx="10">
                  <c:v>1966</c:v>
                </c:pt>
                <c:pt idx="11">
                  <c:v>1967</c:v>
                </c:pt>
                <c:pt idx="12">
                  <c:v>1968</c:v>
                </c:pt>
                <c:pt idx="13">
                  <c:v>1969</c:v>
                </c:pt>
                <c:pt idx="14">
                  <c:v>1970</c:v>
                </c:pt>
                <c:pt idx="15">
                  <c:v>1971</c:v>
                </c:pt>
                <c:pt idx="16">
                  <c:v>1972</c:v>
                </c:pt>
                <c:pt idx="17">
                  <c:v>1973</c:v>
                </c:pt>
                <c:pt idx="18">
                  <c:v>1974</c:v>
                </c:pt>
                <c:pt idx="19">
                  <c:v>1975</c:v>
                </c:pt>
                <c:pt idx="20">
                  <c:v>1976</c:v>
                </c:pt>
                <c:pt idx="21">
                  <c:v>1977</c:v>
                </c:pt>
                <c:pt idx="22">
                  <c:v>1978</c:v>
                </c:pt>
                <c:pt idx="23">
                  <c:v>1979</c:v>
                </c:pt>
                <c:pt idx="24">
                  <c:v>1980</c:v>
                </c:pt>
                <c:pt idx="25">
                  <c:v>1981</c:v>
                </c:pt>
                <c:pt idx="26">
                  <c:v>1982</c:v>
                </c:pt>
                <c:pt idx="27">
                  <c:v>1983</c:v>
                </c:pt>
                <c:pt idx="28">
                  <c:v>1984</c:v>
                </c:pt>
                <c:pt idx="29">
                  <c:v>1985</c:v>
                </c:pt>
                <c:pt idx="30">
                  <c:v>1986</c:v>
                </c:pt>
                <c:pt idx="31">
                  <c:v>1987</c:v>
                </c:pt>
                <c:pt idx="32">
                  <c:v>1988</c:v>
                </c:pt>
                <c:pt idx="33">
                  <c:v>1989</c:v>
                </c:pt>
                <c:pt idx="34">
                  <c:v>1990</c:v>
                </c:pt>
                <c:pt idx="35">
                  <c:v>1991</c:v>
                </c:pt>
                <c:pt idx="36">
                  <c:v>1992</c:v>
                </c:pt>
                <c:pt idx="37">
                  <c:v>1993</c:v>
                </c:pt>
                <c:pt idx="38">
                  <c:v>1994</c:v>
                </c:pt>
                <c:pt idx="39">
                  <c:v>1995</c:v>
                </c:pt>
                <c:pt idx="40">
                  <c:v>1996</c:v>
                </c:pt>
                <c:pt idx="41">
                  <c:v>1997</c:v>
                </c:pt>
                <c:pt idx="42">
                  <c:v>1998</c:v>
                </c:pt>
                <c:pt idx="43">
                  <c:v>1999</c:v>
                </c:pt>
                <c:pt idx="44">
                  <c:v>2000</c:v>
                </c:pt>
                <c:pt idx="45">
                  <c:v>2001</c:v>
                </c:pt>
                <c:pt idx="46">
                  <c:v>2002</c:v>
                </c:pt>
                <c:pt idx="47">
                  <c:v>2003</c:v>
                </c:pt>
                <c:pt idx="48">
                  <c:v>2004</c:v>
                </c:pt>
                <c:pt idx="49">
                  <c:v>2005</c:v>
                </c:pt>
                <c:pt idx="50">
                  <c:v>2006</c:v>
                </c:pt>
                <c:pt idx="51">
                  <c:v>2007</c:v>
                </c:pt>
                <c:pt idx="52">
                  <c:v>2008</c:v>
                </c:pt>
                <c:pt idx="53">
                  <c:v>2009</c:v>
                </c:pt>
                <c:pt idx="54">
                  <c:v>2010</c:v>
                </c:pt>
                <c:pt idx="55">
                  <c:v>2011</c:v>
                </c:pt>
                <c:pt idx="56">
                  <c:v>2012</c:v>
                </c:pt>
                <c:pt idx="57">
                  <c:v>2013</c:v>
                </c:pt>
                <c:pt idx="58">
                  <c:v>2014</c:v>
                </c:pt>
                <c:pt idx="59">
                  <c:v>2015</c:v>
                </c:pt>
                <c:pt idx="60">
                  <c:v>2016</c:v>
                </c:pt>
                <c:pt idx="61">
                  <c:v>2017</c:v>
                </c:pt>
                <c:pt idx="62">
                  <c:v>2018</c:v>
                </c:pt>
                <c:pt idx="63">
                  <c:v>2019</c:v>
                </c:pt>
                <c:pt idx="64">
                  <c:v>2020</c:v>
                </c:pt>
                <c:pt idx="65">
                  <c:v>2021</c:v>
                </c:pt>
                <c:pt idx="66">
                  <c:v>2022</c:v>
                </c:pt>
                <c:pt idx="67">
                  <c:v>2023</c:v>
                </c:pt>
                <c:pt idx="68">
                  <c:v>2024</c:v>
                </c:pt>
                <c:pt idx="69">
                  <c:v>2025</c:v>
                </c:pt>
                <c:pt idx="70">
                  <c:v>2026</c:v>
                </c:pt>
                <c:pt idx="71">
                  <c:v>2027</c:v>
                </c:pt>
                <c:pt idx="72">
                  <c:v>2028</c:v>
                </c:pt>
                <c:pt idx="73">
                  <c:v>2029</c:v>
                </c:pt>
                <c:pt idx="74">
                  <c:v>2030</c:v>
                </c:pt>
                <c:pt idx="75">
                  <c:v>2031</c:v>
                </c:pt>
                <c:pt idx="76">
                  <c:v>2032</c:v>
                </c:pt>
                <c:pt idx="77">
                  <c:v>2033</c:v>
                </c:pt>
                <c:pt idx="78">
                  <c:v>2034</c:v>
                </c:pt>
                <c:pt idx="79">
                  <c:v>2035</c:v>
                </c:pt>
                <c:pt idx="80">
                  <c:v>2036</c:v>
                </c:pt>
                <c:pt idx="81">
                  <c:v>2037</c:v>
                </c:pt>
                <c:pt idx="82">
                  <c:v>2038</c:v>
                </c:pt>
                <c:pt idx="83">
                  <c:v>2039</c:v>
                </c:pt>
                <c:pt idx="84">
                  <c:v>2040</c:v>
                </c:pt>
                <c:pt idx="85">
                  <c:v>2041</c:v>
                </c:pt>
                <c:pt idx="86">
                  <c:v>2042</c:v>
                </c:pt>
                <c:pt idx="87">
                  <c:v>2043</c:v>
                </c:pt>
                <c:pt idx="88">
                  <c:v>2044</c:v>
                </c:pt>
                <c:pt idx="89">
                  <c:v>2045</c:v>
                </c:pt>
                <c:pt idx="90">
                  <c:v>2046</c:v>
                </c:pt>
                <c:pt idx="91">
                  <c:v>2047</c:v>
                </c:pt>
                <c:pt idx="92">
                  <c:v>2048</c:v>
                </c:pt>
                <c:pt idx="93">
                  <c:v>2049</c:v>
                </c:pt>
                <c:pt idx="94">
                  <c:v>2050</c:v>
                </c:pt>
              </c:numCache>
            </c:numRef>
          </c:xVal>
          <c:yVal>
            <c:numRef>
              <c:f>EdgeAI_vs_Download!$B$21:$CR$21</c:f>
              <c:numCache>
                <c:formatCode>0</c:formatCode>
                <c:ptCount val="95"/>
                <c:pt idx="67">
                  <c:v>3338.1958377512688</c:v>
                </c:pt>
                <c:pt idx="68">
                  <c:v>2675.4596189532144</c:v>
                </c:pt>
                <c:pt idx="69">
                  <c:v>1615.5900196339567</c:v>
                </c:pt>
                <c:pt idx="70">
                  <c:v>1298.1460036779588</c:v>
                </c:pt>
                <c:pt idx="71">
                  <c:v>1007.646654949064</c:v>
                </c:pt>
                <c:pt idx="72">
                  <c:v>775.56250084328963</c:v>
                </c:pt>
                <c:pt idx="73">
                  <c:v>607.69544750095758</c:v>
                </c:pt>
                <c:pt idx="74">
                  <c:v>490.90960610795906</c:v>
                </c:pt>
                <c:pt idx="75">
                  <c:v>399.70003221667116</c:v>
                </c:pt>
                <c:pt idx="76">
                  <c:v>323.96966010041416</c:v>
                </c:pt>
                <c:pt idx="77">
                  <c:v>264.57919800032283</c:v>
                </c:pt>
                <c:pt idx="78">
                  <c:v>217.76001845300596</c:v>
                </c:pt>
                <c:pt idx="79">
                  <c:v>180.7885675604953</c:v>
                </c:pt>
                <c:pt idx="80">
                  <c:v>150.27496244541643</c:v>
                </c:pt>
                <c:pt idx="81">
                  <c:v>125.76174469440483</c:v>
                </c:pt>
                <c:pt idx="82">
                  <c:v>105.72280687482697</c:v>
                </c:pt>
                <c:pt idx="83">
                  <c:v>89.331393800589311</c:v>
                </c:pt>
                <c:pt idx="84">
                  <c:v>75.859090161517969</c:v>
                </c:pt>
                <c:pt idx="85">
                  <c:v>64.767890936325571</c:v>
                </c:pt>
                <c:pt idx="86">
                  <c:v>55.609101453009103</c:v>
                </c:pt>
                <c:pt idx="87">
                  <c:v>48.027547590173469</c:v>
                </c:pt>
                <c:pt idx="88">
                  <c:v>41.7398401897903</c:v>
                </c:pt>
                <c:pt idx="89">
                  <c:v>36.512490510049638</c:v>
                </c:pt>
                <c:pt idx="90">
                  <c:v>32.159514642939463</c:v>
                </c:pt>
                <c:pt idx="91">
                  <c:v>28.528340629880599</c:v>
                </c:pt>
                <c:pt idx="92">
                  <c:v>25.494821688430193</c:v>
                </c:pt>
                <c:pt idx="93">
                  <c:v>22.957360236836113</c:v>
                </c:pt>
                <c:pt idx="94">
                  <c:v>20.831827057546114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76F-1C46-84D1-CD65C41C4569}"/>
            </c:ext>
          </c:extLst>
        </c:ser>
        <c:ser>
          <c:idx val="5"/>
          <c:order val="5"/>
          <c:tx>
            <c:strRef>
              <c:f>EdgeAI_vs_Download!$A$23</c:f>
              <c:strCache>
                <c:ptCount val="1"/>
                <c:pt idx="0">
                  <c:v>Cost to download compressed data [Euro/per second]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EdgeAI_vs_Download!$B$7:$CR$7</c:f>
              <c:numCache>
                <c:formatCode>General</c:formatCode>
                <c:ptCount val="95"/>
                <c:pt idx="1">
                  <c:v>1957</c:v>
                </c:pt>
                <c:pt idx="2">
                  <c:v>1958</c:v>
                </c:pt>
                <c:pt idx="3">
                  <c:v>1959</c:v>
                </c:pt>
                <c:pt idx="4">
                  <c:v>1960</c:v>
                </c:pt>
                <c:pt idx="5">
                  <c:v>1961</c:v>
                </c:pt>
                <c:pt idx="6">
                  <c:v>1962</c:v>
                </c:pt>
                <c:pt idx="7">
                  <c:v>1963</c:v>
                </c:pt>
                <c:pt idx="8">
                  <c:v>1964</c:v>
                </c:pt>
                <c:pt idx="9">
                  <c:v>1965</c:v>
                </c:pt>
                <c:pt idx="10">
                  <c:v>1966</c:v>
                </c:pt>
                <c:pt idx="11">
                  <c:v>1967</c:v>
                </c:pt>
                <c:pt idx="12">
                  <c:v>1968</c:v>
                </c:pt>
                <c:pt idx="13">
                  <c:v>1969</c:v>
                </c:pt>
                <c:pt idx="14">
                  <c:v>1970</c:v>
                </c:pt>
                <c:pt idx="15">
                  <c:v>1971</c:v>
                </c:pt>
                <c:pt idx="16">
                  <c:v>1972</c:v>
                </c:pt>
                <c:pt idx="17">
                  <c:v>1973</c:v>
                </c:pt>
                <c:pt idx="18">
                  <c:v>1974</c:v>
                </c:pt>
                <c:pt idx="19">
                  <c:v>1975</c:v>
                </c:pt>
                <c:pt idx="20">
                  <c:v>1976</c:v>
                </c:pt>
                <c:pt idx="21">
                  <c:v>1977</c:v>
                </c:pt>
                <c:pt idx="22">
                  <c:v>1978</c:v>
                </c:pt>
                <c:pt idx="23">
                  <c:v>1979</c:v>
                </c:pt>
                <c:pt idx="24">
                  <c:v>1980</c:v>
                </c:pt>
                <c:pt idx="25">
                  <c:v>1981</c:v>
                </c:pt>
                <c:pt idx="26">
                  <c:v>1982</c:v>
                </c:pt>
                <c:pt idx="27">
                  <c:v>1983</c:v>
                </c:pt>
                <c:pt idx="28">
                  <c:v>1984</c:v>
                </c:pt>
                <c:pt idx="29">
                  <c:v>1985</c:v>
                </c:pt>
                <c:pt idx="30">
                  <c:v>1986</c:v>
                </c:pt>
                <c:pt idx="31">
                  <c:v>1987</c:v>
                </c:pt>
                <c:pt idx="32">
                  <c:v>1988</c:v>
                </c:pt>
                <c:pt idx="33">
                  <c:v>1989</c:v>
                </c:pt>
                <c:pt idx="34">
                  <c:v>1990</c:v>
                </c:pt>
                <c:pt idx="35">
                  <c:v>1991</c:v>
                </c:pt>
                <c:pt idx="36">
                  <c:v>1992</c:v>
                </c:pt>
                <c:pt idx="37">
                  <c:v>1993</c:v>
                </c:pt>
                <c:pt idx="38">
                  <c:v>1994</c:v>
                </c:pt>
                <c:pt idx="39">
                  <c:v>1995</c:v>
                </c:pt>
                <c:pt idx="40">
                  <c:v>1996</c:v>
                </c:pt>
                <c:pt idx="41">
                  <c:v>1997</c:v>
                </c:pt>
                <c:pt idx="42">
                  <c:v>1998</c:v>
                </c:pt>
                <c:pt idx="43">
                  <c:v>1999</c:v>
                </c:pt>
                <c:pt idx="44">
                  <c:v>2000</c:v>
                </c:pt>
                <c:pt idx="45">
                  <c:v>2001</c:v>
                </c:pt>
                <c:pt idx="46">
                  <c:v>2002</c:v>
                </c:pt>
                <c:pt idx="47">
                  <c:v>2003</c:v>
                </c:pt>
                <c:pt idx="48">
                  <c:v>2004</c:v>
                </c:pt>
                <c:pt idx="49">
                  <c:v>2005</c:v>
                </c:pt>
                <c:pt idx="50">
                  <c:v>2006</c:v>
                </c:pt>
                <c:pt idx="51">
                  <c:v>2007</c:v>
                </c:pt>
                <c:pt idx="52">
                  <c:v>2008</c:v>
                </c:pt>
                <c:pt idx="53">
                  <c:v>2009</c:v>
                </c:pt>
                <c:pt idx="54">
                  <c:v>2010</c:v>
                </c:pt>
                <c:pt idx="55">
                  <c:v>2011</c:v>
                </c:pt>
                <c:pt idx="56">
                  <c:v>2012</c:v>
                </c:pt>
                <c:pt idx="57">
                  <c:v>2013</c:v>
                </c:pt>
                <c:pt idx="58">
                  <c:v>2014</c:v>
                </c:pt>
                <c:pt idx="59">
                  <c:v>2015</c:v>
                </c:pt>
                <c:pt idx="60">
                  <c:v>2016</c:v>
                </c:pt>
                <c:pt idx="61">
                  <c:v>2017</c:v>
                </c:pt>
                <c:pt idx="62">
                  <c:v>2018</c:v>
                </c:pt>
                <c:pt idx="63">
                  <c:v>2019</c:v>
                </c:pt>
                <c:pt idx="64">
                  <c:v>2020</c:v>
                </c:pt>
                <c:pt idx="65">
                  <c:v>2021</c:v>
                </c:pt>
                <c:pt idx="66">
                  <c:v>2022</c:v>
                </c:pt>
                <c:pt idx="67">
                  <c:v>2023</c:v>
                </c:pt>
                <c:pt idx="68">
                  <c:v>2024</c:v>
                </c:pt>
                <c:pt idx="69">
                  <c:v>2025</c:v>
                </c:pt>
                <c:pt idx="70">
                  <c:v>2026</c:v>
                </c:pt>
                <c:pt idx="71">
                  <c:v>2027</c:v>
                </c:pt>
                <c:pt idx="72">
                  <c:v>2028</c:v>
                </c:pt>
                <c:pt idx="73">
                  <c:v>2029</c:v>
                </c:pt>
                <c:pt idx="74">
                  <c:v>2030</c:v>
                </c:pt>
                <c:pt idx="75">
                  <c:v>2031</c:v>
                </c:pt>
                <c:pt idx="76">
                  <c:v>2032</c:v>
                </c:pt>
                <c:pt idx="77">
                  <c:v>2033</c:v>
                </c:pt>
                <c:pt idx="78">
                  <c:v>2034</c:v>
                </c:pt>
                <c:pt idx="79">
                  <c:v>2035</c:v>
                </c:pt>
                <c:pt idx="80">
                  <c:v>2036</c:v>
                </c:pt>
                <c:pt idx="81">
                  <c:v>2037</c:v>
                </c:pt>
                <c:pt idx="82">
                  <c:v>2038</c:v>
                </c:pt>
                <c:pt idx="83">
                  <c:v>2039</c:v>
                </c:pt>
                <c:pt idx="84">
                  <c:v>2040</c:v>
                </c:pt>
                <c:pt idx="85">
                  <c:v>2041</c:v>
                </c:pt>
                <c:pt idx="86">
                  <c:v>2042</c:v>
                </c:pt>
                <c:pt idx="87">
                  <c:v>2043</c:v>
                </c:pt>
                <c:pt idx="88">
                  <c:v>2044</c:v>
                </c:pt>
                <c:pt idx="89">
                  <c:v>2045</c:v>
                </c:pt>
                <c:pt idx="90">
                  <c:v>2046</c:v>
                </c:pt>
                <c:pt idx="91">
                  <c:v>2047</c:v>
                </c:pt>
                <c:pt idx="92">
                  <c:v>2048</c:v>
                </c:pt>
                <c:pt idx="93">
                  <c:v>2049</c:v>
                </c:pt>
                <c:pt idx="94">
                  <c:v>2050</c:v>
                </c:pt>
              </c:numCache>
            </c:numRef>
          </c:xVal>
          <c:yVal>
            <c:numRef>
              <c:f>EdgeAI_vs_Download!$B$23:$CR$23</c:f>
              <c:numCache>
                <c:formatCode>General</c:formatCode>
                <c:ptCount val="95"/>
                <c:pt idx="67" formatCode="0">
                  <c:v>0.11654097979665348</c:v>
                </c:pt>
                <c:pt idx="68" formatCode="0">
                  <c:v>0.12039138412943415</c:v>
                </c:pt>
                <c:pt idx="69" formatCode="0">
                  <c:v>0.12436900219897734</c:v>
                </c:pt>
                <c:pt idx="70" formatCode="0">
                  <c:v>0.12847803702746521</c:v>
                </c:pt>
                <c:pt idx="71" formatCode="0">
                  <c:v>0.13272283050097874</c:v>
                </c:pt>
                <c:pt idx="72" formatCode="0">
                  <c:v>0.13710786795743024</c:v>
                </c:pt>
                <c:pt idx="73" formatCode="0">
                  <c:v>0.14163778292607693</c:v>
                </c:pt>
                <c:pt idx="74" formatCode="0">
                  <c:v>0.1463173620236235</c:v>
                </c:pt>
                <c:pt idx="75" formatCode="0">
                  <c:v>0.15115155001208741</c:v>
                </c:pt>
                <c:pt idx="76" formatCode="0">
                  <c:v>0.15614545502377131</c:v>
                </c:pt>
                <c:pt idx="77" formatCode="0">
                  <c:v>0.16130435395886333</c:v>
                </c:pt>
                <c:pt idx="78" formatCode="0">
                  <c:v>0.16663369806136957</c:v>
                </c:pt>
                <c:pt idx="79" formatCode="0">
                  <c:v>0.17213911867926959</c:v>
                </c:pt>
                <c:pt idx="80" formatCode="0">
                  <c:v>0.17782643321498232</c:v>
                </c:pt>
                <c:pt idx="81" formatCode="0">
                  <c:v>0.1837016512724296</c:v>
                </c:pt>
                <c:pt idx="82" formatCode="0">
                  <c:v>0.18977098100719333</c:v>
                </c:pt>
                <c:pt idx="83" formatCode="0">
                  <c:v>0.19604083568647515</c:v>
                </c:pt>
                <c:pt idx="84" formatCode="0">
                  <c:v>0.20251784046579163</c:v>
                </c:pt>
                <c:pt idx="85" formatCode="0">
                  <c:v>0.20920883938956469</c:v>
                </c:pt>
                <c:pt idx="86" formatCode="0">
                  <c:v>0.21612090262300535</c:v>
                </c:pt>
                <c:pt idx="87" formatCode="0">
                  <c:v>0.22326133392293157</c:v>
                </c:pt>
                <c:pt idx="88" formatCode="0">
                  <c:v>0.23063767835541538</c:v>
                </c:pt>
                <c:pt idx="89" formatCode="0">
                  <c:v>0.23825773026841351</c:v>
                </c:pt>
                <c:pt idx="90" formatCode="0">
                  <c:v>0.24612954152780653</c:v>
                </c:pt>
                <c:pt idx="91" formatCode="0">
                  <c:v>0.25426143002554852</c:v>
                </c:pt>
                <c:pt idx="92" formatCode="0">
                  <c:v>0.26266198846891847</c:v>
                </c:pt>
                <c:pt idx="93" formatCode="0">
                  <c:v>0.27134009346015997</c:v>
                </c:pt>
                <c:pt idx="94" formatCode="0">
                  <c:v>0.28030491487610376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76F-1C46-84D1-CD65C41C4569}"/>
            </c:ext>
          </c:extLst>
        </c:ser>
        <c:ser>
          <c:idx val="6"/>
          <c:order val="6"/>
          <c:tx>
            <c:strRef>
              <c:f>EdgeAI_vs_Download!$A$25</c:f>
              <c:strCache>
                <c:ptCount val="1"/>
                <c:pt idx="0">
                  <c:v>Cost to compress AND download [Euro/second]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EdgeAI_vs_Download!$B$7:$CR$7</c:f>
              <c:numCache>
                <c:formatCode>General</c:formatCode>
                <c:ptCount val="95"/>
                <c:pt idx="1">
                  <c:v>1957</c:v>
                </c:pt>
                <c:pt idx="2">
                  <c:v>1958</c:v>
                </c:pt>
                <c:pt idx="3">
                  <c:v>1959</c:v>
                </c:pt>
                <c:pt idx="4">
                  <c:v>1960</c:v>
                </c:pt>
                <c:pt idx="5">
                  <c:v>1961</c:v>
                </c:pt>
                <c:pt idx="6">
                  <c:v>1962</c:v>
                </c:pt>
                <c:pt idx="7">
                  <c:v>1963</c:v>
                </c:pt>
                <c:pt idx="8">
                  <c:v>1964</c:v>
                </c:pt>
                <c:pt idx="9">
                  <c:v>1965</c:v>
                </c:pt>
                <c:pt idx="10">
                  <c:v>1966</c:v>
                </c:pt>
                <c:pt idx="11">
                  <c:v>1967</c:v>
                </c:pt>
                <c:pt idx="12">
                  <c:v>1968</c:v>
                </c:pt>
                <c:pt idx="13">
                  <c:v>1969</c:v>
                </c:pt>
                <c:pt idx="14">
                  <c:v>1970</c:v>
                </c:pt>
                <c:pt idx="15">
                  <c:v>1971</c:v>
                </c:pt>
                <c:pt idx="16">
                  <c:v>1972</c:v>
                </c:pt>
                <c:pt idx="17">
                  <c:v>1973</c:v>
                </c:pt>
                <c:pt idx="18">
                  <c:v>1974</c:v>
                </c:pt>
                <c:pt idx="19">
                  <c:v>1975</c:v>
                </c:pt>
                <c:pt idx="20">
                  <c:v>1976</c:v>
                </c:pt>
                <c:pt idx="21">
                  <c:v>1977</c:v>
                </c:pt>
                <c:pt idx="22">
                  <c:v>1978</c:v>
                </c:pt>
                <c:pt idx="23">
                  <c:v>1979</c:v>
                </c:pt>
                <c:pt idx="24">
                  <c:v>1980</c:v>
                </c:pt>
                <c:pt idx="25">
                  <c:v>1981</c:v>
                </c:pt>
                <c:pt idx="26">
                  <c:v>1982</c:v>
                </c:pt>
                <c:pt idx="27">
                  <c:v>1983</c:v>
                </c:pt>
                <c:pt idx="28">
                  <c:v>1984</c:v>
                </c:pt>
                <c:pt idx="29">
                  <c:v>1985</c:v>
                </c:pt>
                <c:pt idx="30">
                  <c:v>1986</c:v>
                </c:pt>
                <c:pt idx="31">
                  <c:v>1987</c:v>
                </c:pt>
                <c:pt idx="32">
                  <c:v>1988</c:v>
                </c:pt>
                <c:pt idx="33">
                  <c:v>1989</c:v>
                </c:pt>
                <c:pt idx="34">
                  <c:v>1990</c:v>
                </c:pt>
                <c:pt idx="35">
                  <c:v>1991</c:v>
                </c:pt>
                <c:pt idx="36">
                  <c:v>1992</c:v>
                </c:pt>
                <c:pt idx="37">
                  <c:v>1993</c:v>
                </c:pt>
                <c:pt idx="38">
                  <c:v>1994</c:v>
                </c:pt>
                <c:pt idx="39">
                  <c:v>1995</c:v>
                </c:pt>
                <c:pt idx="40">
                  <c:v>1996</c:v>
                </c:pt>
                <c:pt idx="41">
                  <c:v>1997</c:v>
                </c:pt>
                <c:pt idx="42">
                  <c:v>1998</c:v>
                </c:pt>
                <c:pt idx="43">
                  <c:v>1999</c:v>
                </c:pt>
                <c:pt idx="44">
                  <c:v>2000</c:v>
                </c:pt>
                <c:pt idx="45">
                  <c:v>2001</c:v>
                </c:pt>
                <c:pt idx="46">
                  <c:v>2002</c:v>
                </c:pt>
                <c:pt idx="47">
                  <c:v>2003</c:v>
                </c:pt>
                <c:pt idx="48">
                  <c:v>2004</c:v>
                </c:pt>
                <c:pt idx="49">
                  <c:v>2005</c:v>
                </c:pt>
                <c:pt idx="50">
                  <c:v>2006</c:v>
                </c:pt>
                <c:pt idx="51">
                  <c:v>2007</c:v>
                </c:pt>
                <c:pt idx="52">
                  <c:v>2008</c:v>
                </c:pt>
                <c:pt idx="53">
                  <c:v>2009</c:v>
                </c:pt>
                <c:pt idx="54">
                  <c:v>2010</c:v>
                </c:pt>
                <c:pt idx="55">
                  <c:v>2011</c:v>
                </c:pt>
                <c:pt idx="56">
                  <c:v>2012</c:v>
                </c:pt>
                <c:pt idx="57">
                  <c:v>2013</c:v>
                </c:pt>
                <c:pt idx="58">
                  <c:v>2014</c:v>
                </c:pt>
                <c:pt idx="59">
                  <c:v>2015</c:v>
                </c:pt>
                <c:pt idx="60">
                  <c:v>2016</c:v>
                </c:pt>
                <c:pt idx="61">
                  <c:v>2017</c:v>
                </c:pt>
                <c:pt idx="62">
                  <c:v>2018</c:v>
                </c:pt>
                <c:pt idx="63">
                  <c:v>2019</c:v>
                </c:pt>
                <c:pt idx="64">
                  <c:v>2020</c:v>
                </c:pt>
                <c:pt idx="65">
                  <c:v>2021</c:v>
                </c:pt>
                <c:pt idx="66">
                  <c:v>2022</c:v>
                </c:pt>
                <c:pt idx="67">
                  <c:v>2023</c:v>
                </c:pt>
                <c:pt idx="68">
                  <c:v>2024</c:v>
                </c:pt>
                <c:pt idx="69">
                  <c:v>2025</c:v>
                </c:pt>
                <c:pt idx="70">
                  <c:v>2026</c:v>
                </c:pt>
                <c:pt idx="71">
                  <c:v>2027</c:v>
                </c:pt>
                <c:pt idx="72">
                  <c:v>2028</c:v>
                </c:pt>
                <c:pt idx="73">
                  <c:v>2029</c:v>
                </c:pt>
                <c:pt idx="74">
                  <c:v>2030</c:v>
                </c:pt>
                <c:pt idx="75">
                  <c:v>2031</c:v>
                </c:pt>
                <c:pt idx="76">
                  <c:v>2032</c:v>
                </c:pt>
                <c:pt idx="77">
                  <c:v>2033</c:v>
                </c:pt>
                <c:pt idx="78">
                  <c:v>2034</c:v>
                </c:pt>
                <c:pt idx="79">
                  <c:v>2035</c:v>
                </c:pt>
                <c:pt idx="80">
                  <c:v>2036</c:v>
                </c:pt>
                <c:pt idx="81">
                  <c:v>2037</c:v>
                </c:pt>
                <c:pt idx="82">
                  <c:v>2038</c:v>
                </c:pt>
                <c:pt idx="83">
                  <c:v>2039</c:v>
                </c:pt>
                <c:pt idx="84">
                  <c:v>2040</c:v>
                </c:pt>
                <c:pt idx="85">
                  <c:v>2041</c:v>
                </c:pt>
                <c:pt idx="86">
                  <c:v>2042</c:v>
                </c:pt>
                <c:pt idx="87">
                  <c:v>2043</c:v>
                </c:pt>
                <c:pt idx="88">
                  <c:v>2044</c:v>
                </c:pt>
                <c:pt idx="89">
                  <c:v>2045</c:v>
                </c:pt>
                <c:pt idx="90">
                  <c:v>2046</c:v>
                </c:pt>
                <c:pt idx="91">
                  <c:v>2047</c:v>
                </c:pt>
                <c:pt idx="92">
                  <c:v>2048</c:v>
                </c:pt>
                <c:pt idx="93">
                  <c:v>2049</c:v>
                </c:pt>
                <c:pt idx="94">
                  <c:v>2050</c:v>
                </c:pt>
              </c:numCache>
            </c:numRef>
          </c:xVal>
          <c:yVal>
            <c:numRef>
              <c:f>EdgeAI_vs_Download!$B$25:$CR$25</c:f>
              <c:numCache>
                <c:formatCode>General</c:formatCode>
                <c:ptCount val="95"/>
                <c:pt idx="67" formatCode="0">
                  <c:v>3338.3123787310656</c:v>
                </c:pt>
                <c:pt idx="68" formatCode="0">
                  <c:v>2675.580010337344</c:v>
                </c:pt>
                <c:pt idx="69" formatCode="0">
                  <c:v>1615.7143886361557</c:v>
                </c:pt>
                <c:pt idx="70" formatCode="0">
                  <c:v>1298.2744817149862</c:v>
                </c:pt>
                <c:pt idx="71" formatCode="0">
                  <c:v>1007.7793777795649</c:v>
                </c:pt>
                <c:pt idx="72" formatCode="0">
                  <c:v>775.69960871124704</c:v>
                </c:pt>
                <c:pt idx="73" formatCode="0">
                  <c:v>607.83708528388365</c:v>
                </c:pt>
                <c:pt idx="74" formatCode="0">
                  <c:v>491.0559234699827</c:v>
                </c:pt>
                <c:pt idx="75" formatCode="0">
                  <c:v>399.85118376668322</c:v>
                </c:pt>
                <c:pt idx="76" formatCode="0">
                  <c:v>324.12580555543792</c:v>
                </c:pt>
                <c:pt idx="77" formatCode="0">
                  <c:v>264.74050235428172</c:v>
                </c:pt>
                <c:pt idx="78" formatCode="0">
                  <c:v>217.92665215106732</c:v>
                </c:pt>
                <c:pt idx="79" formatCode="0">
                  <c:v>180.96070667917456</c:v>
                </c:pt>
                <c:pt idx="80" formatCode="0">
                  <c:v>150.45278887863142</c:v>
                </c:pt>
                <c:pt idx="81" formatCode="0">
                  <c:v>125.94544634567725</c:v>
                </c:pt>
                <c:pt idx="82" formatCode="0">
                  <c:v>105.91257785583417</c:v>
                </c:pt>
                <c:pt idx="83" formatCode="0">
                  <c:v>89.527434636275785</c:v>
                </c:pt>
                <c:pt idx="84" formatCode="0">
                  <c:v>76.061608001983757</c:v>
                </c:pt>
                <c:pt idx="85" formatCode="0">
                  <c:v>64.977099775715132</c:v>
                </c:pt>
                <c:pt idx="86" formatCode="0">
                  <c:v>55.825222355632107</c:v>
                </c:pt>
                <c:pt idx="87" formatCode="0">
                  <c:v>48.250808924096404</c:v>
                </c:pt>
                <c:pt idx="88" formatCode="0">
                  <c:v>41.970477868145714</c:v>
                </c:pt>
                <c:pt idx="89" formatCode="0">
                  <c:v>36.750748240318053</c:v>
                </c:pt>
                <c:pt idx="90" formatCode="0">
                  <c:v>32.40564418446727</c:v>
                </c:pt>
                <c:pt idx="91" formatCode="0">
                  <c:v>28.782602059906147</c:v>
                </c:pt>
                <c:pt idx="92" formatCode="0">
                  <c:v>25.75748367689911</c:v>
                </c:pt>
                <c:pt idx="93" formatCode="0">
                  <c:v>23.228700330296274</c:v>
                </c:pt>
                <c:pt idx="94" formatCode="0">
                  <c:v>21.112131972422219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76F-1C46-84D1-CD65C41C4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154704"/>
        <c:axId val="746285152"/>
      </c:scatterChart>
      <c:valAx>
        <c:axId val="746154704"/>
        <c:scaling>
          <c:orientation val="minMax"/>
          <c:max val="2050"/>
          <c:min val="19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746285152"/>
        <c:crosses val="autoZero"/>
        <c:crossBetween val="midCat"/>
      </c:valAx>
      <c:valAx>
        <c:axId val="7462851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746154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Estimating Aggregated Data Volume Produced by EO Satellites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>
        <c:manualLayout>
          <c:layoutTarget val="inner"/>
          <c:xMode val="edge"/>
          <c:yMode val="edge"/>
          <c:x val="7.3851092577924798E-2"/>
          <c:y val="8.1516483516483523E-2"/>
          <c:w val="0.9082554162978147"/>
          <c:h val="0.7862507683751427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EdgeAI_vs_Download!$A$8</c:f>
              <c:strCache>
                <c:ptCount val="1"/>
                <c:pt idx="0">
                  <c:v>Total Number of Satellites in Orbit (Statista reconstruction)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EdgeAI_vs_Download!$B$7:$CR$7</c:f>
              <c:numCache>
                <c:formatCode>General</c:formatCode>
                <c:ptCount val="95"/>
                <c:pt idx="1">
                  <c:v>1957</c:v>
                </c:pt>
                <c:pt idx="2">
                  <c:v>1958</c:v>
                </c:pt>
                <c:pt idx="3">
                  <c:v>1959</c:v>
                </c:pt>
                <c:pt idx="4">
                  <c:v>1960</c:v>
                </c:pt>
                <c:pt idx="5">
                  <c:v>1961</c:v>
                </c:pt>
                <c:pt idx="6">
                  <c:v>1962</c:v>
                </c:pt>
                <c:pt idx="7">
                  <c:v>1963</c:v>
                </c:pt>
                <c:pt idx="8">
                  <c:v>1964</c:v>
                </c:pt>
                <c:pt idx="9">
                  <c:v>1965</c:v>
                </c:pt>
                <c:pt idx="10">
                  <c:v>1966</c:v>
                </c:pt>
                <c:pt idx="11">
                  <c:v>1967</c:v>
                </c:pt>
                <c:pt idx="12">
                  <c:v>1968</c:v>
                </c:pt>
                <c:pt idx="13">
                  <c:v>1969</c:v>
                </c:pt>
                <c:pt idx="14">
                  <c:v>1970</c:v>
                </c:pt>
                <c:pt idx="15">
                  <c:v>1971</c:v>
                </c:pt>
                <c:pt idx="16">
                  <c:v>1972</c:v>
                </c:pt>
                <c:pt idx="17">
                  <c:v>1973</c:v>
                </c:pt>
                <c:pt idx="18">
                  <c:v>1974</c:v>
                </c:pt>
                <c:pt idx="19">
                  <c:v>1975</c:v>
                </c:pt>
                <c:pt idx="20">
                  <c:v>1976</c:v>
                </c:pt>
                <c:pt idx="21">
                  <c:v>1977</c:v>
                </c:pt>
                <c:pt idx="22">
                  <c:v>1978</c:v>
                </c:pt>
                <c:pt idx="23">
                  <c:v>1979</c:v>
                </c:pt>
                <c:pt idx="24">
                  <c:v>1980</c:v>
                </c:pt>
                <c:pt idx="25">
                  <c:v>1981</c:v>
                </c:pt>
                <c:pt idx="26">
                  <c:v>1982</c:v>
                </c:pt>
                <c:pt idx="27">
                  <c:v>1983</c:v>
                </c:pt>
                <c:pt idx="28">
                  <c:v>1984</c:v>
                </c:pt>
                <c:pt idx="29">
                  <c:v>1985</c:v>
                </c:pt>
                <c:pt idx="30">
                  <c:v>1986</c:v>
                </c:pt>
                <c:pt idx="31">
                  <c:v>1987</c:v>
                </c:pt>
                <c:pt idx="32">
                  <c:v>1988</c:v>
                </c:pt>
                <c:pt idx="33">
                  <c:v>1989</c:v>
                </c:pt>
                <c:pt idx="34">
                  <c:v>1990</c:v>
                </c:pt>
                <c:pt idx="35">
                  <c:v>1991</c:v>
                </c:pt>
                <c:pt idx="36">
                  <c:v>1992</c:v>
                </c:pt>
                <c:pt idx="37">
                  <c:v>1993</c:v>
                </c:pt>
                <c:pt idx="38">
                  <c:v>1994</c:v>
                </c:pt>
                <c:pt idx="39">
                  <c:v>1995</c:v>
                </c:pt>
                <c:pt idx="40">
                  <c:v>1996</c:v>
                </c:pt>
                <c:pt idx="41">
                  <c:v>1997</c:v>
                </c:pt>
                <c:pt idx="42">
                  <c:v>1998</c:v>
                </c:pt>
                <c:pt idx="43">
                  <c:v>1999</c:v>
                </c:pt>
                <c:pt idx="44">
                  <c:v>2000</c:v>
                </c:pt>
                <c:pt idx="45">
                  <c:v>2001</c:v>
                </c:pt>
                <c:pt idx="46">
                  <c:v>2002</c:v>
                </c:pt>
                <c:pt idx="47">
                  <c:v>2003</c:v>
                </c:pt>
                <c:pt idx="48">
                  <c:v>2004</c:v>
                </c:pt>
                <c:pt idx="49">
                  <c:v>2005</c:v>
                </c:pt>
                <c:pt idx="50">
                  <c:v>2006</c:v>
                </c:pt>
                <c:pt idx="51">
                  <c:v>2007</c:v>
                </c:pt>
                <c:pt idx="52">
                  <c:v>2008</c:v>
                </c:pt>
                <c:pt idx="53">
                  <c:v>2009</c:v>
                </c:pt>
                <c:pt idx="54">
                  <c:v>2010</c:v>
                </c:pt>
                <c:pt idx="55">
                  <c:v>2011</c:v>
                </c:pt>
                <c:pt idx="56">
                  <c:v>2012</c:v>
                </c:pt>
                <c:pt idx="57">
                  <c:v>2013</c:v>
                </c:pt>
                <c:pt idx="58">
                  <c:v>2014</c:v>
                </c:pt>
                <c:pt idx="59">
                  <c:v>2015</c:v>
                </c:pt>
                <c:pt idx="60">
                  <c:v>2016</c:v>
                </c:pt>
                <c:pt idx="61">
                  <c:v>2017</c:v>
                </c:pt>
                <c:pt idx="62">
                  <c:v>2018</c:v>
                </c:pt>
                <c:pt idx="63">
                  <c:v>2019</c:v>
                </c:pt>
                <c:pt idx="64">
                  <c:v>2020</c:v>
                </c:pt>
                <c:pt idx="65">
                  <c:v>2021</c:v>
                </c:pt>
                <c:pt idx="66">
                  <c:v>2022</c:v>
                </c:pt>
                <c:pt idx="67">
                  <c:v>2023</c:v>
                </c:pt>
                <c:pt idx="68">
                  <c:v>2024</c:v>
                </c:pt>
                <c:pt idx="69">
                  <c:v>2025</c:v>
                </c:pt>
                <c:pt idx="70">
                  <c:v>2026</c:v>
                </c:pt>
                <c:pt idx="71">
                  <c:v>2027</c:v>
                </c:pt>
                <c:pt idx="72">
                  <c:v>2028</c:v>
                </c:pt>
                <c:pt idx="73">
                  <c:v>2029</c:v>
                </c:pt>
                <c:pt idx="74">
                  <c:v>2030</c:v>
                </c:pt>
                <c:pt idx="75">
                  <c:v>2031</c:v>
                </c:pt>
                <c:pt idx="76">
                  <c:v>2032</c:v>
                </c:pt>
                <c:pt idx="77">
                  <c:v>2033</c:v>
                </c:pt>
                <c:pt idx="78">
                  <c:v>2034</c:v>
                </c:pt>
                <c:pt idx="79">
                  <c:v>2035</c:v>
                </c:pt>
                <c:pt idx="80">
                  <c:v>2036</c:v>
                </c:pt>
                <c:pt idx="81">
                  <c:v>2037</c:v>
                </c:pt>
                <c:pt idx="82">
                  <c:v>2038</c:v>
                </c:pt>
                <c:pt idx="83">
                  <c:v>2039</c:v>
                </c:pt>
                <c:pt idx="84">
                  <c:v>2040</c:v>
                </c:pt>
                <c:pt idx="85">
                  <c:v>2041</c:v>
                </c:pt>
                <c:pt idx="86">
                  <c:v>2042</c:v>
                </c:pt>
                <c:pt idx="87">
                  <c:v>2043</c:v>
                </c:pt>
                <c:pt idx="88">
                  <c:v>2044</c:v>
                </c:pt>
                <c:pt idx="89">
                  <c:v>2045</c:v>
                </c:pt>
                <c:pt idx="90">
                  <c:v>2046</c:v>
                </c:pt>
                <c:pt idx="91">
                  <c:v>2047</c:v>
                </c:pt>
                <c:pt idx="92">
                  <c:v>2048</c:v>
                </c:pt>
                <c:pt idx="93">
                  <c:v>2049</c:v>
                </c:pt>
                <c:pt idx="94">
                  <c:v>2050</c:v>
                </c:pt>
              </c:numCache>
            </c:numRef>
          </c:xVal>
          <c:yVal>
            <c:numRef>
              <c:f>EdgeAI_vs_Download!$B$8:$CR$8</c:f>
              <c:numCache>
                <c:formatCode>General</c:formatCode>
                <c:ptCount val="95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9</c:v>
                </c:pt>
                <c:pt idx="6">
                  <c:v>22</c:v>
                </c:pt>
                <c:pt idx="7">
                  <c:v>26</c:v>
                </c:pt>
                <c:pt idx="8">
                  <c:v>52</c:v>
                </c:pt>
                <c:pt idx="9">
                  <c:v>92</c:v>
                </c:pt>
                <c:pt idx="10">
                  <c:v>104</c:v>
                </c:pt>
                <c:pt idx="11">
                  <c:v>115</c:v>
                </c:pt>
                <c:pt idx="12">
                  <c:v>145</c:v>
                </c:pt>
                <c:pt idx="13">
                  <c:v>159</c:v>
                </c:pt>
                <c:pt idx="14">
                  <c:v>162</c:v>
                </c:pt>
                <c:pt idx="15">
                  <c:v>195</c:v>
                </c:pt>
                <c:pt idx="16">
                  <c:v>187</c:v>
                </c:pt>
                <c:pt idx="17">
                  <c:v>199</c:v>
                </c:pt>
                <c:pt idx="18">
                  <c:v>203</c:v>
                </c:pt>
                <c:pt idx="19">
                  <c:v>232</c:v>
                </c:pt>
                <c:pt idx="20">
                  <c:v>258</c:v>
                </c:pt>
                <c:pt idx="21">
                  <c:v>269</c:v>
                </c:pt>
                <c:pt idx="22">
                  <c:v>307</c:v>
                </c:pt>
                <c:pt idx="23">
                  <c:v>312</c:v>
                </c:pt>
                <c:pt idx="24">
                  <c:v>318</c:v>
                </c:pt>
                <c:pt idx="25">
                  <c:v>335</c:v>
                </c:pt>
                <c:pt idx="26">
                  <c:v>338</c:v>
                </c:pt>
                <c:pt idx="27">
                  <c:v>359</c:v>
                </c:pt>
                <c:pt idx="28">
                  <c:v>372</c:v>
                </c:pt>
                <c:pt idx="29">
                  <c:v>388</c:v>
                </c:pt>
                <c:pt idx="30">
                  <c:v>399</c:v>
                </c:pt>
                <c:pt idx="31">
                  <c:v>414</c:v>
                </c:pt>
                <c:pt idx="32">
                  <c:v>420</c:v>
                </c:pt>
                <c:pt idx="33">
                  <c:v>416</c:v>
                </c:pt>
                <c:pt idx="34">
                  <c:v>464</c:v>
                </c:pt>
                <c:pt idx="35">
                  <c:v>492</c:v>
                </c:pt>
                <c:pt idx="36">
                  <c:v>513</c:v>
                </c:pt>
                <c:pt idx="37">
                  <c:v>513</c:v>
                </c:pt>
                <c:pt idx="38">
                  <c:v>533</c:v>
                </c:pt>
                <c:pt idx="39">
                  <c:v>537</c:v>
                </c:pt>
                <c:pt idx="40">
                  <c:v>541</c:v>
                </c:pt>
                <c:pt idx="41">
                  <c:v>598</c:v>
                </c:pt>
                <c:pt idx="42">
                  <c:v>673</c:v>
                </c:pt>
                <c:pt idx="43">
                  <c:v>726</c:v>
                </c:pt>
                <c:pt idx="44">
                  <c:v>769</c:v>
                </c:pt>
                <c:pt idx="45">
                  <c:v>771</c:v>
                </c:pt>
                <c:pt idx="46">
                  <c:v>806</c:v>
                </c:pt>
                <c:pt idx="47">
                  <c:v>830</c:v>
                </c:pt>
                <c:pt idx="48">
                  <c:v>852</c:v>
                </c:pt>
                <c:pt idx="49">
                  <c:v>854</c:v>
                </c:pt>
                <c:pt idx="50">
                  <c:v>873</c:v>
                </c:pt>
                <c:pt idx="51">
                  <c:v>912</c:v>
                </c:pt>
                <c:pt idx="52">
                  <c:v>948</c:v>
                </c:pt>
                <c:pt idx="53">
                  <c:v>986</c:v>
                </c:pt>
                <c:pt idx="54">
                  <c:v>997</c:v>
                </c:pt>
                <c:pt idx="55">
                  <c:v>1033</c:v>
                </c:pt>
                <c:pt idx="56">
                  <c:v>1091</c:v>
                </c:pt>
                <c:pt idx="57">
                  <c:v>1187</c:v>
                </c:pt>
                <c:pt idx="58">
                  <c:v>1262</c:v>
                </c:pt>
                <c:pt idx="59">
                  <c:v>1364</c:v>
                </c:pt>
                <c:pt idx="60">
                  <c:v>1462</c:v>
                </c:pt>
                <c:pt idx="61">
                  <c:v>1778</c:v>
                </c:pt>
                <c:pt idx="62">
                  <c:v>2027</c:v>
                </c:pt>
                <c:pt idx="63">
                  <c:v>2272</c:v>
                </c:pt>
                <c:pt idx="64">
                  <c:v>3256</c:v>
                </c:pt>
                <c:pt idx="65">
                  <c:v>4800</c:v>
                </c:pt>
                <c:pt idx="66">
                  <c:v>6905</c:v>
                </c:pt>
                <c:pt idx="67" formatCode="0">
                  <c:v>8211.4751290937893</c:v>
                </c:pt>
                <c:pt idx="68" formatCode="0">
                  <c:v>9765.1446481862222</c:v>
                </c:pt>
                <c:pt idx="69" formatCode="0">
                  <c:v>11612.779494653798</c:v>
                </c:pt>
                <c:pt idx="70" formatCode="0">
                  <c:v>13810</c:v>
                </c:pt>
                <c:pt idx="71" formatCode="0">
                  <c:v>16422.950258187579</c:v>
                </c:pt>
                <c:pt idx="72" formatCode="0">
                  <c:v>19530.289296372444</c:v>
                </c:pt>
                <c:pt idx="73" formatCode="0">
                  <c:v>23225.558989307596</c:v>
                </c:pt>
                <c:pt idx="74" formatCode="0">
                  <c:v>27620</c:v>
                </c:pt>
                <c:pt idx="75" formatCode="0">
                  <c:v>32845.900516375157</c:v>
                </c:pt>
                <c:pt idx="76" formatCode="0">
                  <c:v>39060.578592744889</c:v>
                </c:pt>
                <c:pt idx="77" formatCode="0">
                  <c:v>46451.117978615192</c:v>
                </c:pt>
                <c:pt idx="78" formatCode="0">
                  <c:v>55240</c:v>
                </c:pt>
                <c:pt idx="79" formatCode="0">
                  <c:v>65691.801032750314</c:v>
                </c:pt>
                <c:pt idx="80" formatCode="0">
                  <c:v>78121.157185489777</c:v>
                </c:pt>
                <c:pt idx="81" formatCode="0">
                  <c:v>92902.235957230383</c:v>
                </c:pt>
                <c:pt idx="82" formatCode="0">
                  <c:v>110480</c:v>
                </c:pt>
                <c:pt idx="83" formatCode="0">
                  <c:v>131383.60206550063</c:v>
                </c:pt>
                <c:pt idx="84" formatCode="0">
                  <c:v>156242.31437097955</c:v>
                </c:pt>
                <c:pt idx="85" formatCode="0">
                  <c:v>185804.47191446077</c:v>
                </c:pt>
                <c:pt idx="86" formatCode="0">
                  <c:v>220960</c:v>
                </c:pt>
                <c:pt idx="87" formatCode="0">
                  <c:v>262767.20413100126</c:v>
                </c:pt>
                <c:pt idx="88" formatCode="0">
                  <c:v>312484.62874195911</c:v>
                </c:pt>
                <c:pt idx="89" formatCode="0">
                  <c:v>371608.94382892153</c:v>
                </c:pt>
                <c:pt idx="90" formatCode="0">
                  <c:v>441920</c:v>
                </c:pt>
                <c:pt idx="91" formatCode="0">
                  <c:v>525534.40826200251</c:v>
                </c:pt>
                <c:pt idx="92" formatCode="0">
                  <c:v>624969.25748391822</c:v>
                </c:pt>
                <c:pt idx="93" formatCode="0">
                  <c:v>743217.88765784306</c:v>
                </c:pt>
                <c:pt idx="94" formatCode="0">
                  <c:v>883840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53-1240-AE87-EBB68EF489B7}"/>
            </c:ext>
          </c:extLst>
        </c:ser>
        <c:ser>
          <c:idx val="1"/>
          <c:order val="1"/>
          <c:tx>
            <c:strRef>
              <c:f>EdgeAI_vs_Download!$A$11</c:f>
              <c:strCache>
                <c:ptCount val="1"/>
                <c:pt idx="0">
                  <c:v>Data produced per EO Satellite [GB/s]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EdgeAI_vs_Download!$B$7:$CR$7</c:f>
              <c:numCache>
                <c:formatCode>General</c:formatCode>
                <c:ptCount val="95"/>
                <c:pt idx="1">
                  <c:v>1957</c:v>
                </c:pt>
                <c:pt idx="2">
                  <c:v>1958</c:v>
                </c:pt>
                <c:pt idx="3">
                  <c:v>1959</c:v>
                </c:pt>
                <c:pt idx="4">
                  <c:v>1960</c:v>
                </c:pt>
                <c:pt idx="5">
                  <c:v>1961</c:v>
                </c:pt>
                <c:pt idx="6">
                  <c:v>1962</c:v>
                </c:pt>
                <c:pt idx="7">
                  <c:v>1963</c:v>
                </c:pt>
                <c:pt idx="8">
                  <c:v>1964</c:v>
                </c:pt>
                <c:pt idx="9">
                  <c:v>1965</c:v>
                </c:pt>
                <c:pt idx="10">
                  <c:v>1966</c:v>
                </c:pt>
                <c:pt idx="11">
                  <c:v>1967</c:v>
                </c:pt>
                <c:pt idx="12">
                  <c:v>1968</c:v>
                </c:pt>
                <c:pt idx="13">
                  <c:v>1969</c:v>
                </c:pt>
                <c:pt idx="14">
                  <c:v>1970</c:v>
                </c:pt>
                <c:pt idx="15">
                  <c:v>1971</c:v>
                </c:pt>
                <c:pt idx="16">
                  <c:v>1972</c:v>
                </c:pt>
                <c:pt idx="17">
                  <c:v>1973</c:v>
                </c:pt>
                <c:pt idx="18">
                  <c:v>1974</c:v>
                </c:pt>
                <c:pt idx="19">
                  <c:v>1975</c:v>
                </c:pt>
                <c:pt idx="20">
                  <c:v>1976</c:v>
                </c:pt>
                <c:pt idx="21">
                  <c:v>1977</c:v>
                </c:pt>
                <c:pt idx="22">
                  <c:v>1978</c:v>
                </c:pt>
                <c:pt idx="23">
                  <c:v>1979</c:v>
                </c:pt>
                <c:pt idx="24">
                  <c:v>1980</c:v>
                </c:pt>
                <c:pt idx="25">
                  <c:v>1981</c:v>
                </c:pt>
                <c:pt idx="26">
                  <c:v>1982</c:v>
                </c:pt>
                <c:pt idx="27">
                  <c:v>1983</c:v>
                </c:pt>
                <c:pt idx="28">
                  <c:v>1984</c:v>
                </c:pt>
                <c:pt idx="29">
                  <c:v>1985</c:v>
                </c:pt>
                <c:pt idx="30">
                  <c:v>1986</c:v>
                </c:pt>
                <c:pt idx="31">
                  <c:v>1987</c:v>
                </c:pt>
                <c:pt idx="32">
                  <c:v>1988</c:v>
                </c:pt>
                <c:pt idx="33">
                  <c:v>1989</c:v>
                </c:pt>
                <c:pt idx="34">
                  <c:v>1990</c:v>
                </c:pt>
                <c:pt idx="35">
                  <c:v>1991</c:v>
                </c:pt>
                <c:pt idx="36">
                  <c:v>1992</c:v>
                </c:pt>
                <c:pt idx="37">
                  <c:v>1993</c:v>
                </c:pt>
                <c:pt idx="38">
                  <c:v>1994</c:v>
                </c:pt>
                <c:pt idx="39">
                  <c:v>1995</c:v>
                </c:pt>
                <c:pt idx="40">
                  <c:v>1996</c:v>
                </c:pt>
                <c:pt idx="41">
                  <c:v>1997</c:v>
                </c:pt>
                <c:pt idx="42">
                  <c:v>1998</c:v>
                </c:pt>
                <c:pt idx="43">
                  <c:v>1999</c:v>
                </c:pt>
                <c:pt idx="44">
                  <c:v>2000</c:v>
                </c:pt>
                <c:pt idx="45">
                  <c:v>2001</c:v>
                </c:pt>
                <c:pt idx="46">
                  <c:v>2002</c:v>
                </c:pt>
                <c:pt idx="47">
                  <c:v>2003</c:v>
                </c:pt>
                <c:pt idx="48">
                  <c:v>2004</c:v>
                </c:pt>
                <c:pt idx="49">
                  <c:v>2005</c:v>
                </c:pt>
                <c:pt idx="50">
                  <c:v>2006</c:v>
                </c:pt>
                <c:pt idx="51">
                  <c:v>2007</c:v>
                </c:pt>
                <c:pt idx="52">
                  <c:v>2008</c:v>
                </c:pt>
                <c:pt idx="53">
                  <c:v>2009</c:v>
                </c:pt>
                <c:pt idx="54">
                  <c:v>2010</c:v>
                </c:pt>
                <c:pt idx="55">
                  <c:v>2011</c:v>
                </c:pt>
                <c:pt idx="56">
                  <c:v>2012</c:v>
                </c:pt>
                <c:pt idx="57">
                  <c:v>2013</c:v>
                </c:pt>
                <c:pt idx="58">
                  <c:v>2014</c:v>
                </c:pt>
                <c:pt idx="59">
                  <c:v>2015</c:v>
                </c:pt>
                <c:pt idx="60">
                  <c:v>2016</c:v>
                </c:pt>
                <c:pt idx="61">
                  <c:v>2017</c:v>
                </c:pt>
                <c:pt idx="62">
                  <c:v>2018</c:v>
                </c:pt>
                <c:pt idx="63">
                  <c:v>2019</c:v>
                </c:pt>
                <c:pt idx="64">
                  <c:v>2020</c:v>
                </c:pt>
                <c:pt idx="65">
                  <c:v>2021</c:v>
                </c:pt>
                <c:pt idx="66">
                  <c:v>2022</c:v>
                </c:pt>
                <c:pt idx="67">
                  <c:v>2023</c:v>
                </c:pt>
                <c:pt idx="68">
                  <c:v>2024</c:v>
                </c:pt>
                <c:pt idx="69">
                  <c:v>2025</c:v>
                </c:pt>
                <c:pt idx="70">
                  <c:v>2026</c:v>
                </c:pt>
                <c:pt idx="71">
                  <c:v>2027</c:v>
                </c:pt>
                <c:pt idx="72">
                  <c:v>2028</c:v>
                </c:pt>
                <c:pt idx="73">
                  <c:v>2029</c:v>
                </c:pt>
                <c:pt idx="74">
                  <c:v>2030</c:v>
                </c:pt>
                <c:pt idx="75">
                  <c:v>2031</c:v>
                </c:pt>
                <c:pt idx="76">
                  <c:v>2032</c:v>
                </c:pt>
                <c:pt idx="77">
                  <c:v>2033</c:v>
                </c:pt>
                <c:pt idx="78">
                  <c:v>2034</c:v>
                </c:pt>
                <c:pt idx="79">
                  <c:v>2035</c:v>
                </c:pt>
                <c:pt idx="80">
                  <c:v>2036</c:v>
                </c:pt>
                <c:pt idx="81">
                  <c:v>2037</c:v>
                </c:pt>
                <c:pt idx="82">
                  <c:v>2038</c:v>
                </c:pt>
                <c:pt idx="83">
                  <c:v>2039</c:v>
                </c:pt>
                <c:pt idx="84">
                  <c:v>2040</c:v>
                </c:pt>
                <c:pt idx="85">
                  <c:v>2041</c:v>
                </c:pt>
                <c:pt idx="86">
                  <c:v>2042</c:v>
                </c:pt>
                <c:pt idx="87">
                  <c:v>2043</c:v>
                </c:pt>
                <c:pt idx="88">
                  <c:v>2044</c:v>
                </c:pt>
                <c:pt idx="89">
                  <c:v>2045</c:v>
                </c:pt>
                <c:pt idx="90">
                  <c:v>2046</c:v>
                </c:pt>
                <c:pt idx="91">
                  <c:v>2047</c:v>
                </c:pt>
                <c:pt idx="92">
                  <c:v>2048</c:v>
                </c:pt>
                <c:pt idx="93">
                  <c:v>2049</c:v>
                </c:pt>
                <c:pt idx="94">
                  <c:v>2050</c:v>
                </c:pt>
              </c:numCache>
            </c:numRef>
          </c:xVal>
          <c:yVal>
            <c:numRef>
              <c:f>EdgeAI_vs_Download!$B$11:$CR$11</c:f>
              <c:numCache>
                <c:formatCode>General</c:formatCode>
                <c:ptCount val="95"/>
                <c:pt idx="1">
                  <c:v>4.0000000000000001E-8</c:v>
                </c:pt>
                <c:pt idx="2">
                  <c:v>5.0799967929365705E-8</c:v>
                </c:pt>
                <c:pt idx="3">
                  <c:v>6.4515918540614597E-8</c:v>
                </c:pt>
                <c:pt idx="4">
                  <c:v>8.1935164819919791E-8</c:v>
                </c:pt>
                <c:pt idx="5">
                  <c:v>1.0405759362848046E-7</c:v>
                </c:pt>
                <c:pt idx="6">
                  <c:v>1.321530604783444E-7</c:v>
                </c:pt>
                <c:pt idx="7">
                  <c:v>1.6783428085168554E-7</c:v>
                </c:pt>
                <c:pt idx="8">
                  <c:v>2.1314940211784454E-7</c:v>
                </c:pt>
                <c:pt idx="9">
                  <c:v>2.7069956979374942E-7</c:v>
                </c:pt>
                <c:pt idx="10">
                  <c:v>3.4378823660038907E-7</c:v>
                </c:pt>
                <c:pt idx="11">
                  <c:v>4.3661078484482381E-7</c:v>
                </c:pt>
                <c:pt idx="12">
                  <c:v>5.54495346693306E-7</c:v>
                </c:pt>
                <c:pt idx="13">
                  <c:v>7.0420864572506156E-7</c:v>
                </c:pt>
                <c:pt idx="14">
                  <c:v>8.9434441546037948E-7</c:v>
                </c:pt>
                <c:pt idx="15">
                  <c:v>1.1358166905798648E-6</c:v>
                </c:pt>
                <c:pt idx="16">
                  <c:v>1.4424862863773853E-6</c:v>
                </c:pt>
                <c:pt idx="17">
                  <c:v>1.8319564271630251E-6</c:v>
                </c:pt>
                <c:pt idx="18">
                  <c:v>2.3265831936969262E-6</c:v>
                </c:pt>
                <c:pt idx="19">
                  <c:v>2.9547587906201271E-6</c:v>
                </c:pt>
                <c:pt idx="20">
                  <c:v>3.7525412950628461E-6</c:v>
                </c:pt>
                <c:pt idx="21">
                  <c:v>4.765724436070325E-6</c:v>
                </c:pt>
                <c:pt idx="22">
                  <c:v>6.0524662128141739E-6</c:v>
                </c:pt>
                <c:pt idx="23">
                  <c:v>7.6866272376132373E-6</c:v>
                </c:pt>
                <c:pt idx="24">
                  <c:v>9.7620104288935334E-6</c:v>
                </c:pt>
                <c:pt idx="25">
                  <c:v>1.2397745417848125E-5</c:v>
                </c:pt>
                <c:pt idx="26">
                  <c:v>1.5745126740578135E-5</c:v>
                </c:pt>
                <c:pt idx="27">
                  <c:v>1.9996298336629191E-5</c:v>
                </c:pt>
                <c:pt idx="28">
                  <c:v>2.5395282855169791E-5</c:v>
                </c:pt>
                <c:pt idx="29">
                  <c:v>3.22519888649949E-5</c:v>
                </c:pt>
                <c:pt idx="30">
                  <c:v>4.0960000000000014E-5</c:v>
                </c:pt>
                <c:pt idx="31">
                  <c:v>5.2019167159670496E-5</c:v>
                </c:pt>
                <c:pt idx="32">
                  <c:v>6.6064300585589361E-5</c:v>
                </c:pt>
                <c:pt idx="33">
                  <c:v>8.390160877559788E-5</c:v>
                </c:pt>
                <c:pt idx="34">
                  <c:v>1.06554975875564E-4</c:v>
                </c:pt>
                <c:pt idx="35">
                  <c:v>1.3532473392982469E-4</c:v>
                </c:pt>
                <c:pt idx="36">
                  <c:v>1.7186230359212602E-4</c:v>
                </c:pt>
                <c:pt idx="37">
                  <c:v>2.1826498776867284E-4</c:v>
                </c:pt>
                <c:pt idx="38">
                  <c:v>2.7719635946879946E-4</c:v>
                </c:pt>
                <c:pt idx="39">
                  <c:v>3.5203915427879846E-4</c:v>
                </c:pt>
                <c:pt idx="40">
                  <c:v>4.4708944368109963E-4</c:v>
                </c:pt>
                <c:pt idx="41">
                  <c:v>5.6780323501394534E-4</c:v>
                </c:pt>
                <c:pt idx="42">
                  <c:v>7.2110965322246304E-4</c:v>
                </c:pt>
                <c:pt idx="43">
                  <c:v>9.1580868143142859E-4</c:v>
                </c:pt>
                <c:pt idx="44">
                  <c:v>1.1630762911537815E-3</c:v>
                </c:pt>
                <c:pt idx="45">
                  <c:v>1.4771059572504426E-3</c:v>
                </c:pt>
                <c:pt idx="46">
                  <c:v>1.8759233814149377E-3</c:v>
                </c:pt>
                <c:pt idx="47">
                  <c:v>2.3824211903456525E-3</c:v>
                </c:pt>
                <c:pt idx="48">
                  <c:v>3.0256730015950101E-3</c:v>
                </c:pt>
                <c:pt idx="49">
                  <c:v>3.8426022861443544E-3</c:v>
                </c:pt>
                <c:pt idx="50">
                  <c:v>4.8801018225360128E-3</c:v>
                </c:pt>
                <c:pt idx="51">
                  <c:v>6.1977254019217141E-3</c:v>
                </c:pt>
                <c:pt idx="52">
                  <c:v>7.871106291315955E-3</c:v>
                </c:pt>
                <c:pt idx="53">
                  <c:v>9.9962986791869782E-3</c:v>
                </c:pt>
                <c:pt idx="54">
                  <c:v>1.269529130787648E-2</c:v>
                </c:pt>
                <c:pt idx="55">
                  <c:v>1.612300978235201E-2</c:v>
                </c:pt>
                <c:pt idx="56">
                  <c:v>2.0476209496708291E-2</c:v>
                </c:pt>
                <c:pt idx="57" formatCode="0.00">
                  <c:v>2.6004769643693866E-2</c:v>
                </c:pt>
                <c:pt idx="58" formatCode="0.00">
                  <c:v>3.3026036597754778E-2</c:v>
                </c:pt>
                <c:pt idx="59" formatCode="0.00">
                  <c:v>4.1943040000000015E-2</c:v>
                </c:pt>
                <c:pt idx="60" formatCode="0.00">
                  <c:v>5.3267627171502588E-2</c:v>
                </c:pt>
                <c:pt idx="61" formatCode="0.00">
                  <c:v>6.7649843799643505E-2</c:v>
                </c:pt>
                <c:pt idx="62" formatCode="0.00">
                  <c:v>8.5915247386212229E-2</c:v>
                </c:pt>
                <c:pt idx="63" formatCode="0.00">
                  <c:v>0.10911229529657754</c:v>
                </c:pt>
                <c:pt idx="64" formatCode="0.00">
                  <c:v>0.13857252754414048</c:v>
                </c:pt>
                <c:pt idx="65" formatCode="0.00">
                  <c:v>0.17598699887833705</c:v>
                </c:pt>
                <c:pt idx="66" formatCode="0.00">
                  <c:v>0.22350334747512099</c:v>
                </c:pt>
                <c:pt idx="67" formatCode="0.00">
                  <c:v>0.28384907209605065</c:v>
                </c:pt>
                <c:pt idx="68" formatCode="0.00">
                  <c:v>0.36048809398148962</c:v>
                </c:pt>
                <c:pt idx="69" formatCode="0.00">
                  <c:v>0.45781959032944602</c:v>
                </c:pt>
                <c:pt idx="70" formatCode="0.00">
                  <c:v>0.58143051265428003</c:v>
                </c:pt>
                <c:pt idx="71" formatCode="0.0">
                  <c:v>0.73841628489980216</c:v>
                </c:pt>
                <c:pt idx="72" formatCode="0.0">
                  <c:v>0.93778808978578287</c:v>
                </c:pt>
                <c:pt idx="73" formatCode="0.0">
                  <c:v>1.1909901221414723</c:v>
                </c:pt>
                <c:pt idx="74" formatCode="0.0">
                  <c:v>1.5125565002244532</c:v>
                </c:pt>
                <c:pt idx="75" formatCode="0.0">
                  <c:v>1.9209455425688962</c:v>
                </c:pt>
                <c:pt idx="76" formatCode="0.0">
                  <c:v>2.4395992989139481</c:v>
                </c:pt>
                <c:pt idx="77" formatCode="0.0">
                  <c:v>3.0982891536332904</c:v>
                </c:pt>
                <c:pt idx="78" formatCode="0.0">
                  <c:v>3.9348247410118189</c:v>
                </c:pt>
                <c:pt idx="79" formatCode="0.0">
                  <c:v>4.9972242662768771</c:v>
                </c:pt>
                <c:pt idx="80" formatCode="0.0">
                  <c:v>6.3464708115678352</c:v>
                </c:pt>
                <c:pt idx="81" formatCode="0.0">
                  <c:v>8.0600128423075379</c:v>
                </c:pt>
                <c:pt idx="82" formatCode="0.0">
                  <c:v>10.236209847487466</c:v>
                </c:pt>
                <c:pt idx="83" formatCode="0">
                  <c:v>12.999978299265516</c:v>
                </c:pt>
                <c:pt idx="84" formatCode="0">
                  <c:v>16.509962017128458</c:v>
                </c:pt>
                <c:pt idx="85" formatCode="0">
                  <c:v>20.96763852462929</c:v>
                </c:pt>
                <c:pt idx="86" formatCode="0">
                  <c:v>26.628884115142519</c:v>
                </c:pt>
                <c:pt idx="87" formatCode="0">
                  <c:v>33.818661476100893</c:v>
                </c:pt>
                <c:pt idx="88" formatCode="0">
                  <c:v>42.949672960000015</c:v>
                </c:pt>
                <c:pt idx="89" formatCode="0">
                  <c:v>54.54605022361865</c:v>
                </c:pt>
                <c:pt idx="90" formatCode="0">
                  <c:v>69.273440050834949</c:v>
                </c:pt>
                <c:pt idx="91" formatCode="0">
                  <c:v>87.977213323481323</c:v>
                </c:pt>
                <c:pt idx="92" formatCode="0">
                  <c:v>111.7309903836954</c:v>
                </c:pt>
                <c:pt idx="93" formatCode="0">
                  <c:v>141.89826820519986</c:v>
                </c:pt>
                <c:pt idx="94" formatCode="0">
                  <c:v>180.21068685141714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53-1240-AE87-EBB68EF489B7}"/>
            </c:ext>
          </c:extLst>
        </c:ser>
        <c:ser>
          <c:idx val="2"/>
          <c:order val="2"/>
          <c:tx>
            <c:strRef>
              <c:f>EdgeAI_vs_Download!$A$13</c:f>
              <c:strCache>
                <c:ptCount val="1"/>
                <c:pt idx="0">
                  <c:v>Aggregated Data-Generation all Satellites [GB/s]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EdgeAI_vs_Download!$B$7:$CR$7</c:f>
              <c:numCache>
                <c:formatCode>General</c:formatCode>
                <c:ptCount val="95"/>
                <c:pt idx="1">
                  <c:v>1957</c:v>
                </c:pt>
                <c:pt idx="2">
                  <c:v>1958</c:v>
                </c:pt>
                <c:pt idx="3">
                  <c:v>1959</c:v>
                </c:pt>
                <c:pt idx="4">
                  <c:v>1960</c:v>
                </c:pt>
                <c:pt idx="5">
                  <c:v>1961</c:v>
                </c:pt>
                <c:pt idx="6">
                  <c:v>1962</c:v>
                </c:pt>
                <c:pt idx="7">
                  <c:v>1963</c:v>
                </c:pt>
                <c:pt idx="8">
                  <c:v>1964</c:v>
                </c:pt>
                <c:pt idx="9">
                  <c:v>1965</c:v>
                </c:pt>
                <c:pt idx="10">
                  <c:v>1966</c:v>
                </c:pt>
                <c:pt idx="11">
                  <c:v>1967</c:v>
                </c:pt>
                <c:pt idx="12">
                  <c:v>1968</c:v>
                </c:pt>
                <c:pt idx="13">
                  <c:v>1969</c:v>
                </c:pt>
                <c:pt idx="14">
                  <c:v>1970</c:v>
                </c:pt>
                <c:pt idx="15">
                  <c:v>1971</c:v>
                </c:pt>
                <c:pt idx="16">
                  <c:v>1972</c:v>
                </c:pt>
                <c:pt idx="17">
                  <c:v>1973</c:v>
                </c:pt>
                <c:pt idx="18">
                  <c:v>1974</c:v>
                </c:pt>
                <c:pt idx="19">
                  <c:v>1975</c:v>
                </c:pt>
                <c:pt idx="20">
                  <c:v>1976</c:v>
                </c:pt>
                <c:pt idx="21">
                  <c:v>1977</c:v>
                </c:pt>
                <c:pt idx="22">
                  <c:v>1978</c:v>
                </c:pt>
                <c:pt idx="23">
                  <c:v>1979</c:v>
                </c:pt>
                <c:pt idx="24">
                  <c:v>1980</c:v>
                </c:pt>
                <c:pt idx="25">
                  <c:v>1981</c:v>
                </c:pt>
                <c:pt idx="26">
                  <c:v>1982</c:v>
                </c:pt>
                <c:pt idx="27">
                  <c:v>1983</c:v>
                </c:pt>
                <c:pt idx="28">
                  <c:v>1984</c:v>
                </c:pt>
                <c:pt idx="29">
                  <c:v>1985</c:v>
                </c:pt>
                <c:pt idx="30">
                  <c:v>1986</c:v>
                </c:pt>
                <c:pt idx="31">
                  <c:v>1987</c:v>
                </c:pt>
                <c:pt idx="32">
                  <c:v>1988</c:v>
                </c:pt>
                <c:pt idx="33">
                  <c:v>1989</c:v>
                </c:pt>
                <c:pt idx="34">
                  <c:v>1990</c:v>
                </c:pt>
                <c:pt idx="35">
                  <c:v>1991</c:v>
                </c:pt>
                <c:pt idx="36">
                  <c:v>1992</c:v>
                </c:pt>
                <c:pt idx="37">
                  <c:v>1993</c:v>
                </c:pt>
                <c:pt idx="38">
                  <c:v>1994</c:v>
                </c:pt>
                <c:pt idx="39">
                  <c:v>1995</c:v>
                </c:pt>
                <c:pt idx="40">
                  <c:v>1996</c:v>
                </c:pt>
                <c:pt idx="41">
                  <c:v>1997</c:v>
                </c:pt>
                <c:pt idx="42">
                  <c:v>1998</c:v>
                </c:pt>
                <c:pt idx="43">
                  <c:v>1999</c:v>
                </c:pt>
                <c:pt idx="44">
                  <c:v>2000</c:v>
                </c:pt>
                <c:pt idx="45">
                  <c:v>2001</c:v>
                </c:pt>
                <c:pt idx="46">
                  <c:v>2002</c:v>
                </c:pt>
                <c:pt idx="47">
                  <c:v>2003</c:v>
                </c:pt>
                <c:pt idx="48">
                  <c:v>2004</c:v>
                </c:pt>
                <c:pt idx="49">
                  <c:v>2005</c:v>
                </c:pt>
                <c:pt idx="50">
                  <c:v>2006</c:v>
                </c:pt>
                <c:pt idx="51">
                  <c:v>2007</c:v>
                </c:pt>
                <c:pt idx="52">
                  <c:v>2008</c:v>
                </c:pt>
                <c:pt idx="53">
                  <c:v>2009</c:v>
                </c:pt>
                <c:pt idx="54">
                  <c:v>2010</c:v>
                </c:pt>
                <c:pt idx="55">
                  <c:v>2011</c:v>
                </c:pt>
                <c:pt idx="56">
                  <c:v>2012</c:v>
                </c:pt>
                <c:pt idx="57">
                  <c:v>2013</c:v>
                </c:pt>
                <c:pt idx="58">
                  <c:v>2014</c:v>
                </c:pt>
                <c:pt idx="59">
                  <c:v>2015</c:v>
                </c:pt>
                <c:pt idx="60">
                  <c:v>2016</c:v>
                </c:pt>
                <c:pt idx="61">
                  <c:v>2017</c:v>
                </c:pt>
                <c:pt idx="62">
                  <c:v>2018</c:v>
                </c:pt>
                <c:pt idx="63">
                  <c:v>2019</c:v>
                </c:pt>
                <c:pt idx="64">
                  <c:v>2020</c:v>
                </c:pt>
                <c:pt idx="65">
                  <c:v>2021</c:v>
                </c:pt>
                <c:pt idx="66">
                  <c:v>2022</c:v>
                </c:pt>
                <c:pt idx="67">
                  <c:v>2023</c:v>
                </c:pt>
                <c:pt idx="68">
                  <c:v>2024</c:v>
                </c:pt>
                <c:pt idx="69">
                  <c:v>2025</c:v>
                </c:pt>
                <c:pt idx="70">
                  <c:v>2026</c:v>
                </c:pt>
                <c:pt idx="71">
                  <c:v>2027</c:v>
                </c:pt>
                <c:pt idx="72">
                  <c:v>2028</c:v>
                </c:pt>
                <c:pt idx="73">
                  <c:v>2029</c:v>
                </c:pt>
                <c:pt idx="74">
                  <c:v>2030</c:v>
                </c:pt>
                <c:pt idx="75">
                  <c:v>2031</c:v>
                </c:pt>
                <c:pt idx="76">
                  <c:v>2032</c:v>
                </c:pt>
                <c:pt idx="77">
                  <c:v>2033</c:v>
                </c:pt>
                <c:pt idx="78">
                  <c:v>2034</c:v>
                </c:pt>
                <c:pt idx="79">
                  <c:v>2035</c:v>
                </c:pt>
                <c:pt idx="80">
                  <c:v>2036</c:v>
                </c:pt>
                <c:pt idx="81">
                  <c:v>2037</c:v>
                </c:pt>
                <c:pt idx="82">
                  <c:v>2038</c:v>
                </c:pt>
                <c:pt idx="83">
                  <c:v>2039</c:v>
                </c:pt>
                <c:pt idx="84">
                  <c:v>2040</c:v>
                </c:pt>
                <c:pt idx="85">
                  <c:v>2041</c:v>
                </c:pt>
                <c:pt idx="86">
                  <c:v>2042</c:v>
                </c:pt>
                <c:pt idx="87">
                  <c:v>2043</c:v>
                </c:pt>
                <c:pt idx="88">
                  <c:v>2044</c:v>
                </c:pt>
                <c:pt idx="89">
                  <c:v>2045</c:v>
                </c:pt>
                <c:pt idx="90">
                  <c:v>2046</c:v>
                </c:pt>
                <c:pt idx="91">
                  <c:v>2047</c:v>
                </c:pt>
                <c:pt idx="92">
                  <c:v>2048</c:v>
                </c:pt>
                <c:pt idx="93">
                  <c:v>2049</c:v>
                </c:pt>
                <c:pt idx="94">
                  <c:v>2050</c:v>
                </c:pt>
              </c:numCache>
            </c:numRef>
          </c:xVal>
          <c:yVal>
            <c:numRef>
              <c:f>EdgeAI_vs_Download!$B$13:$CR$13</c:f>
              <c:numCache>
                <c:formatCode>General</c:formatCode>
                <c:ptCount val="95"/>
                <c:pt idx="1">
                  <c:v>8.0000000000000005E-9</c:v>
                </c:pt>
                <c:pt idx="2">
                  <c:v>2.0319987171746285E-8</c:v>
                </c:pt>
                <c:pt idx="3">
                  <c:v>2.5806367416245841E-8</c:v>
                </c:pt>
                <c:pt idx="4">
                  <c:v>9.8322197783903765E-8</c:v>
                </c:pt>
                <c:pt idx="5">
                  <c:v>1.8730366853126484E-7</c:v>
                </c:pt>
                <c:pt idx="6">
                  <c:v>5.8147346610471535E-7</c:v>
                </c:pt>
                <c:pt idx="7">
                  <c:v>8.727382604287648E-7</c:v>
                </c:pt>
                <c:pt idx="8">
                  <c:v>2.2167537820255833E-6</c:v>
                </c:pt>
                <c:pt idx="9">
                  <c:v>4.9808720842049896E-6</c:v>
                </c:pt>
                <c:pt idx="10">
                  <c:v>7.1507953212880925E-6</c:v>
                </c:pt>
                <c:pt idx="11">
                  <c:v>1.0042048051430947E-5</c:v>
                </c:pt>
                <c:pt idx="12">
                  <c:v>1.6080365054105873E-5</c:v>
                </c:pt>
                <c:pt idx="13">
                  <c:v>2.2393834934056958E-5</c:v>
                </c:pt>
                <c:pt idx="14">
                  <c:v>2.8976759060916297E-5</c:v>
                </c:pt>
                <c:pt idx="15">
                  <c:v>4.4296850932614726E-5</c:v>
                </c:pt>
                <c:pt idx="16">
                  <c:v>5.3948987110514211E-5</c:v>
                </c:pt>
                <c:pt idx="17">
                  <c:v>7.291186580108841E-5</c:v>
                </c:pt>
                <c:pt idx="18">
                  <c:v>9.4459277664095205E-5</c:v>
                </c:pt>
                <c:pt idx="19">
                  <c:v>1.3710080788477392E-4</c:v>
                </c:pt>
                <c:pt idx="20">
                  <c:v>1.9363113082524288E-4</c:v>
                </c:pt>
                <c:pt idx="21">
                  <c:v>2.563959746605835E-4</c:v>
                </c:pt>
                <c:pt idx="22">
                  <c:v>3.7162142546679031E-4</c:v>
                </c:pt>
                <c:pt idx="23">
                  <c:v>4.7964553962706602E-4</c:v>
                </c:pt>
                <c:pt idx="24">
                  <c:v>6.2086386327762878E-4</c:v>
                </c:pt>
                <c:pt idx="25">
                  <c:v>8.3064894299582446E-4</c:v>
                </c:pt>
                <c:pt idx="26">
                  <c:v>1.0643705676630819E-3</c:v>
                </c:pt>
                <c:pt idx="27">
                  <c:v>1.4357342205699761E-3</c:v>
                </c:pt>
                <c:pt idx="28">
                  <c:v>1.8894090444246327E-3</c:v>
                </c:pt>
                <c:pt idx="29">
                  <c:v>2.5027543359236043E-3</c:v>
                </c:pt>
                <c:pt idx="30">
                  <c:v>3.2686080000000014E-3</c:v>
                </c:pt>
                <c:pt idx="31">
                  <c:v>4.3071870408207171E-3</c:v>
                </c:pt>
                <c:pt idx="32">
                  <c:v>5.5494012491895065E-3</c:v>
                </c:pt>
                <c:pt idx="33">
                  <c:v>6.9806138501297445E-3</c:v>
                </c:pt>
                <c:pt idx="34">
                  <c:v>9.8883017612523411E-3</c:v>
                </c:pt>
                <c:pt idx="35">
                  <c:v>1.3315953818694751E-2</c:v>
                </c:pt>
                <c:pt idx="36">
                  <c:v>1.7633072348552131E-2</c:v>
                </c:pt>
                <c:pt idx="37">
                  <c:v>2.2393987745065833E-2</c:v>
                </c:pt>
                <c:pt idx="38">
                  <c:v>2.9549131919374024E-2</c:v>
                </c:pt>
                <c:pt idx="39">
                  <c:v>3.7809005169542956E-2</c:v>
                </c:pt>
                <c:pt idx="40">
                  <c:v>4.8375077806294985E-2</c:v>
                </c:pt>
                <c:pt idx="41">
                  <c:v>6.7909266907667867E-2</c:v>
                </c:pt>
                <c:pt idx="42">
                  <c:v>9.7061359323743532E-2</c:v>
                </c:pt>
                <c:pt idx="43">
                  <c:v>0.13297542054384345</c:v>
                </c:pt>
                <c:pt idx="44">
                  <c:v>0.1788811335794516</c:v>
                </c:pt>
                <c:pt idx="45">
                  <c:v>0.22776973860801825</c:v>
                </c:pt>
                <c:pt idx="46">
                  <c:v>0.30239884908408798</c:v>
                </c:pt>
                <c:pt idx="47">
                  <c:v>0.39548191759737833</c:v>
                </c:pt>
                <c:pt idx="48">
                  <c:v>0.51557467947178981</c:v>
                </c:pt>
                <c:pt idx="49">
                  <c:v>0.65631647047345576</c:v>
                </c:pt>
                <c:pt idx="50">
                  <c:v>0.85206577821478791</c:v>
                </c:pt>
                <c:pt idx="51">
                  <c:v>1.1304651133105208</c:v>
                </c:pt>
                <c:pt idx="52">
                  <c:v>1.4923617528335051</c:v>
                </c:pt>
                <c:pt idx="53">
                  <c:v>1.971270099535672</c:v>
                </c:pt>
                <c:pt idx="54">
                  <c:v>2.5314410867905703</c:v>
                </c:pt>
                <c:pt idx="55">
                  <c:v>3.3310138210339257</c:v>
                </c:pt>
                <c:pt idx="56">
                  <c:v>4.4679089121817492</c:v>
                </c:pt>
                <c:pt idx="57">
                  <c:v>6.1735323134129239</c:v>
                </c:pt>
                <c:pt idx="58">
                  <c:v>8.3357716372733073</c:v>
                </c:pt>
                <c:pt idx="59">
                  <c:v>11.442061312000005</c:v>
                </c:pt>
                <c:pt idx="60">
                  <c:v>15.575454184947356</c:v>
                </c:pt>
                <c:pt idx="61">
                  <c:v>24.056284455153232</c:v>
                </c:pt>
                <c:pt idx="62">
                  <c:v>34.830041290370438</c:v>
                </c:pt>
                <c:pt idx="63">
                  <c:v>49.580626982764841</c:v>
                </c:pt>
                <c:pt idx="64">
                  <c:v>90.238429936744296</c:v>
                </c:pt>
                <c:pt idx="65">
                  <c:v>168.94751892320357</c:v>
                </c:pt>
                <c:pt idx="66">
                  <c:v>308.65812286314213</c:v>
                </c:pt>
                <c:pt idx="67">
                  <c:v>466.16391918661395</c:v>
                </c:pt>
                <c:pt idx="68">
                  <c:v>704.04367633563913</c:v>
                </c:pt>
                <c:pt idx="69">
                  <c:v>1063.3115901657186</c:v>
                </c:pt>
                <c:pt idx="70">
                  <c:v>1605.9110759511216</c:v>
                </c:pt>
                <c:pt idx="71">
                  <c:v>2425.3947833490238</c:v>
                </c:pt>
                <c:pt idx="72">
                  <c:v>3663.0545384417674</c:v>
                </c:pt>
                <c:pt idx="73">
                  <c:v>5532.2822674958843</c:v>
                </c:pt>
                <c:pt idx="74">
                  <c:v>8355.3621072398801</c:v>
                </c:pt>
                <c:pt idx="75">
                  <c:v>12619.037237718454</c:v>
                </c:pt>
                <c:pt idx="76">
                  <c:v>19058.432030006719</c:v>
                </c:pt>
                <c:pt idx="77">
                  <c:v>28783.799001456759</c:v>
                </c:pt>
                <c:pt idx="78">
                  <c:v>43471.943738698581</c:v>
                </c:pt>
                <c:pt idx="79">
                  <c:v>65655.332443258463</c:v>
                </c:pt>
                <c:pt idx="80">
                  <c:v>99158.728768722751</c:v>
                </c:pt>
                <c:pt idx="81">
                  <c:v>149758.64297887241</c:v>
                </c:pt>
                <c:pt idx="82">
                  <c:v>226179.29279008304</c:v>
                </c:pt>
                <c:pt idx="83">
                  <c:v>341596.79514616891</c:v>
                </c:pt>
                <c:pt idx="84">
                  <c:v>515910.93514662329</c:v>
                </c:pt>
                <c:pt idx="85">
                  <c:v>779176.20067240973</c:v>
                </c:pt>
                <c:pt idx="86">
                  <c:v>1176783.6468163782</c:v>
                </c:pt>
                <c:pt idx="87">
                  <c:v>1777287.0247055665</c:v>
                </c:pt>
                <c:pt idx="88">
                  <c:v>2684222.5218988331</c:v>
                </c:pt>
                <c:pt idx="89">
                  <c:v>4053960.0227276478</c:v>
                </c:pt>
                <c:pt idx="90">
                  <c:v>6122663.7254529968</c:v>
                </c:pt>
                <c:pt idx="91">
                  <c:v>9247010.5488991439</c:v>
                </c:pt>
                <c:pt idx="92">
                  <c:v>13965686.819608185</c:v>
                </c:pt>
                <c:pt idx="93">
                  <c:v>21092266.231554944</c:v>
                </c:pt>
                <c:pt idx="94">
                  <c:v>31855482.693351306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53-1240-AE87-EBB68EF48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154704"/>
        <c:axId val="746285152"/>
      </c:scatterChart>
      <c:valAx>
        <c:axId val="746154704"/>
        <c:scaling>
          <c:orientation val="minMax"/>
          <c:max val="2050"/>
          <c:min val="19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746285152"/>
        <c:crosses val="autoZero"/>
        <c:crossBetween val="midCat"/>
      </c:valAx>
      <c:valAx>
        <c:axId val="746285152"/>
        <c:scaling>
          <c:logBase val="10"/>
          <c:orientation val="minMax"/>
          <c:max val="100000000"/>
          <c:min val="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746154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Euro/GOPs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Paper_Example_Figure!$A$51</c:f>
              <c:strCache>
                <c:ptCount val="1"/>
                <c:pt idx="0">
                  <c:v>UseCase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Paper_Example_Figure!$B$50:$AC$50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Paper_Example_Figure!$B$51:$AC$51</c:f>
              <c:numCache>
                <c:formatCode>General</c:formatCode>
                <c:ptCount val="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6-704D-A595-7339EC9259BA}"/>
            </c:ext>
          </c:extLst>
        </c:ser>
        <c:ser>
          <c:idx val="1"/>
          <c:order val="1"/>
          <c:tx>
            <c:strRef>
              <c:f>Paper_Example_Figure!$A$52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Paper_Example_Figure!$B$50:$AC$50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Paper_Example_Figure!$B$52:$AC$52</c:f>
              <c:numCache>
                <c:formatCode>0.00</c:formatCode>
                <c:ptCount val="28"/>
                <c:pt idx="1">
                  <c:v>8825.4095340230979</c:v>
                </c:pt>
                <c:pt idx="2">
                  <c:v>4080.4784577541664</c:v>
                </c:pt>
                <c:pt idx="3">
                  <c:v>2514.3874804337638</c:v>
                </c:pt>
                <c:pt idx="4">
                  <c:v>1742.8652948612478</c:v>
                </c:pt>
                <c:pt idx="5">
                  <c:v>1075.2644205823897</c:v>
                </c:pt>
                <c:pt idx="6">
                  <c:v>597.95982411386512</c:v>
                </c:pt>
                <c:pt idx="7">
                  <c:v>395.5375574987101</c:v>
                </c:pt>
                <c:pt idx="8">
                  <c:v>244.49803413725667</c:v>
                </c:pt>
                <c:pt idx="9">
                  <c:v>153.64048740246841</c:v>
                </c:pt>
                <c:pt idx="10">
                  <c:v>98.2183631677199</c:v>
                </c:pt>
                <c:pt idx="11">
                  <c:v>63.131425789196228</c:v>
                </c:pt>
                <c:pt idx="12">
                  <c:v>40.554437333627796</c:v>
                </c:pt>
                <c:pt idx="13">
                  <c:v>26.244383595044773</c:v>
                </c:pt>
                <c:pt idx="14">
                  <c:v>16.983313157726037</c:v>
                </c:pt>
                <c:pt idx="15">
                  <c:v>10.988312453689794</c:v>
                </c:pt>
                <c:pt idx="16">
                  <c:v>7.1527521343045697</c:v>
                </c:pt>
                <c:pt idx="17">
                  <c:v>4.6477072784170321</c:v>
                </c:pt>
                <c:pt idx="18">
                  <c:v>3.0326262995031432</c:v>
                </c:pt>
                <c:pt idx="19">
                  <c:v>1.979866818205221</c:v>
                </c:pt>
                <c:pt idx="20">
                  <c:v>1.2955659772234815</c:v>
                </c:pt>
                <c:pt idx="21">
                  <c:v>0.84818244077871585</c:v>
                </c:pt>
                <c:pt idx="22">
                  <c:v>0.55628457993577851</c:v>
                </c:pt>
                <c:pt idx="23">
                  <c:v>0.36516949440854746</c:v>
                </c:pt>
                <c:pt idx="24">
                  <c:v>0.24001995430515938</c:v>
                </c:pt>
                <c:pt idx="25">
                  <c:v>0.15794590635729852</c:v>
                </c:pt>
                <c:pt idx="26">
                  <c:v>0.10404267135196887</c:v>
                </c:pt>
                <c:pt idx="27">
                  <c:v>6.8609548148107852E-2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6-704D-A595-7339EC9259BA}"/>
            </c:ext>
          </c:extLst>
        </c:ser>
        <c:ser>
          <c:idx val="2"/>
          <c:order val="2"/>
          <c:tx>
            <c:strRef>
              <c:f>Paper_Example_Figure!$A$53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Paper_Example_Figure!$B$50:$AC$50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Paper_Example_Figure!$B$53:$AC$53</c:f>
              <c:numCache>
                <c:formatCode>0.00</c:formatCode>
                <c:ptCount val="28"/>
                <c:pt idx="0">
                  <c:v>4804.8728987776685</c:v>
                </c:pt>
                <c:pt idx="1">
                  <c:v>2225.8701248489824</c:v>
                </c:pt>
                <c:pt idx="2">
                  <c:v>1179.44396681178</c:v>
                </c:pt>
                <c:pt idx="3">
                  <c:v>764.14662436180515</c:v>
                </c:pt>
                <c:pt idx="4">
                  <c:v>443.54402463856275</c:v>
                </c:pt>
                <c:pt idx="5">
                  <c:v>274.6082453080013</c:v>
                </c:pt>
                <c:pt idx="6">
                  <c:v>165.79509056210057</c:v>
                </c:pt>
                <c:pt idx="7">
                  <c:v>103.85277598099731</c:v>
                </c:pt>
                <c:pt idx="8">
                  <c:v>64.969955569378442</c:v>
                </c:pt>
                <c:pt idx="9">
                  <c:v>40.798460037712381</c:v>
                </c:pt>
                <c:pt idx="10">
                  <c:v>25.872821219225177</c:v>
                </c:pt>
                <c:pt idx="11">
                  <c:v>16.41755513059622</c:v>
                </c:pt>
                <c:pt idx="12">
                  <c:v>10.493833550975994</c:v>
                </c:pt>
                <c:pt idx="13">
                  <c:v>6.7539033323454127</c:v>
                </c:pt>
                <c:pt idx="14">
                  <c:v>4.3534105430276071</c:v>
                </c:pt>
                <c:pt idx="15">
                  <c:v>2.824476732000047</c:v>
                </c:pt>
                <c:pt idx="16">
                  <c:v>1.8396157133810387</c:v>
                </c:pt>
                <c:pt idx="17">
                  <c:v>1.2036778363580003</c:v>
                </c:pt>
                <c:pt idx="18">
                  <c:v>0.79181506041723926</c:v>
                </c:pt>
                <c:pt idx="19">
                  <c:v>0.52376399946022056</c:v>
                </c:pt>
                <c:pt idx="20">
                  <c:v>0.34838013234048326</c:v>
                </c:pt>
                <c:pt idx="21">
                  <c:v>0.2331171053405387</c:v>
                </c:pt>
                <c:pt idx="22">
                  <c:v>0.15699552428907362</c:v>
                </c:pt>
                <c:pt idx="23">
                  <c:v>0.10643738271974795</c:v>
                </c:pt>
                <c:pt idx="24">
                  <c:v>7.2667036496117027E-2</c:v>
                </c:pt>
                <c:pt idx="25">
                  <c:v>4.9971599126178608E-2</c:v>
                </c:pt>
                <c:pt idx="26">
                  <c:v>3.4620657698466485E-2</c:v>
                </c:pt>
                <c:pt idx="27">
                  <c:v>2.4166845928793885E-2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6-704D-A595-7339EC9259BA}"/>
            </c:ext>
          </c:extLst>
        </c:ser>
        <c:ser>
          <c:idx val="3"/>
          <c:order val="3"/>
          <c:tx>
            <c:strRef>
              <c:f>Paper_Example_Figure!$A$54</c:f>
              <c:strCache>
                <c:ptCount val="1"/>
                <c:pt idx="0">
                  <c:v>FPGA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Paper_Example_Figure!$B$50:$AC$50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Paper_Example_Figure!$B$54:$AC$54</c:f>
              <c:numCache>
                <c:formatCode>0.00</c:formatCode>
                <c:ptCount val="28"/>
                <c:pt idx="0">
                  <c:v>2417.5519493888341</c:v>
                </c:pt>
                <c:pt idx="1">
                  <c:v>1783.5771970879723</c:v>
                </c:pt>
                <c:pt idx="2">
                  <c:v>1177.6517970418529</c:v>
                </c:pt>
                <c:pt idx="3">
                  <c:v>762.9105800481924</c:v>
                </c:pt>
                <c:pt idx="4">
                  <c:v>504.56521606429618</c:v>
                </c:pt>
                <c:pt idx="5">
                  <c:v>363.02318133353816</c:v>
                </c:pt>
                <c:pt idx="6">
                  <c:v>252.19096983051676</c:v>
                </c:pt>
                <c:pt idx="7">
                  <c:v>180.83518713905409</c:v>
                </c:pt>
                <c:pt idx="8">
                  <c:v>129.87374852417955</c:v>
                </c:pt>
                <c:pt idx="9">
                  <c:v>94.421189499919976</c:v>
                </c:pt>
                <c:pt idx="10">
                  <c:v>67.692916384464681</c:v>
                </c:pt>
                <c:pt idx="11">
                  <c:v>49.353953504936108</c:v>
                </c:pt>
                <c:pt idx="12">
                  <c:v>35.973095215053668</c:v>
                </c:pt>
                <c:pt idx="13">
                  <c:v>26.103664146440384</c:v>
                </c:pt>
                <c:pt idx="14">
                  <c:v>19.102206424245072</c:v>
                </c:pt>
                <c:pt idx="15">
                  <c:v>14.047809357059529</c:v>
                </c:pt>
                <c:pt idx="16">
                  <c:v>10.306448711262595</c:v>
                </c:pt>
                <c:pt idx="17">
                  <c:v>7.5829740008896671</c:v>
                </c:pt>
                <c:pt idx="18">
                  <c:v>5.5900137996203023</c:v>
                </c:pt>
                <c:pt idx="19">
                  <c:v>4.1197479619985646</c:v>
                </c:pt>
                <c:pt idx="20">
                  <c:v>3.0471516174867048</c:v>
                </c:pt>
                <c:pt idx="21">
                  <c:v>2.2559266378855014</c:v>
                </c:pt>
                <c:pt idx="22">
                  <c:v>1.6713661208455246</c:v>
                </c:pt>
                <c:pt idx="23">
                  <c:v>1.2395411206925799</c:v>
                </c:pt>
                <c:pt idx="24">
                  <c:v>0.92086846067994199</c:v>
                </c:pt>
                <c:pt idx="25">
                  <c:v>0.68447836042210686</c:v>
                </c:pt>
                <c:pt idx="26">
                  <c:v>0.5096680236420984</c:v>
                </c:pt>
                <c:pt idx="27">
                  <c:v>0.3796934606004177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EC6-704D-A595-7339EC9259BA}"/>
            </c:ext>
          </c:extLst>
        </c:ser>
        <c:ser>
          <c:idx val="4"/>
          <c:order val="4"/>
          <c:tx>
            <c:strRef>
              <c:f>Paper_Example_Figure!$A$55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Paper_Example_Figure!$B$50:$AC$50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Paper_Example_Figure!$B$55:$AC$55</c:f>
              <c:numCache>
                <c:formatCode>0.00</c:formatCode>
                <c:ptCount val="28"/>
                <c:pt idx="0">
                  <c:v>1223.0759746944173</c:v>
                </c:pt>
                <c:pt idx="1">
                  <c:v>698.56897969957811</c:v>
                </c:pt>
                <c:pt idx="2">
                  <c:v>421.46170196374106</c:v>
                </c:pt>
                <c:pt idx="3">
                  <c:v>260.91919410748494</c:v>
                </c:pt>
                <c:pt idx="4">
                  <c:v>161.74201884717607</c:v>
                </c:pt>
                <c:pt idx="5">
                  <c:v>99.701865730911976</c:v>
                </c:pt>
                <c:pt idx="6">
                  <c:v>63.143390845224808</c:v>
                </c:pt>
                <c:pt idx="7">
                  <c:v>40.054316252879794</c:v>
                </c:pt>
                <c:pt idx="8">
                  <c:v>25.670182978069331</c:v>
                </c:pt>
                <c:pt idx="9">
                  <c:v>16.448892539882522</c:v>
                </c:pt>
                <c:pt idx="10">
                  <c:v>10.614559021738767</c:v>
                </c:pt>
                <c:pt idx="11">
                  <c:v>6.8752259280070502</c:v>
                </c:pt>
                <c:pt idx="12">
                  <c:v>4.4644970214581434</c:v>
                </c:pt>
                <c:pt idx="13">
                  <c:v>2.9100696280411635</c:v>
                </c:pt>
                <c:pt idx="14">
                  <c:v>1.9009806465227037</c:v>
                </c:pt>
                <c:pt idx="15">
                  <c:v>1.2455480020091567</c:v>
                </c:pt>
                <c:pt idx="16">
                  <c:v>0.81796385574456609</c:v>
                </c:pt>
                <c:pt idx="17">
                  <c:v>0.53847589543617447</c:v>
                </c:pt>
                <c:pt idx="18">
                  <c:v>0.35518691100116129</c:v>
                </c:pt>
                <c:pt idx="19">
                  <c:v>0.23480527576815075</c:v>
                </c:pt>
                <c:pt idx="20">
                  <c:v>0.15552931515315752</c:v>
                </c:pt>
                <c:pt idx="21">
                  <c:v>0.10322088111728694</c:v>
                </c:pt>
                <c:pt idx="22">
                  <c:v>6.8630653626105959E-2</c:v>
                </c:pt>
                <c:pt idx="23">
                  <c:v>4.5715891341227395E-2</c:v>
                </c:pt>
                <c:pt idx="24">
                  <c:v>3.0506638443360271E-2</c:v>
                </c:pt>
                <c:pt idx="25">
                  <c:v>2.0392719967134102E-2</c:v>
                </c:pt>
                <c:pt idx="26">
                  <c:v>1.3655420510438618E-2</c:v>
                </c:pt>
                <c:pt idx="27">
                  <c:v>9.1593847619934419E-3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EC6-704D-A595-7339EC9259BA}"/>
            </c:ext>
          </c:extLst>
        </c:ser>
        <c:ser>
          <c:idx val="5"/>
          <c:order val="5"/>
          <c:tx>
            <c:strRef>
              <c:f>Paper_Example_Figure!$A$56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Paper_Example_Figure!$B$50:$AC$50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Paper_Example_Figure!$B$56:$AC$56</c:f>
              <c:numCache>
                <c:formatCode>0.00</c:formatCode>
                <c:ptCount val="28"/>
                <c:pt idx="7">
                  <c:v>45.6933315068162</c:v>
                </c:pt>
                <c:pt idx="8">
                  <c:v>26.192093654958864</c:v>
                </c:pt>
                <c:pt idx="9">
                  <c:v>15.141797030933539</c:v>
                </c:pt>
                <c:pt idx="10">
                  <c:v>8.7904279986585738</c:v>
                </c:pt>
                <c:pt idx="11">
                  <c:v>5.1394632003584197</c:v>
                </c:pt>
                <c:pt idx="12">
                  <c:v>3.026771793259162</c:v>
                </c:pt>
                <c:pt idx="13">
                  <c:v>1.7956041646055929</c:v>
                </c:pt>
                <c:pt idx="14">
                  <c:v>1.0726230698626789</c:v>
                </c:pt>
                <c:pt idx="15">
                  <c:v>0.64601004261884099</c:v>
                </c:pt>
                <c:pt idx="16">
                  <c:v>0.39224037304769038</c:v>
                </c:pt>
                <c:pt idx="17">
                  <c:v>0.24025725407376958</c:v>
                </c:pt>
                <c:pt idx="18">
                  <c:v>0.14850922755726287</c:v>
                </c:pt>
                <c:pt idx="19">
                  <c:v>9.2669151780665496E-2</c:v>
                </c:pt>
                <c:pt idx="20">
                  <c:v>5.8389861520471695E-2</c:v>
                </c:pt>
                <c:pt idx="21">
                  <c:v>3.7152781140449849E-2</c:v>
                </c:pt>
                <c:pt idx="22">
                  <c:v>2.3872071937700867E-2</c:v>
                </c:pt>
                <c:pt idx="23">
                  <c:v>1.5486305675184652E-2</c:v>
                </c:pt>
                <c:pt idx="24">
                  <c:v>1.013964452929514E-2</c:v>
                </c:pt>
                <c:pt idx="25">
                  <c:v>6.6975517272556588E-3</c:v>
                </c:pt>
                <c:pt idx="26">
                  <c:v>4.4605053963310158E-3</c:v>
                </c:pt>
                <c:pt idx="27">
                  <c:v>2.9933083091399026E-3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EC6-704D-A595-7339EC9259BA}"/>
            </c:ext>
          </c:extLst>
        </c:ser>
        <c:ser>
          <c:idx val="6"/>
          <c:order val="6"/>
          <c:tx>
            <c:strRef>
              <c:f>Paper_Example_Figure!$A$57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Paper_Example_Figure!$B$50:$AC$50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Paper_Example_Figure!$B$57:$AC$57</c:f>
              <c:numCache>
                <c:formatCode>General</c:formatCode>
                <c:ptCount val="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EC6-704D-A595-7339EC9259BA}"/>
            </c:ext>
          </c:extLst>
        </c:ser>
        <c:ser>
          <c:idx val="7"/>
          <c:order val="7"/>
          <c:tx>
            <c:strRef>
              <c:f>Paper_Example_Figure!$A$58</c:f>
              <c:strCache>
                <c:ptCount val="1"/>
                <c:pt idx="0">
                  <c:v>UseCase 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Paper_Example_Figure!$B$50:$AC$50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Paper_Example_Figure!$B$58:$AC$58</c:f>
              <c:numCache>
                <c:formatCode>General</c:formatCode>
                <c:ptCount val="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EC6-704D-A595-7339EC9259BA}"/>
            </c:ext>
          </c:extLst>
        </c:ser>
        <c:ser>
          <c:idx val="8"/>
          <c:order val="8"/>
          <c:tx>
            <c:strRef>
              <c:f>Paper_Example_Figure!$A$59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Paper_Example_Figure!$B$50:$AC$50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Paper_Example_Figure!$B$59:$AC$59</c:f>
              <c:numCache>
                <c:formatCode>0.00</c:formatCode>
                <c:ptCount val="28"/>
                <c:pt idx="2">
                  <c:v>16291.88</c:v>
                </c:pt>
                <c:pt idx="3">
                  <c:v>6016.64</c:v>
                </c:pt>
                <c:pt idx="4">
                  <c:v>3087.22</c:v>
                </c:pt>
                <c:pt idx="5">
                  <c:v>1605.33</c:v>
                </c:pt>
                <c:pt idx="6">
                  <c:v>880.03</c:v>
                </c:pt>
                <c:pt idx="7">
                  <c:v>511.43</c:v>
                </c:pt>
                <c:pt idx="8">
                  <c:v>302.35000000000002</c:v>
                </c:pt>
                <c:pt idx="9">
                  <c:v>184.04</c:v>
                </c:pt>
                <c:pt idx="10">
                  <c:v>113.04</c:v>
                </c:pt>
                <c:pt idx="11">
                  <c:v>70.83</c:v>
                </c:pt>
                <c:pt idx="12">
                  <c:v>44.49</c:v>
                </c:pt>
                <c:pt idx="13">
                  <c:v>28.13</c:v>
                </c:pt>
                <c:pt idx="14">
                  <c:v>17.93</c:v>
                </c:pt>
                <c:pt idx="15">
                  <c:v>11.47</c:v>
                </c:pt>
                <c:pt idx="16">
                  <c:v>7.37</c:v>
                </c:pt>
                <c:pt idx="17">
                  <c:v>4.76</c:v>
                </c:pt>
                <c:pt idx="18">
                  <c:v>3.08</c:v>
                </c:pt>
                <c:pt idx="19">
                  <c:v>2</c:v>
                </c:pt>
                <c:pt idx="20">
                  <c:v>1.3</c:v>
                </c:pt>
                <c:pt idx="21">
                  <c:v>0.85</c:v>
                </c:pt>
                <c:pt idx="22">
                  <c:v>0.55000000000000004</c:v>
                </c:pt>
                <c:pt idx="23">
                  <c:v>0.36</c:v>
                </c:pt>
                <c:pt idx="24">
                  <c:v>0.24</c:v>
                </c:pt>
                <c:pt idx="25">
                  <c:v>0.16</c:v>
                </c:pt>
                <c:pt idx="26">
                  <c:v>0.1</c:v>
                </c:pt>
                <c:pt idx="27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EC6-704D-A595-7339EC9259BA}"/>
            </c:ext>
          </c:extLst>
        </c:ser>
        <c:ser>
          <c:idx val="9"/>
          <c:order val="9"/>
          <c:tx>
            <c:strRef>
              <c:f>Paper_Example_Figure!$A$60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Paper_Example_Figure!$B$50:$AC$50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Paper_Example_Figure!$B$60:$AC$60</c:f>
              <c:numCache>
                <c:formatCode>0.00</c:formatCode>
                <c:ptCount val="28"/>
                <c:pt idx="1">
                  <c:v>35339.160000000003</c:v>
                </c:pt>
                <c:pt idx="2">
                  <c:v>4087.34</c:v>
                </c:pt>
                <c:pt idx="3">
                  <c:v>1681.46</c:v>
                </c:pt>
                <c:pt idx="4">
                  <c:v>801.61</c:v>
                </c:pt>
                <c:pt idx="5">
                  <c:v>426.77</c:v>
                </c:pt>
                <c:pt idx="6">
                  <c:v>239.46</c:v>
                </c:pt>
                <c:pt idx="7">
                  <c:v>137.24</c:v>
                </c:pt>
                <c:pt idx="8">
                  <c:v>80.260000000000005</c:v>
                </c:pt>
                <c:pt idx="9">
                  <c:v>48.34</c:v>
                </c:pt>
                <c:pt idx="10">
                  <c:v>29.58</c:v>
                </c:pt>
                <c:pt idx="11">
                  <c:v>18.32</c:v>
                </c:pt>
                <c:pt idx="12">
                  <c:v>11.45</c:v>
                </c:pt>
                <c:pt idx="13">
                  <c:v>7.22</c:v>
                </c:pt>
                <c:pt idx="14">
                  <c:v>4.58</c:v>
                </c:pt>
                <c:pt idx="15">
                  <c:v>2.93</c:v>
                </c:pt>
                <c:pt idx="16">
                  <c:v>1.89</c:v>
                </c:pt>
                <c:pt idx="17">
                  <c:v>1.23</c:v>
                </c:pt>
                <c:pt idx="18">
                  <c:v>0.8</c:v>
                </c:pt>
                <c:pt idx="19">
                  <c:v>0.53</c:v>
                </c:pt>
                <c:pt idx="20">
                  <c:v>0.35</c:v>
                </c:pt>
                <c:pt idx="21">
                  <c:v>0.23</c:v>
                </c:pt>
                <c:pt idx="22">
                  <c:v>0.16</c:v>
                </c:pt>
                <c:pt idx="23">
                  <c:v>0.11</c:v>
                </c:pt>
                <c:pt idx="24">
                  <c:v>7.0000000000000007E-2</c:v>
                </c:pt>
                <c:pt idx="25">
                  <c:v>0.05</c:v>
                </c:pt>
                <c:pt idx="26">
                  <c:v>0.03</c:v>
                </c:pt>
                <c:pt idx="27">
                  <c:v>0.02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EC6-704D-A595-7339EC9259BA}"/>
            </c:ext>
          </c:extLst>
        </c:ser>
        <c:ser>
          <c:idx val="10"/>
          <c:order val="10"/>
          <c:tx>
            <c:strRef>
              <c:f>Paper_Example_Figure!$A$61</c:f>
              <c:strCache>
                <c:ptCount val="1"/>
                <c:pt idx="0">
                  <c:v>FPGA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Paper_Example_Figure!$B$50:$AC$50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Paper_Example_Figure!$B$61:$AC$61</c:f>
              <c:numCache>
                <c:formatCode>0.00</c:formatCode>
                <c:ptCount val="28"/>
                <c:pt idx="1">
                  <c:v>17680.63</c:v>
                </c:pt>
                <c:pt idx="2">
                  <c:v>3633.6</c:v>
                </c:pt>
                <c:pt idx="3">
                  <c:v>1680.22</c:v>
                </c:pt>
                <c:pt idx="4">
                  <c:v>964.44</c:v>
                </c:pt>
                <c:pt idx="5">
                  <c:v>575.22</c:v>
                </c:pt>
                <c:pt idx="6">
                  <c:v>368.6</c:v>
                </c:pt>
                <c:pt idx="7">
                  <c:v>243.79</c:v>
                </c:pt>
                <c:pt idx="8">
                  <c:v>162.27000000000001</c:v>
                </c:pt>
                <c:pt idx="9">
                  <c:v>112.12</c:v>
                </c:pt>
                <c:pt idx="10">
                  <c:v>78.09</c:v>
                </c:pt>
                <c:pt idx="11">
                  <c:v>55.25</c:v>
                </c:pt>
                <c:pt idx="12">
                  <c:v>39.19</c:v>
                </c:pt>
                <c:pt idx="13">
                  <c:v>28.09</c:v>
                </c:pt>
                <c:pt idx="14">
                  <c:v>20.23</c:v>
                </c:pt>
                <c:pt idx="15">
                  <c:v>14.63</c:v>
                </c:pt>
                <c:pt idx="16">
                  <c:v>10.62</c:v>
                </c:pt>
                <c:pt idx="17">
                  <c:v>7.75</c:v>
                </c:pt>
                <c:pt idx="18">
                  <c:v>5.67</c:v>
                </c:pt>
                <c:pt idx="19">
                  <c:v>4.1500000000000004</c:v>
                </c:pt>
                <c:pt idx="20">
                  <c:v>3.05</c:v>
                </c:pt>
                <c:pt idx="21">
                  <c:v>2.25</c:v>
                </c:pt>
                <c:pt idx="22">
                  <c:v>1.66</c:v>
                </c:pt>
                <c:pt idx="23">
                  <c:v>1.23</c:v>
                </c:pt>
                <c:pt idx="24">
                  <c:v>0.91</c:v>
                </c:pt>
                <c:pt idx="25">
                  <c:v>0.68</c:v>
                </c:pt>
                <c:pt idx="26">
                  <c:v>0.5</c:v>
                </c:pt>
                <c:pt idx="27">
                  <c:v>0.37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EC6-704D-A595-7339EC9259BA}"/>
            </c:ext>
          </c:extLst>
        </c:ser>
        <c:ser>
          <c:idx val="11"/>
          <c:order val="11"/>
          <c:tx>
            <c:strRef>
              <c:f>Paper_Example_Figure!$A$62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Paper_Example_Figure!$B$50:$AC$50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Paper_Example_Figure!$B$62:$AC$62</c:f>
              <c:numCache>
                <c:formatCode>0.00</c:formatCode>
                <c:ptCount val="28"/>
                <c:pt idx="1">
                  <c:v>7084.45</c:v>
                </c:pt>
                <c:pt idx="2">
                  <c:v>1430.38</c:v>
                </c:pt>
                <c:pt idx="3">
                  <c:v>588.05999999999995</c:v>
                </c:pt>
                <c:pt idx="4">
                  <c:v>293.22000000000003</c:v>
                </c:pt>
                <c:pt idx="5">
                  <c:v>158.57</c:v>
                </c:pt>
                <c:pt idx="6">
                  <c:v>90.07</c:v>
                </c:pt>
                <c:pt idx="7">
                  <c:v>53.16</c:v>
                </c:pt>
                <c:pt idx="8">
                  <c:v>31.69</c:v>
                </c:pt>
                <c:pt idx="9">
                  <c:v>19.48</c:v>
                </c:pt>
                <c:pt idx="10">
                  <c:v>12.14</c:v>
                </c:pt>
                <c:pt idx="11">
                  <c:v>7.65</c:v>
                </c:pt>
                <c:pt idx="12">
                  <c:v>4.8600000000000003</c:v>
                </c:pt>
                <c:pt idx="13">
                  <c:v>3.11</c:v>
                </c:pt>
                <c:pt idx="14">
                  <c:v>2</c:v>
                </c:pt>
                <c:pt idx="15">
                  <c:v>1.29</c:v>
                </c:pt>
                <c:pt idx="16">
                  <c:v>0.84</c:v>
                </c:pt>
                <c:pt idx="17">
                  <c:v>0.55000000000000004</c:v>
                </c:pt>
                <c:pt idx="18">
                  <c:v>0.36</c:v>
                </c:pt>
                <c:pt idx="19">
                  <c:v>0.24</c:v>
                </c:pt>
                <c:pt idx="20">
                  <c:v>0.16</c:v>
                </c:pt>
                <c:pt idx="21">
                  <c:v>0.1</c:v>
                </c:pt>
                <c:pt idx="22">
                  <c:v>7.0000000000000007E-2</c:v>
                </c:pt>
                <c:pt idx="23">
                  <c:v>0.05</c:v>
                </c:pt>
                <c:pt idx="24">
                  <c:v>0.03</c:v>
                </c:pt>
                <c:pt idx="25">
                  <c:v>0.02</c:v>
                </c:pt>
                <c:pt idx="26">
                  <c:v>0.01</c:v>
                </c:pt>
                <c:pt idx="27">
                  <c:v>0.01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EC6-704D-A595-7339EC9259BA}"/>
            </c:ext>
          </c:extLst>
        </c:ser>
        <c:ser>
          <c:idx val="12"/>
          <c:order val="12"/>
          <c:tx>
            <c:strRef>
              <c:f>Paper_Example_Figure!$A$63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Paper_Example_Figure!$B$50:$AC$50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Paper_Example_Figure!$B$63:$AC$63</c:f>
              <c:numCache>
                <c:formatCode>0.00</c:formatCode>
                <c:ptCount val="28"/>
                <c:pt idx="7">
                  <c:v>60.5</c:v>
                </c:pt>
                <c:pt idx="8">
                  <c:v>32.36</c:v>
                </c:pt>
                <c:pt idx="9">
                  <c:v>17.850000000000001</c:v>
                </c:pt>
                <c:pt idx="10">
                  <c:v>10.01</c:v>
                </c:pt>
                <c:pt idx="11">
                  <c:v>5.69</c:v>
                </c:pt>
                <c:pt idx="12">
                  <c:v>3.28</c:v>
                </c:pt>
                <c:pt idx="13">
                  <c:v>1.91</c:v>
                </c:pt>
                <c:pt idx="14">
                  <c:v>1.1200000000000001</c:v>
                </c:pt>
                <c:pt idx="15">
                  <c:v>0.67</c:v>
                </c:pt>
                <c:pt idx="16">
                  <c:v>0.4</c:v>
                </c:pt>
                <c:pt idx="17">
                  <c:v>0.24</c:v>
                </c:pt>
                <c:pt idx="18">
                  <c:v>0.15</c:v>
                </c:pt>
                <c:pt idx="19">
                  <c:v>0.09</c:v>
                </c:pt>
                <c:pt idx="20">
                  <c:v>0.06</c:v>
                </c:pt>
                <c:pt idx="21">
                  <c:v>0.04</c:v>
                </c:pt>
                <c:pt idx="22">
                  <c:v>0.02</c:v>
                </c:pt>
                <c:pt idx="23">
                  <c:v>0.02</c:v>
                </c:pt>
                <c:pt idx="24">
                  <c:v>0.01</c:v>
                </c:pt>
                <c:pt idx="25">
                  <c:v>0.01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EC6-704D-A595-7339EC9259BA}"/>
            </c:ext>
          </c:extLst>
        </c:ser>
        <c:ser>
          <c:idx val="13"/>
          <c:order val="13"/>
          <c:tx>
            <c:strRef>
              <c:f>Paper_Example_Figure!$A$64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Paper_Example_Figure!$B$50:$AC$50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Paper_Example_Figure!$B$64:$AC$64</c:f>
              <c:numCache>
                <c:formatCode>General</c:formatCode>
                <c:ptCount val="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EC6-704D-A595-7339EC9259BA}"/>
            </c:ext>
          </c:extLst>
        </c:ser>
        <c:ser>
          <c:idx val="14"/>
          <c:order val="14"/>
          <c:tx>
            <c:strRef>
              <c:f>Paper_Example_Figure!$A$65</c:f>
              <c:strCache>
                <c:ptCount val="1"/>
                <c:pt idx="0">
                  <c:v>UseCase3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Paper_Example_Figure!$B$50:$AC$50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Paper_Example_Figure!$B$65:$AC$65</c:f>
              <c:numCache>
                <c:formatCode>General</c:formatCode>
                <c:ptCount val="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BEC6-704D-A595-7339EC9259BA}"/>
            </c:ext>
          </c:extLst>
        </c:ser>
        <c:ser>
          <c:idx val="15"/>
          <c:order val="15"/>
          <c:tx>
            <c:strRef>
              <c:f>Paper_Example_Figure!$A$66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Paper_Example_Figure!$B$50:$AC$50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Paper_Example_Figure!$B$66:$AC$66</c:f>
              <c:numCache>
                <c:formatCode>0.00</c:formatCode>
                <c:ptCount val="28"/>
                <c:pt idx="8">
                  <c:v>150286.97496522393</c:v>
                </c:pt>
                <c:pt idx="9">
                  <c:v>135984.96778444375</c:v>
                </c:pt>
                <c:pt idx="10">
                  <c:v>61681.270232079813</c:v>
                </c:pt>
                <c:pt idx="11">
                  <c:v>37377.064435499189</c:v>
                </c:pt>
                <c:pt idx="12">
                  <c:v>20412.628275765081</c:v>
                </c:pt>
                <c:pt idx="13">
                  <c:v>13289.101684504712</c:v>
                </c:pt>
                <c:pt idx="14">
                  <c:v>8486.4466721125864</c:v>
                </c:pt>
                <c:pt idx="15">
                  <c:v>5165.2377903688403</c:v>
                </c:pt>
                <c:pt idx="16">
                  <c:v>3217.1287335641441</c:v>
                </c:pt>
                <c:pt idx="17">
                  <c:v>2086.610911064533</c:v>
                </c:pt>
                <c:pt idx="18">
                  <c:v>1313.9674941433482</c:v>
                </c:pt>
                <c:pt idx="19">
                  <c:v>831.96252671536331</c:v>
                </c:pt>
                <c:pt idx="20">
                  <c:v>531.95257554132036</c:v>
                </c:pt>
                <c:pt idx="21">
                  <c:v>342.94470219731267</c:v>
                </c:pt>
                <c:pt idx="22">
                  <c:v>219.21613455380168</c:v>
                </c:pt>
                <c:pt idx="23">
                  <c:v>140.99469637716939</c:v>
                </c:pt>
                <c:pt idx="24">
                  <c:v>90.905811474403947</c:v>
                </c:pt>
                <c:pt idx="25">
                  <c:v>58.564038569340745</c:v>
                </c:pt>
                <c:pt idx="26">
                  <c:v>37.727914850252965</c:v>
                </c:pt>
                <c:pt idx="27">
                  <c:v>24.321745172664599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BEC6-704D-A595-7339EC9259BA}"/>
            </c:ext>
          </c:extLst>
        </c:ser>
        <c:ser>
          <c:idx val="16"/>
          <c:order val="16"/>
          <c:tx>
            <c:strRef>
              <c:f>Paper_Example_Figure!$A$67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Paper_Example_Figure!$B$50:$AC$50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Paper_Example_Figure!$B$67:$AC$67</c:f>
              <c:numCache>
                <c:formatCode>0.00</c:formatCode>
                <c:ptCount val="28"/>
                <c:pt idx="5">
                  <c:v>207707.95603262418</c:v>
                </c:pt>
                <c:pt idx="6">
                  <c:v>185563.96464535806</c:v>
                </c:pt>
                <c:pt idx="7">
                  <c:v>83339.219537051904</c:v>
                </c:pt>
                <c:pt idx="8">
                  <c:v>37581.7835928903</c:v>
                </c:pt>
                <c:pt idx="9">
                  <c:v>22672.492627279215</c:v>
                </c:pt>
                <c:pt idx="10">
                  <c:v>13713.033721962169</c:v>
                </c:pt>
                <c:pt idx="11">
                  <c:v>8014.0597348037909</c:v>
                </c:pt>
                <c:pt idx="12">
                  <c:v>4863.678604008026</c:v>
                </c:pt>
                <c:pt idx="13">
                  <c:v>3003.4857841074877</c:v>
                </c:pt>
                <c:pt idx="14">
                  <c:v>1846.9680078903732</c:v>
                </c:pt>
                <c:pt idx="15">
                  <c:v>1140.9815287404012</c:v>
                </c:pt>
                <c:pt idx="16">
                  <c:v>716.12978260543514</c:v>
                </c:pt>
                <c:pt idx="17">
                  <c:v>447.03026545915355</c:v>
                </c:pt>
                <c:pt idx="18">
                  <c:v>280.93631051966247</c:v>
                </c:pt>
                <c:pt idx="19">
                  <c:v>176.11452640294976</c:v>
                </c:pt>
                <c:pt idx="20">
                  <c:v>111.0844195710815</c:v>
                </c:pt>
                <c:pt idx="21">
                  <c:v>70.063473945021073</c:v>
                </c:pt>
                <c:pt idx="22">
                  <c:v>44.22020866854438</c:v>
                </c:pt>
                <c:pt idx="23">
                  <c:v>27.98666035831884</c:v>
                </c:pt>
                <c:pt idx="24">
                  <c:v>17.71115898326871</c:v>
                </c:pt>
                <c:pt idx="25">
                  <c:v>11.223302584472776</c:v>
                </c:pt>
                <c:pt idx="26">
                  <c:v>7.1179231790636379</c:v>
                </c:pt>
                <c:pt idx="27">
                  <c:v>4.5189318678464181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BEC6-704D-A595-7339EC9259BA}"/>
            </c:ext>
          </c:extLst>
        </c:ser>
        <c:ser>
          <c:idx val="17"/>
          <c:order val="17"/>
          <c:tx>
            <c:strRef>
              <c:f>Paper_Example_Figure!$A$68</c:f>
              <c:strCache>
                <c:ptCount val="1"/>
                <c:pt idx="0">
                  <c:v>FPGA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Paper_Example_Figure!$B$50:$AC$50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Paper_Example_Figure!$B$68:$AC$68</c:f>
              <c:numCache>
                <c:formatCode>0.00</c:formatCode>
                <c:ptCount val="28"/>
                <c:pt idx="6">
                  <c:v>185560.24343091878</c:v>
                </c:pt>
                <c:pt idx="7">
                  <c:v>166659.33634592799</c:v>
                </c:pt>
                <c:pt idx="8">
                  <c:v>75149.505677364665</c:v>
                </c:pt>
                <c:pt idx="9">
                  <c:v>67997.615176805615</c:v>
                </c:pt>
                <c:pt idx="10">
                  <c:v>41124.325914966525</c:v>
                </c:pt>
                <c:pt idx="11">
                  <c:v>28035.510570460712</c:v>
                </c:pt>
                <c:pt idx="12">
                  <c:v>20414.370651672329</c:v>
                </c:pt>
                <c:pt idx="13">
                  <c:v>13290.669981232908</c:v>
                </c:pt>
                <c:pt idx="14">
                  <c:v>9430.626844911274</c:v>
                </c:pt>
                <c:pt idx="15">
                  <c:v>6457.5182770899601</c:v>
                </c:pt>
                <c:pt idx="16">
                  <c:v>4719.1818833234483</c:v>
                </c:pt>
                <c:pt idx="17">
                  <c:v>3405.0463763571065</c:v>
                </c:pt>
                <c:pt idx="18">
                  <c:v>2365.6022222118968</c:v>
                </c:pt>
                <c:pt idx="19">
                  <c:v>1744.7854038580383</c:v>
                </c:pt>
                <c:pt idx="20">
                  <c:v>1268.7718068805307</c:v>
                </c:pt>
                <c:pt idx="21">
                  <c:v>905.58930009237065</c:v>
                </c:pt>
                <c:pt idx="22">
                  <c:v>657.8155257207585</c:v>
                </c:pt>
                <c:pt idx="23">
                  <c:v>480.2258005616186</c:v>
                </c:pt>
                <c:pt idx="24">
                  <c:v>347.36258458954495</c:v>
                </c:pt>
                <c:pt idx="25">
                  <c:v>254.48166644668325</c:v>
                </c:pt>
                <c:pt idx="26">
                  <c:v>185.5776449502039</c:v>
                </c:pt>
                <c:pt idx="27">
                  <c:v>134.8009847871011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BEC6-704D-A595-7339EC9259BA}"/>
            </c:ext>
          </c:extLst>
        </c:ser>
        <c:ser>
          <c:idx val="18"/>
          <c:order val="18"/>
          <c:tx>
            <c:strRef>
              <c:f>Paper_Example_Figure!$A$69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Paper_Example_Figure!$B$50:$AC$50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Paper_Example_Figure!$B$69:$AC$69</c:f>
              <c:numCache>
                <c:formatCode>0.00</c:formatCode>
                <c:ptCount val="28"/>
                <c:pt idx="4">
                  <c:v>234049.44116412287</c:v>
                </c:pt>
                <c:pt idx="5">
                  <c:v>103847.2671536034</c:v>
                </c:pt>
                <c:pt idx="6">
                  <c:v>46391.020356337009</c:v>
                </c:pt>
                <c:pt idx="7">
                  <c:v>27778.045440113336</c:v>
                </c:pt>
                <c:pt idx="8">
                  <c:v>15030.369084839413</c:v>
                </c:pt>
                <c:pt idx="9">
                  <c:v>8500.497341364673</c:v>
                </c:pt>
                <c:pt idx="10">
                  <c:v>5364.4696006972999</c:v>
                </c:pt>
                <c:pt idx="11">
                  <c:v>3204.3679025235383</c:v>
                </c:pt>
                <c:pt idx="12">
                  <c:v>2001.6413026378673</c:v>
                </c:pt>
                <c:pt idx="13">
                  <c:v>1257.3647435951113</c:v>
                </c:pt>
                <c:pt idx="14">
                  <c:v>793.32814857823962</c:v>
                </c:pt>
                <c:pt idx="15">
                  <c:v>500.0004725975038</c:v>
                </c:pt>
                <c:pt idx="16">
                  <c:v>317.48086799266019</c:v>
                </c:pt>
                <c:pt idx="17">
                  <c:v>202.84178430857671</c:v>
                </c:pt>
                <c:pt idx="18">
                  <c:v>129.43110026535041</c:v>
                </c:pt>
                <c:pt idx="19">
                  <c:v>82.846707631552931</c:v>
                </c:pt>
                <c:pt idx="20">
                  <c:v>53.103933074322327</c:v>
                </c:pt>
                <c:pt idx="21">
                  <c:v>34.10388568868045</c:v>
                </c:pt>
                <c:pt idx="22">
                  <c:v>21.909613023359839</c:v>
                </c:pt>
                <c:pt idx="23">
                  <c:v>14.102047219897749</c:v>
                </c:pt>
                <c:pt idx="24">
                  <c:v>9.0794299964978595</c:v>
                </c:pt>
                <c:pt idx="25">
                  <c:v>5.8505469968288111</c:v>
                </c:pt>
                <c:pt idx="26">
                  <c:v>3.77254474727106</c:v>
                </c:pt>
                <c:pt idx="27">
                  <c:v>2.4336096325276633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BEC6-704D-A595-7339EC9259BA}"/>
            </c:ext>
          </c:extLst>
        </c:ser>
        <c:ser>
          <c:idx val="19"/>
          <c:order val="19"/>
          <c:tx>
            <c:strRef>
              <c:f>Paper_Example_Figure!$A$70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Paper_Example_Figure!$B$50:$AC$50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Paper_Example_Figure!$B$70:$AC$70</c:f>
              <c:numCache>
                <c:formatCode>0.00</c:formatCode>
                <c:ptCount val="28"/>
                <c:pt idx="7">
                  <c:v>27846.952261817754</c:v>
                </c:pt>
                <c:pt idx="8">
                  <c:v>15072.555786376397</c:v>
                </c:pt>
                <c:pt idx="9">
                  <c:v>8026.3879968016881</c:v>
                </c:pt>
                <c:pt idx="10">
                  <c:v>4270.6273782617654</c:v>
                </c:pt>
                <c:pt idx="11">
                  <c:v>2298.730084019543</c:v>
                </c:pt>
                <c:pt idx="12">
                  <c:v>1266.4060503323012</c:v>
                </c:pt>
                <c:pt idx="13">
                  <c:v>708.66229257110365</c:v>
                </c:pt>
                <c:pt idx="14">
                  <c:v>398.99738414649232</c:v>
                </c:pt>
                <c:pt idx="15">
                  <c:v>225.43094605091591</c:v>
                </c:pt>
                <c:pt idx="16">
                  <c:v>127.99866080208105</c:v>
                </c:pt>
                <c:pt idx="17">
                  <c:v>72.769802522852927</c:v>
                </c:pt>
                <c:pt idx="18">
                  <c:v>41.362055677544184</c:v>
                </c:pt>
                <c:pt idx="19">
                  <c:v>23.611790008680348</c:v>
                </c:pt>
                <c:pt idx="20">
                  <c:v>13.504921072038153</c:v>
                </c:pt>
                <c:pt idx="21">
                  <c:v>7.7337961056813107</c:v>
                </c:pt>
                <c:pt idx="22">
                  <c:v>4.4331191201005478</c:v>
                </c:pt>
                <c:pt idx="23">
                  <c:v>2.543941800665237</c:v>
                </c:pt>
                <c:pt idx="24">
                  <c:v>1.461105930875253</c:v>
                </c:pt>
                <c:pt idx="25">
                  <c:v>0.83985952993807345</c:v>
                </c:pt>
                <c:pt idx="26">
                  <c:v>0.48312286043416897</c:v>
                </c:pt>
                <c:pt idx="27">
                  <c:v>0.27811661448230218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BEC6-704D-A595-7339EC925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186304"/>
        <c:axId val="527188016"/>
      </c:scatterChart>
      <c:valAx>
        <c:axId val="527186304"/>
        <c:scaling>
          <c:orientation val="minMax"/>
          <c:max val="20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527188016"/>
        <c:crosses val="autoZero"/>
        <c:crossBetween val="midCat"/>
      </c:valAx>
      <c:valAx>
        <c:axId val="527188016"/>
        <c:scaling>
          <c:logBase val="10"/>
          <c:orientation val="minMax"/>
          <c:max val="100000"/>
          <c:min val="0.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527186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1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W/TOPs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Paper_Example_Figure!$A$26</c:f>
              <c:strCache>
                <c:ptCount val="1"/>
                <c:pt idx="0">
                  <c:v>UseCase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Paper_Example_Figure!$B$25:$AC$25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Paper_Example_Figure!$B$26:$AC$26</c:f>
              <c:numCache>
                <c:formatCode>General</c:formatCode>
                <c:ptCount val="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C1-B943-A62D-5A05E1D3916B}"/>
            </c:ext>
          </c:extLst>
        </c:ser>
        <c:ser>
          <c:idx val="1"/>
          <c:order val="1"/>
          <c:tx>
            <c:strRef>
              <c:f>Paper_Example_Figure!$A$27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Paper_Example_Figure!$B$25:$AC$25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Paper_Example_Figure!$B$27:$AC$27</c:f>
              <c:numCache>
                <c:formatCode>0.000</c:formatCode>
                <c:ptCount val="28"/>
                <c:pt idx="1">
                  <c:v>50</c:v>
                </c:pt>
                <c:pt idx="2">
                  <c:v>25</c:v>
                </c:pt>
                <c:pt idx="3">
                  <c:v>16.666666666666668</c:v>
                </c:pt>
                <c:pt idx="4">
                  <c:v>12.5</c:v>
                </c:pt>
                <c:pt idx="5">
                  <c:v>8.3333333333333339</c:v>
                </c:pt>
                <c:pt idx="6">
                  <c:v>5</c:v>
                </c:pt>
                <c:pt idx="7">
                  <c:v>3.5714285714285716</c:v>
                </c:pt>
                <c:pt idx="8">
                  <c:v>2.3809523809523809</c:v>
                </c:pt>
                <c:pt idx="9">
                  <c:v>1.6129032258064515</c:v>
                </c:pt>
                <c:pt idx="10">
                  <c:v>1.1111111111111112</c:v>
                </c:pt>
                <c:pt idx="11">
                  <c:v>0.76923076923076927</c:v>
                </c:pt>
                <c:pt idx="12">
                  <c:v>0.53191489361702127</c:v>
                </c:pt>
                <c:pt idx="13">
                  <c:v>0.37037037037037035</c:v>
                </c:pt>
                <c:pt idx="14">
                  <c:v>0.25773195876288657</c:v>
                </c:pt>
                <c:pt idx="15">
                  <c:v>0.17921146953405018</c:v>
                </c:pt>
                <c:pt idx="16">
                  <c:v>0.12531328320802004</c:v>
                </c:pt>
                <c:pt idx="17">
                  <c:v>8.7412587412587409E-2</c:v>
                </c:pt>
                <c:pt idx="18">
                  <c:v>6.1199510403916767E-2</c:v>
                </c:pt>
                <c:pt idx="19">
                  <c:v>4.2844901456726647E-2</c:v>
                </c:pt>
                <c:pt idx="20">
                  <c:v>3.0048076923076924E-2</c:v>
                </c:pt>
                <c:pt idx="21">
                  <c:v>2.1070375052675939E-2</c:v>
                </c:pt>
                <c:pt idx="22">
                  <c:v>1.4792899408284023E-2</c:v>
                </c:pt>
                <c:pt idx="23">
                  <c:v>1.0388531061707874E-2</c:v>
                </c:pt>
                <c:pt idx="24">
                  <c:v>7.3003358154475105E-3</c:v>
                </c:pt>
                <c:pt idx="25">
                  <c:v>5.1329432296478798E-3</c:v>
                </c:pt>
                <c:pt idx="26">
                  <c:v>3.6103689797097262E-3</c:v>
                </c:pt>
                <c:pt idx="27">
                  <c:v>2.5405213149738326E-3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C1-B943-A62D-5A05E1D3916B}"/>
            </c:ext>
          </c:extLst>
        </c:ser>
        <c:ser>
          <c:idx val="2"/>
          <c:order val="2"/>
          <c:tx>
            <c:strRef>
              <c:f>Paper_Example_Figure!$A$28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Paper_Example_Figure!$B$25:$AC$25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Paper_Example_Figure!$B$28:$AC$28</c:f>
              <c:numCache>
                <c:formatCode>0.000</c:formatCode>
                <c:ptCount val="28"/>
                <c:pt idx="0">
                  <c:v>25</c:v>
                </c:pt>
                <c:pt idx="1">
                  <c:v>12.5</c:v>
                </c:pt>
                <c:pt idx="2">
                  <c:v>7.1428571428571432</c:v>
                </c:pt>
                <c:pt idx="3">
                  <c:v>5</c:v>
                </c:pt>
                <c:pt idx="4">
                  <c:v>3.125</c:v>
                </c:pt>
                <c:pt idx="5">
                  <c:v>2.0833333333333335</c:v>
                </c:pt>
                <c:pt idx="6">
                  <c:v>1.3513513513513513</c:v>
                </c:pt>
                <c:pt idx="7">
                  <c:v>0.90909090909090906</c:v>
                </c:pt>
                <c:pt idx="8">
                  <c:v>0.6097560975609756</c:v>
                </c:pt>
                <c:pt idx="9">
                  <c:v>0.4098360655737705</c:v>
                </c:pt>
                <c:pt idx="10">
                  <c:v>0.27777777777777779</c:v>
                </c:pt>
                <c:pt idx="11">
                  <c:v>0.18796992481203006</c:v>
                </c:pt>
                <c:pt idx="12">
                  <c:v>0.12787723785166241</c:v>
                </c:pt>
                <c:pt idx="13">
                  <c:v>8.7412587412587409E-2</c:v>
                </c:pt>
                <c:pt idx="14">
                  <c:v>5.9665871121718374E-2</c:v>
                </c:pt>
                <c:pt idx="15">
                  <c:v>4.0883074407195422E-2</c:v>
                </c:pt>
                <c:pt idx="16">
                  <c:v>2.8026905829596414E-2</c:v>
                </c:pt>
                <c:pt idx="17">
                  <c:v>1.9230769230769232E-2</c:v>
                </c:pt>
                <c:pt idx="18">
                  <c:v>1.3213530655391121E-2</c:v>
                </c:pt>
                <c:pt idx="19">
                  <c:v>9.0892564988183967E-3</c:v>
                </c:pt>
                <c:pt idx="20">
                  <c:v>6.2562562562562566E-3</c:v>
                </c:pt>
                <c:pt idx="21">
                  <c:v>4.3092303714556577E-3</c:v>
                </c:pt>
                <c:pt idx="22">
                  <c:v>2.9703558486306658E-3</c:v>
                </c:pt>
                <c:pt idx="23">
                  <c:v>2.0485926168722088E-3</c:v>
                </c:pt>
                <c:pt idx="24">
                  <c:v>1.4136273678258412E-3</c:v>
                </c:pt>
                <c:pt idx="25">
                  <c:v>9.7593348037397769E-4</c:v>
                </c:pt>
                <c:pt idx="26">
                  <c:v>6.7405430181455414E-4</c:v>
                </c:pt>
                <c:pt idx="27">
                  <c:v>4.6573147785912552E-4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7C1-B943-A62D-5A05E1D3916B}"/>
            </c:ext>
          </c:extLst>
        </c:ser>
        <c:ser>
          <c:idx val="3"/>
          <c:order val="3"/>
          <c:tx>
            <c:strRef>
              <c:f>Paper_Example_Figure!$A$29</c:f>
              <c:strCache>
                <c:ptCount val="1"/>
                <c:pt idx="0">
                  <c:v>FPGA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Paper_Example_Figure!$B$25:$AC$25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Paper_Example_Figure!$B$29:$AC$29</c:f>
              <c:numCache>
                <c:formatCode>0.000</c:formatCode>
                <c:ptCount val="28"/>
                <c:pt idx="0">
                  <c:v>12.5</c:v>
                </c:pt>
                <c:pt idx="1">
                  <c:v>10</c:v>
                </c:pt>
                <c:pt idx="2">
                  <c:v>7.1428571428571432</c:v>
                </c:pt>
                <c:pt idx="3">
                  <c:v>5</c:v>
                </c:pt>
                <c:pt idx="4">
                  <c:v>3.5714285714285716</c:v>
                </c:pt>
                <c:pt idx="5">
                  <c:v>2.7777777777777777</c:v>
                </c:pt>
                <c:pt idx="6">
                  <c:v>2.0833333333333335</c:v>
                </c:pt>
                <c:pt idx="7">
                  <c:v>1.6129032258064515</c:v>
                </c:pt>
                <c:pt idx="8">
                  <c:v>1.25</c:v>
                </c:pt>
                <c:pt idx="9">
                  <c:v>0.98039215686274506</c:v>
                </c:pt>
                <c:pt idx="10">
                  <c:v>0.75757575757575757</c:v>
                </c:pt>
                <c:pt idx="11">
                  <c:v>0.59523809523809523</c:v>
                </c:pt>
                <c:pt idx="12">
                  <c:v>0.46728971962616822</c:v>
                </c:pt>
                <c:pt idx="13">
                  <c:v>0.36496350364963503</c:v>
                </c:pt>
                <c:pt idx="14">
                  <c:v>0.28735632183908044</c:v>
                </c:pt>
                <c:pt idx="15">
                  <c:v>0.22727272727272727</c:v>
                </c:pt>
                <c:pt idx="16">
                  <c:v>0.17921146953405018</c:v>
                </c:pt>
                <c:pt idx="17">
                  <c:v>0.14164305949008499</c:v>
                </c:pt>
                <c:pt idx="18">
                  <c:v>0.11210762331838565</c:v>
                </c:pt>
                <c:pt idx="19">
                  <c:v>8.8652482269503549E-2</c:v>
                </c:pt>
                <c:pt idx="20">
                  <c:v>7.0323488045007029E-2</c:v>
                </c:pt>
                <c:pt idx="21">
                  <c:v>5.5803571428571432E-2</c:v>
                </c:pt>
                <c:pt idx="22">
                  <c:v>4.4286979627989373E-2</c:v>
                </c:pt>
                <c:pt idx="23">
                  <c:v>3.5161744022503515E-2</c:v>
                </c:pt>
                <c:pt idx="24">
                  <c:v>2.7948574622694244E-2</c:v>
                </c:pt>
                <c:pt idx="25">
                  <c:v>2.2212350066637049E-2</c:v>
                </c:pt>
                <c:pt idx="26">
                  <c:v>1.7674089784376106E-2</c:v>
                </c:pt>
                <c:pt idx="27">
                  <c:v>1.40607424071991E-2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7C1-B943-A62D-5A05E1D3916B}"/>
            </c:ext>
          </c:extLst>
        </c:ser>
        <c:ser>
          <c:idx val="4"/>
          <c:order val="4"/>
          <c:tx>
            <c:strRef>
              <c:f>Paper_Example_Figure!$A$30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Paper_Example_Figure!$B$25:$AC$25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Paper_Example_Figure!$B$30:$AC$30</c:f>
              <c:numCache>
                <c:formatCode>0.000</c:formatCode>
                <c:ptCount val="28"/>
                <c:pt idx="0">
                  <c:v>6.25</c:v>
                </c:pt>
                <c:pt idx="1">
                  <c:v>3.8461538461538463</c:v>
                </c:pt>
                <c:pt idx="2">
                  <c:v>2.5</c:v>
                </c:pt>
                <c:pt idx="3">
                  <c:v>1.6666666666666667</c:v>
                </c:pt>
                <c:pt idx="4">
                  <c:v>1.1111111111111112</c:v>
                </c:pt>
                <c:pt idx="5">
                  <c:v>0.73529411764705888</c:v>
                </c:pt>
                <c:pt idx="6">
                  <c:v>0.5</c:v>
                </c:pt>
                <c:pt idx="7">
                  <c:v>0.3401360544217687</c:v>
                </c:pt>
                <c:pt idx="8">
                  <c:v>0.23364485981308411</c:v>
                </c:pt>
                <c:pt idx="9">
                  <c:v>0.16025641025641027</c:v>
                </c:pt>
                <c:pt idx="10">
                  <c:v>0.11061946902654868</c:v>
                </c:pt>
                <c:pt idx="11">
                  <c:v>7.6569678407350683E-2</c:v>
                </c:pt>
                <c:pt idx="12">
                  <c:v>5.3078556263269641E-2</c:v>
                </c:pt>
                <c:pt idx="13">
                  <c:v>3.6900369003690037E-2</c:v>
                </c:pt>
                <c:pt idx="14">
                  <c:v>2.5680534155110426E-2</c:v>
                </c:pt>
                <c:pt idx="15">
                  <c:v>1.7908309455587391E-2</c:v>
                </c:pt>
                <c:pt idx="16">
                  <c:v>1.2503125781445362E-2</c:v>
                </c:pt>
                <c:pt idx="17">
                  <c:v>8.7412587412587419E-3</c:v>
                </c:pt>
                <c:pt idx="18">
                  <c:v>6.1162079510703364E-3</c:v>
                </c:pt>
                <c:pt idx="19">
                  <c:v>4.2841230400137093E-3</c:v>
                </c:pt>
                <c:pt idx="20">
                  <c:v>3.0031833743768394E-3</c:v>
                </c:pt>
                <c:pt idx="21">
                  <c:v>2.1068599359514578E-3</c:v>
                </c:pt>
                <c:pt idx="22">
                  <c:v>1.4789398958826314E-3</c:v>
                </c:pt>
                <c:pt idx="23">
                  <c:v>1.0387883572600919E-3</c:v>
                </c:pt>
                <c:pt idx="24">
                  <c:v>7.300229227197734E-4</c:v>
                </c:pt>
                <c:pt idx="25">
                  <c:v>5.132679772109018E-4</c:v>
                </c:pt>
                <c:pt idx="26">
                  <c:v>3.610290772818843E-4</c:v>
                </c:pt>
                <c:pt idx="27">
                  <c:v>2.5404180511945048E-4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7C1-B943-A62D-5A05E1D3916B}"/>
            </c:ext>
          </c:extLst>
        </c:ser>
        <c:ser>
          <c:idx val="5"/>
          <c:order val="5"/>
          <c:tx>
            <c:strRef>
              <c:f>Paper_Example_Figure!$A$31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Paper_Example_Figure!$B$25:$AC$25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Paper_Example_Figure!$B$31:$AC$31</c:f>
              <c:numCache>
                <c:formatCode>0.000</c:formatCode>
                <c:ptCount val="28"/>
                <c:pt idx="7">
                  <c:v>0.38461538461538464</c:v>
                </c:pt>
                <c:pt idx="8">
                  <c:v>0.23474178403755869</c:v>
                </c:pt>
                <c:pt idx="9">
                  <c:v>0.14409221902017291</c:v>
                </c:pt>
                <c:pt idx="10">
                  <c:v>8.8495575221238937E-2</c:v>
                </c:pt>
                <c:pt idx="11">
                  <c:v>5.4525627044711013E-2</c:v>
                </c:pt>
                <c:pt idx="12">
                  <c:v>3.3692722371967652E-2</c:v>
                </c:pt>
                <c:pt idx="13">
                  <c:v>2.0868113522537562E-2</c:v>
                </c:pt>
                <c:pt idx="14">
                  <c:v>1.2939958592132506E-2</c:v>
                </c:pt>
                <c:pt idx="15">
                  <c:v>8.0398777938575326E-3</c:v>
                </c:pt>
                <c:pt idx="16">
                  <c:v>5.0010002000400082E-3</c:v>
                </c:pt>
                <c:pt idx="17">
                  <c:v>3.1146826138416495E-3</c:v>
                </c:pt>
                <c:pt idx="18">
                  <c:v>1.9418229834168316E-3</c:v>
                </c:pt>
                <c:pt idx="19">
                  <c:v>1.211709965102753E-3</c:v>
                </c:pt>
                <c:pt idx="20">
                  <c:v>7.5676166548107335E-4</c:v>
                </c:pt>
                <c:pt idx="21">
                  <c:v>4.7296082938411041E-4</c:v>
                </c:pt>
                <c:pt idx="22">
                  <c:v>2.9578797917652626E-4</c:v>
                </c:pt>
                <c:pt idx="23">
                  <c:v>1.8509126850449958E-4</c:v>
                </c:pt>
                <c:pt idx="24">
                  <c:v>1.1588291190581037E-4</c:v>
                </c:pt>
                <c:pt idx="25">
                  <c:v>7.2586955543393203E-5</c:v>
                </c:pt>
                <c:pt idx="26">
                  <c:v>4.5486510065709814E-5</c:v>
                </c:pt>
                <c:pt idx="27">
                  <c:v>2.8515115292314148E-5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7C1-B943-A62D-5A05E1D3916B}"/>
            </c:ext>
          </c:extLst>
        </c:ser>
        <c:ser>
          <c:idx val="6"/>
          <c:order val="6"/>
          <c:tx>
            <c:strRef>
              <c:f>Paper_Example_Figure!$A$32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Paper_Example_Figure!$B$25:$AC$25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Paper_Example_Figure!$B$32:$AC$32</c:f>
              <c:numCache>
                <c:formatCode>General</c:formatCode>
                <c:ptCount val="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7C1-B943-A62D-5A05E1D3916B}"/>
            </c:ext>
          </c:extLst>
        </c:ser>
        <c:ser>
          <c:idx val="7"/>
          <c:order val="7"/>
          <c:tx>
            <c:strRef>
              <c:f>Paper_Example_Figure!$A$33</c:f>
              <c:strCache>
                <c:ptCount val="1"/>
                <c:pt idx="0">
                  <c:v>UseCase 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Paper_Example_Figure!$B$25:$AC$25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Paper_Example_Figure!$B$33:$AC$33</c:f>
              <c:numCache>
                <c:formatCode>General</c:formatCode>
                <c:ptCount val="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7C1-B943-A62D-5A05E1D3916B}"/>
            </c:ext>
          </c:extLst>
        </c:ser>
        <c:ser>
          <c:idx val="8"/>
          <c:order val="8"/>
          <c:tx>
            <c:strRef>
              <c:f>Paper_Example_Figure!$A$34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Paper_Example_Figure!$B$25:$AC$25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Paper_Example_Figure!$B$34:$AC$34</c:f>
              <c:numCache>
                <c:formatCode>0.000</c:formatCode>
                <c:ptCount val="28"/>
                <c:pt idx="2">
                  <c:v>100</c:v>
                </c:pt>
                <c:pt idx="3">
                  <c:v>40</c:v>
                </c:pt>
                <c:pt idx="4">
                  <c:v>22.222000000000001</c:v>
                </c:pt>
                <c:pt idx="5">
                  <c:v>12.5</c:v>
                </c:pt>
                <c:pt idx="6">
                  <c:v>7.407</c:v>
                </c:pt>
                <c:pt idx="7">
                  <c:v>4.6509999999999998</c:v>
                </c:pt>
                <c:pt idx="8">
                  <c:v>2.9849999999999999</c:v>
                </c:pt>
                <c:pt idx="9">
                  <c:v>1.9610000000000001</c:v>
                </c:pt>
                <c:pt idx="10">
                  <c:v>1.2989999999999999</c:v>
                </c:pt>
                <c:pt idx="11">
                  <c:v>0.877</c:v>
                </c:pt>
                <c:pt idx="12">
                  <c:v>0.59299999999999997</c:v>
                </c:pt>
                <c:pt idx="13">
                  <c:v>0.40400000000000003</c:v>
                </c:pt>
                <c:pt idx="14">
                  <c:v>0.27700000000000002</c:v>
                </c:pt>
                <c:pt idx="15">
                  <c:v>0.191</c:v>
                </c:pt>
                <c:pt idx="16">
                  <c:v>0.13200000000000001</c:v>
                </c:pt>
                <c:pt idx="17">
                  <c:v>9.0999999999999998E-2</c:v>
                </c:pt>
                <c:pt idx="18">
                  <c:v>6.3E-2</c:v>
                </c:pt>
                <c:pt idx="19">
                  <c:v>4.3999999999999997E-2</c:v>
                </c:pt>
                <c:pt idx="20">
                  <c:v>3.1E-2</c:v>
                </c:pt>
                <c:pt idx="21">
                  <c:v>2.1000000000000001E-2</c:v>
                </c:pt>
                <c:pt idx="22">
                  <c:v>1.4999999999999999E-2</c:v>
                </c:pt>
                <c:pt idx="23">
                  <c:v>1.0999999999999999E-2</c:v>
                </c:pt>
                <c:pt idx="24">
                  <c:v>7.0000000000000001E-3</c:v>
                </c:pt>
                <c:pt idx="25">
                  <c:v>5.0000000000000001E-3</c:v>
                </c:pt>
                <c:pt idx="26">
                  <c:v>4.0000000000000001E-3</c:v>
                </c:pt>
                <c:pt idx="27">
                  <c:v>3.0000000000000001E-3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7C1-B943-A62D-5A05E1D3916B}"/>
            </c:ext>
          </c:extLst>
        </c:ser>
        <c:ser>
          <c:idx val="9"/>
          <c:order val="9"/>
          <c:tx>
            <c:strRef>
              <c:f>Paper_Example_Figure!$A$35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Paper_Example_Figure!$B$25:$AC$25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Paper_Example_Figure!$B$35:$AC$35</c:f>
              <c:numCache>
                <c:formatCode>0.000</c:formatCode>
                <c:ptCount val="28"/>
                <c:pt idx="1">
                  <c:v>200</c:v>
                </c:pt>
                <c:pt idx="2">
                  <c:v>25</c:v>
                </c:pt>
                <c:pt idx="3">
                  <c:v>11.111000000000001</c:v>
                </c:pt>
                <c:pt idx="4">
                  <c:v>5.7140000000000004</c:v>
                </c:pt>
                <c:pt idx="5">
                  <c:v>3.2789999999999999</c:v>
                </c:pt>
                <c:pt idx="6">
                  <c:v>1.98</c:v>
                </c:pt>
                <c:pt idx="7">
                  <c:v>1.22</c:v>
                </c:pt>
                <c:pt idx="8">
                  <c:v>0.76900000000000002</c:v>
                </c:pt>
                <c:pt idx="9">
                  <c:v>0.496</c:v>
                </c:pt>
                <c:pt idx="10">
                  <c:v>0.32500000000000001</c:v>
                </c:pt>
                <c:pt idx="11">
                  <c:v>0.215</c:v>
                </c:pt>
                <c:pt idx="12">
                  <c:v>0.14299999999999999</c:v>
                </c:pt>
                <c:pt idx="13">
                  <c:v>9.6000000000000002E-2</c:v>
                </c:pt>
                <c:pt idx="14">
                  <c:v>6.4000000000000001E-2</c:v>
                </c:pt>
                <c:pt idx="15">
                  <c:v>4.2999999999999997E-2</c:v>
                </c:pt>
                <c:pt idx="16">
                  <c:v>2.9000000000000001E-2</c:v>
                </c:pt>
                <c:pt idx="17">
                  <c:v>0.02</c:v>
                </c:pt>
                <c:pt idx="18">
                  <c:v>1.4E-2</c:v>
                </c:pt>
                <c:pt idx="19">
                  <c:v>8.9999999999999993E-3</c:v>
                </c:pt>
                <c:pt idx="20">
                  <c:v>6.0000000000000001E-3</c:v>
                </c:pt>
                <c:pt idx="21">
                  <c:v>4.0000000000000001E-3</c:v>
                </c:pt>
                <c:pt idx="22">
                  <c:v>3.0000000000000001E-3</c:v>
                </c:pt>
                <c:pt idx="23">
                  <c:v>2E-3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7C1-B943-A62D-5A05E1D3916B}"/>
            </c:ext>
          </c:extLst>
        </c:ser>
        <c:ser>
          <c:idx val="10"/>
          <c:order val="10"/>
          <c:tx>
            <c:strRef>
              <c:f>Paper_Example_Figure!$A$36</c:f>
              <c:strCache>
                <c:ptCount val="1"/>
                <c:pt idx="0">
                  <c:v>FPGA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Paper_Example_Figure!$B$25:$AC$25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Paper_Example_Figure!$B$36:$AC$36</c:f>
              <c:numCache>
                <c:formatCode>0.000</c:formatCode>
                <c:ptCount val="28"/>
                <c:pt idx="1">
                  <c:v>100</c:v>
                </c:pt>
                <c:pt idx="2">
                  <c:v>22.222000000000001</c:v>
                </c:pt>
                <c:pt idx="3">
                  <c:v>11.111000000000001</c:v>
                </c:pt>
                <c:pt idx="4">
                  <c:v>6.8970000000000002</c:v>
                </c:pt>
                <c:pt idx="5">
                  <c:v>4.444</c:v>
                </c:pt>
                <c:pt idx="6">
                  <c:v>3.077</c:v>
                </c:pt>
                <c:pt idx="7">
                  <c:v>2.198</c:v>
                </c:pt>
                <c:pt idx="8">
                  <c:v>1.587</c:v>
                </c:pt>
                <c:pt idx="9">
                  <c:v>1.1830000000000001</c:v>
                </c:pt>
                <c:pt idx="10">
                  <c:v>0.88900000000000001</c:v>
                </c:pt>
                <c:pt idx="11">
                  <c:v>0.67800000000000005</c:v>
                </c:pt>
                <c:pt idx="12">
                  <c:v>0.51800000000000002</c:v>
                </c:pt>
                <c:pt idx="13">
                  <c:v>0.4</c:v>
                </c:pt>
                <c:pt idx="14">
                  <c:v>0.31</c:v>
                </c:pt>
                <c:pt idx="15">
                  <c:v>0.24099999999999999</c:v>
                </c:pt>
                <c:pt idx="16">
                  <c:v>0.188</c:v>
                </c:pt>
                <c:pt idx="17">
                  <c:v>0.14799999999999999</c:v>
                </c:pt>
                <c:pt idx="18">
                  <c:v>0.11600000000000001</c:v>
                </c:pt>
                <c:pt idx="19">
                  <c:v>9.0999999999999998E-2</c:v>
                </c:pt>
                <c:pt idx="20">
                  <c:v>7.1999999999999995E-2</c:v>
                </c:pt>
                <c:pt idx="21">
                  <c:v>5.7000000000000002E-2</c:v>
                </c:pt>
                <c:pt idx="22">
                  <c:v>4.4999999999999998E-2</c:v>
                </c:pt>
                <c:pt idx="23">
                  <c:v>3.5999999999999997E-2</c:v>
                </c:pt>
                <c:pt idx="24">
                  <c:v>2.8000000000000001E-2</c:v>
                </c:pt>
                <c:pt idx="25">
                  <c:v>2.1999999999999999E-2</c:v>
                </c:pt>
                <c:pt idx="26">
                  <c:v>1.7999999999999999E-2</c:v>
                </c:pt>
                <c:pt idx="27">
                  <c:v>1.4E-2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7C1-B943-A62D-5A05E1D3916B}"/>
            </c:ext>
          </c:extLst>
        </c:ser>
        <c:ser>
          <c:idx val="11"/>
          <c:order val="11"/>
          <c:tx>
            <c:strRef>
              <c:f>Paper_Example_Figure!$A$37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Paper_Example_Figure!$B$25:$AC$25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Paper_Example_Figure!$B$37:$AC$37</c:f>
              <c:numCache>
                <c:formatCode>0.000</c:formatCode>
                <c:ptCount val="28"/>
                <c:pt idx="1">
                  <c:v>40</c:v>
                </c:pt>
                <c:pt idx="2">
                  <c:v>8.6959999999999997</c:v>
                </c:pt>
                <c:pt idx="3">
                  <c:v>3.8460000000000001</c:v>
                </c:pt>
                <c:pt idx="4">
                  <c:v>2.0619999999999998</c:v>
                </c:pt>
                <c:pt idx="5">
                  <c:v>1.198</c:v>
                </c:pt>
                <c:pt idx="6">
                  <c:v>0.73</c:v>
                </c:pt>
                <c:pt idx="7">
                  <c:v>0.46200000000000002</c:v>
                </c:pt>
                <c:pt idx="8">
                  <c:v>0.29599999999999999</c:v>
                </c:pt>
                <c:pt idx="9">
                  <c:v>0.19500000000000001</c:v>
                </c:pt>
                <c:pt idx="10">
                  <c:v>0.13</c:v>
                </c:pt>
                <c:pt idx="11">
                  <c:v>8.6999999999999994E-2</c:v>
                </c:pt>
                <c:pt idx="12">
                  <c:v>5.8999999999999997E-2</c:v>
                </c:pt>
                <c:pt idx="13">
                  <c:v>0.04</c:v>
                </c:pt>
                <c:pt idx="14">
                  <c:v>2.8000000000000001E-2</c:v>
                </c:pt>
                <c:pt idx="15">
                  <c:v>1.9E-2</c:v>
                </c:pt>
                <c:pt idx="16">
                  <c:v>1.2999999999999999E-2</c:v>
                </c:pt>
                <c:pt idx="17">
                  <c:v>8.9999999999999993E-3</c:v>
                </c:pt>
                <c:pt idx="18">
                  <c:v>6.0000000000000001E-3</c:v>
                </c:pt>
                <c:pt idx="19">
                  <c:v>4.0000000000000001E-3</c:v>
                </c:pt>
                <c:pt idx="20">
                  <c:v>3.0000000000000001E-3</c:v>
                </c:pt>
                <c:pt idx="21">
                  <c:v>2E-3</c:v>
                </c:pt>
                <c:pt idx="22">
                  <c:v>2E-3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7C1-B943-A62D-5A05E1D3916B}"/>
            </c:ext>
          </c:extLst>
        </c:ser>
        <c:ser>
          <c:idx val="12"/>
          <c:order val="12"/>
          <c:tx>
            <c:strRef>
              <c:f>Paper_Example_Figure!$A$38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Paper_Example_Figure!$B$25:$AC$25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Paper_Example_Figure!$B$38:$AC$38</c:f>
              <c:numCache>
                <c:formatCode>0.000</c:formatCode>
                <c:ptCount val="28"/>
                <c:pt idx="7">
                  <c:v>0.52200000000000002</c:v>
                </c:pt>
                <c:pt idx="8">
                  <c:v>0.29899999999999999</c:v>
                </c:pt>
                <c:pt idx="9">
                  <c:v>0.17499999999999999</c:v>
                </c:pt>
                <c:pt idx="10">
                  <c:v>0.104</c:v>
                </c:pt>
                <c:pt idx="11">
                  <c:v>6.2E-2</c:v>
                </c:pt>
                <c:pt idx="12">
                  <c:v>3.7999999999999999E-2</c:v>
                </c:pt>
                <c:pt idx="13">
                  <c:v>2.3E-2</c:v>
                </c:pt>
                <c:pt idx="14">
                  <c:v>1.4E-2</c:v>
                </c:pt>
                <c:pt idx="15">
                  <c:v>8.9999999999999993E-3</c:v>
                </c:pt>
                <c:pt idx="16">
                  <c:v>5.0000000000000001E-3</c:v>
                </c:pt>
                <c:pt idx="17">
                  <c:v>3.0000000000000001E-3</c:v>
                </c:pt>
                <c:pt idx="18">
                  <c:v>2E-3</c:v>
                </c:pt>
                <c:pt idx="19">
                  <c:v>1E-3</c:v>
                </c:pt>
                <c:pt idx="20">
                  <c:v>1E-3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7C1-B943-A62D-5A05E1D3916B}"/>
            </c:ext>
          </c:extLst>
        </c:ser>
        <c:ser>
          <c:idx val="13"/>
          <c:order val="13"/>
          <c:tx>
            <c:strRef>
              <c:f>Paper_Example_Figure!$A$39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Paper_Example_Figure!$B$25:$AC$25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Paper_Example_Figure!$B$39:$AC$39</c:f>
              <c:numCache>
                <c:formatCode>General</c:formatCode>
                <c:ptCount val="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7C1-B943-A62D-5A05E1D3916B}"/>
            </c:ext>
          </c:extLst>
        </c:ser>
        <c:ser>
          <c:idx val="14"/>
          <c:order val="14"/>
          <c:tx>
            <c:strRef>
              <c:f>Paper_Example_Figure!$A$40</c:f>
              <c:strCache>
                <c:ptCount val="1"/>
                <c:pt idx="0">
                  <c:v>UseCase3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Paper_Example_Figure!$B$25:$AC$25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Paper_Example_Figure!$B$40:$AC$40</c:f>
              <c:numCache>
                <c:formatCode>General</c:formatCode>
                <c:ptCount val="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7C1-B943-A62D-5A05E1D3916B}"/>
            </c:ext>
          </c:extLst>
        </c:ser>
        <c:ser>
          <c:idx val="15"/>
          <c:order val="15"/>
          <c:tx>
            <c:strRef>
              <c:f>Paper_Example_Figure!$A$41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Paper_Example_Figure!$B$25:$AC$25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Paper_Example_Figure!$B$41:$AC$41</c:f>
              <c:numCache>
                <c:formatCode>0.000</c:formatCode>
                <c:ptCount val="28"/>
                <c:pt idx="8">
                  <c:v>3</c:v>
                </c:pt>
                <c:pt idx="9">
                  <c:v>3</c:v>
                </c:pt>
                <c:pt idx="10">
                  <c:v>1.5</c:v>
                </c:pt>
                <c:pt idx="11">
                  <c:v>1</c:v>
                </c:pt>
                <c:pt idx="12">
                  <c:v>0.6</c:v>
                </c:pt>
                <c:pt idx="13">
                  <c:v>0.42857142857142855</c:v>
                </c:pt>
                <c:pt idx="14">
                  <c:v>0.3</c:v>
                </c:pt>
                <c:pt idx="15">
                  <c:v>0.2</c:v>
                </c:pt>
                <c:pt idx="16">
                  <c:v>0.13636363636363635</c:v>
                </c:pt>
                <c:pt idx="17">
                  <c:v>9.6774193548387094E-2</c:v>
                </c:pt>
                <c:pt idx="18">
                  <c:v>6.6666666666666666E-2</c:v>
                </c:pt>
                <c:pt idx="19">
                  <c:v>4.6153846153846156E-2</c:v>
                </c:pt>
                <c:pt idx="20">
                  <c:v>3.2258064516129031E-2</c:v>
                </c:pt>
                <c:pt idx="21">
                  <c:v>2.2727272727272728E-2</c:v>
                </c:pt>
                <c:pt idx="22">
                  <c:v>1.5873015873015872E-2</c:v>
                </c:pt>
                <c:pt idx="23">
                  <c:v>1.1152416356877323E-2</c:v>
                </c:pt>
                <c:pt idx="24">
                  <c:v>7.8534031413612562E-3</c:v>
                </c:pt>
                <c:pt idx="25">
                  <c:v>5.5248618784530384E-3</c:v>
                </c:pt>
                <c:pt idx="26">
                  <c:v>3.8860103626943004E-3</c:v>
                </c:pt>
                <c:pt idx="27">
                  <c:v>2.7347310847766638E-3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7C1-B943-A62D-5A05E1D3916B}"/>
            </c:ext>
          </c:extLst>
        </c:ser>
        <c:ser>
          <c:idx val="16"/>
          <c:order val="16"/>
          <c:tx>
            <c:strRef>
              <c:f>Paper_Example_Figure!$A$42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Paper_Example_Figure!$B$25:$AC$25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Paper_Example_Figure!$B$42:$AC$42</c:f>
              <c:numCache>
                <c:formatCode>0.000</c:formatCode>
                <c:ptCount val="28"/>
                <c:pt idx="5">
                  <c:v>3</c:v>
                </c:pt>
                <c:pt idx="6">
                  <c:v>3</c:v>
                </c:pt>
                <c:pt idx="7">
                  <c:v>1.5</c:v>
                </c:pt>
                <c:pt idx="8">
                  <c:v>0.75</c:v>
                </c:pt>
                <c:pt idx="9">
                  <c:v>0.5</c:v>
                </c:pt>
                <c:pt idx="10">
                  <c:v>0.33333333333333331</c:v>
                </c:pt>
                <c:pt idx="11">
                  <c:v>0.21428571428571427</c:v>
                </c:pt>
                <c:pt idx="12">
                  <c:v>0.14285714285714285</c:v>
                </c:pt>
                <c:pt idx="13">
                  <c:v>9.6774193548387094E-2</c:v>
                </c:pt>
                <c:pt idx="14">
                  <c:v>6.5217391304347824E-2</c:v>
                </c:pt>
                <c:pt idx="15">
                  <c:v>4.4117647058823532E-2</c:v>
                </c:pt>
                <c:pt idx="16">
                  <c:v>3.0303030303030304E-2</c:v>
                </c:pt>
                <c:pt idx="17">
                  <c:v>2.0689655172413793E-2</c:v>
                </c:pt>
                <c:pt idx="18">
                  <c:v>1.4218009478672985E-2</c:v>
                </c:pt>
                <c:pt idx="19">
                  <c:v>9.74025974025974E-3</c:v>
                </c:pt>
                <c:pt idx="20">
                  <c:v>6.7114093959731542E-3</c:v>
                </c:pt>
                <c:pt idx="21">
                  <c:v>4.6224961479198771E-3</c:v>
                </c:pt>
                <c:pt idx="22">
                  <c:v>3.1847133757961785E-3</c:v>
                </c:pt>
                <c:pt idx="23">
                  <c:v>2.1994134897360706E-3</c:v>
                </c:pt>
                <c:pt idx="24">
                  <c:v>1.5182186234817814E-3</c:v>
                </c:pt>
                <c:pt idx="25">
                  <c:v>1.048951048951049E-3</c:v>
                </c:pt>
                <c:pt idx="26">
                  <c:v>7.2498791686805215E-4</c:v>
                </c:pt>
                <c:pt idx="27">
                  <c:v>5.0133689839572198E-4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7C1-B943-A62D-5A05E1D3916B}"/>
            </c:ext>
          </c:extLst>
        </c:ser>
        <c:ser>
          <c:idx val="17"/>
          <c:order val="17"/>
          <c:tx>
            <c:strRef>
              <c:f>Paper_Example_Figure!$A$43</c:f>
              <c:strCache>
                <c:ptCount val="1"/>
                <c:pt idx="0">
                  <c:v>FPGA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Paper_Example_Figure!$B$25:$AC$25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Paper_Example_Figure!$B$43:$AC$43</c:f>
              <c:numCache>
                <c:formatCode>0.000</c:formatCode>
                <c:ptCount val="28"/>
                <c:pt idx="6">
                  <c:v>3</c:v>
                </c:pt>
                <c:pt idx="7">
                  <c:v>3</c:v>
                </c:pt>
                <c:pt idx="8">
                  <c:v>1.5</c:v>
                </c:pt>
                <c:pt idx="9">
                  <c:v>1.5</c:v>
                </c:pt>
                <c:pt idx="10">
                  <c:v>1</c:v>
                </c:pt>
                <c:pt idx="11">
                  <c:v>0.75</c:v>
                </c:pt>
                <c:pt idx="12">
                  <c:v>0.6</c:v>
                </c:pt>
                <c:pt idx="13">
                  <c:v>0.42857142857142855</c:v>
                </c:pt>
                <c:pt idx="14">
                  <c:v>0.33333333333333331</c:v>
                </c:pt>
                <c:pt idx="15">
                  <c:v>0.25</c:v>
                </c:pt>
                <c:pt idx="16">
                  <c:v>0.2</c:v>
                </c:pt>
                <c:pt idx="17">
                  <c:v>0.15789473684210525</c:v>
                </c:pt>
                <c:pt idx="18">
                  <c:v>0.12</c:v>
                </c:pt>
                <c:pt idx="19">
                  <c:v>9.6774193548387094E-2</c:v>
                </c:pt>
                <c:pt idx="20">
                  <c:v>7.6923076923076927E-2</c:v>
                </c:pt>
                <c:pt idx="21">
                  <c:v>0.06</c:v>
                </c:pt>
                <c:pt idx="22">
                  <c:v>4.7619047619047616E-2</c:v>
                </c:pt>
                <c:pt idx="23">
                  <c:v>3.7974683544303799E-2</c:v>
                </c:pt>
                <c:pt idx="24">
                  <c:v>0.03</c:v>
                </c:pt>
                <c:pt idx="25">
                  <c:v>2.4E-2</c:v>
                </c:pt>
                <c:pt idx="26">
                  <c:v>1.9108280254777069E-2</c:v>
                </c:pt>
                <c:pt idx="27">
                  <c:v>1.5151515151515152E-2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7C1-B943-A62D-5A05E1D3916B}"/>
            </c:ext>
          </c:extLst>
        </c:ser>
        <c:ser>
          <c:idx val="18"/>
          <c:order val="18"/>
          <c:tx>
            <c:strRef>
              <c:f>Paper_Example_Figure!$A$44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Paper_Example_Figure!$B$25:$AC$25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Paper_Example_Figure!$B$44:$AC$44</c:f>
              <c:numCache>
                <c:formatCode>0.000</c:formatCode>
                <c:ptCount val="28"/>
                <c:pt idx="4">
                  <c:v>3</c:v>
                </c:pt>
                <c:pt idx="5">
                  <c:v>1.5</c:v>
                </c:pt>
                <c:pt idx="6">
                  <c:v>0.75</c:v>
                </c:pt>
                <c:pt idx="7">
                  <c:v>0.5</c:v>
                </c:pt>
                <c:pt idx="8">
                  <c:v>0.3</c:v>
                </c:pt>
                <c:pt idx="9">
                  <c:v>0.1875</c:v>
                </c:pt>
                <c:pt idx="10">
                  <c:v>0.13043478260869565</c:v>
                </c:pt>
                <c:pt idx="11">
                  <c:v>8.5714285714285715E-2</c:v>
                </c:pt>
                <c:pt idx="12">
                  <c:v>5.8823529411764705E-2</c:v>
                </c:pt>
                <c:pt idx="13">
                  <c:v>4.0540540540540543E-2</c:v>
                </c:pt>
                <c:pt idx="14">
                  <c:v>2.8037383177570093E-2</c:v>
                </c:pt>
                <c:pt idx="15">
                  <c:v>1.935483870967742E-2</c:v>
                </c:pt>
                <c:pt idx="16">
                  <c:v>1.3452914798206279E-2</c:v>
                </c:pt>
                <c:pt idx="17">
                  <c:v>9.4043887147335428E-3</c:v>
                </c:pt>
                <c:pt idx="18">
                  <c:v>6.5645514223194746E-3</c:v>
                </c:pt>
                <c:pt idx="19">
                  <c:v>4.5941807044410417E-3</c:v>
                </c:pt>
                <c:pt idx="20">
                  <c:v>3.2188841201716738E-3</c:v>
                </c:pt>
                <c:pt idx="21">
                  <c:v>2.2590361445783132E-3</c:v>
                </c:pt>
                <c:pt idx="22">
                  <c:v>1.5856236786469344E-3</c:v>
                </c:pt>
                <c:pt idx="23">
                  <c:v>1.1148272017837235E-3</c:v>
                </c:pt>
                <c:pt idx="24">
                  <c:v>7.8390384112882151E-4</c:v>
                </c:pt>
                <c:pt idx="25">
                  <c:v>5.5157198014340876E-4</c:v>
                </c:pt>
                <c:pt idx="26">
                  <c:v>3.8829924928811802E-4</c:v>
                </c:pt>
                <c:pt idx="27">
                  <c:v>2.7342325920524973E-4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7C1-B943-A62D-5A05E1D3916B}"/>
            </c:ext>
          </c:extLst>
        </c:ser>
        <c:ser>
          <c:idx val="19"/>
          <c:order val="19"/>
          <c:tx>
            <c:strRef>
              <c:f>Paper_Example_Figure!$A$45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Paper_Example_Figure!$B$25:$AC$25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Paper_Example_Figure!$B$45:$AC$45</c:f>
              <c:numCache>
                <c:formatCode>0.000</c:formatCode>
                <c:ptCount val="28"/>
                <c:pt idx="7">
                  <c:v>0.5</c:v>
                </c:pt>
                <c:pt idx="8">
                  <c:v>0.3</c:v>
                </c:pt>
                <c:pt idx="9">
                  <c:v>0.17647058823529413</c:v>
                </c:pt>
                <c:pt idx="10">
                  <c:v>0.10344827586206896</c:v>
                </c:pt>
                <c:pt idx="11">
                  <c:v>6.1224489795918366E-2</c:v>
                </c:pt>
                <c:pt idx="12">
                  <c:v>3.7037037037037035E-2</c:v>
                </c:pt>
                <c:pt idx="13">
                  <c:v>2.2727272727272728E-2</c:v>
                </c:pt>
                <c:pt idx="14">
                  <c:v>1.4018691588785047E-2</c:v>
                </c:pt>
                <c:pt idx="15">
                  <c:v>8.670520231213872E-3</c:v>
                </c:pt>
                <c:pt idx="16">
                  <c:v>5.3859964093357273E-3</c:v>
                </c:pt>
                <c:pt idx="17">
                  <c:v>3.3482142857142855E-3</c:v>
                </c:pt>
                <c:pt idx="18">
                  <c:v>2.0804438280166435E-3</c:v>
                </c:pt>
                <c:pt idx="19">
                  <c:v>1.2975778546712802E-3</c:v>
                </c:pt>
                <c:pt idx="20">
                  <c:v>8.1059173196433392E-4</c:v>
                </c:pt>
                <c:pt idx="21">
                  <c:v>5.0684237202230106E-4</c:v>
                </c:pt>
                <c:pt idx="22">
                  <c:v>3.1712473572938687E-4</c:v>
                </c:pt>
                <c:pt idx="23">
                  <c:v>1.9858343814125901E-4</c:v>
                </c:pt>
                <c:pt idx="24">
                  <c:v>1.2442453651860148E-4</c:v>
                </c:pt>
                <c:pt idx="25">
                  <c:v>7.7999064011231872E-5</c:v>
                </c:pt>
                <c:pt idx="26">
                  <c:v>4.891729715627446E-5</c:v>
                </c:pt>
                <c:pt idx="27">
                  <c:v>3.0690851057299821E-5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7C1-B943-A62D-5A05E1D39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916223"/>
        <c:axId val="262380496"/>
      </c:scatterChart>
      <c:valAx>
        <c:axId val="2121916223"/>
        <c:scaling>
          <c:orientation val="minMax"/>
          <c:max val="20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262380496"/>
        <c:crosses val="autoZero"/>
        <c:crossBetween val="midCat"/>
      </c:valAx>
      <c:valAx>
        <c:axId val="262380496"/>
        <c:scaling>
          <c:logBase val="10"/>
          <c:orientation val="minMax"/>
          <c:max val="100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21219162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1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Euro/kW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Paper_Example_Figure!$A$3</c:f>
              <c:strCache>
                <c:ptCount val="1"/>
                <c:pt idx="0">
                  <c:v>UseCase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Paper_Example_Figure!$B$2:$AC$2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Paper_Example_Figure!$B$3:$AC$3</c:f>
              <c:numCache>
                <c:formatCode>General</c:formatCode>
                <c:ptCount val="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D2-B543-95DF-D591F7F2A294}"/>
            </c:ext>
          </c:extLst>
        </c:ser>
        <c:ser>
          <c:idx val="1"/>
          <c:order val="1"/>
          <c:tx>
            <c:strRef>
              <c:f>Paper_Example_Figure!$A$4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Paper_Example_Figure!$B$2:$AC$2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Paper_Example_Figure!$B$4:$AC$4</c:f>
              <c:numCache>
                <c:formatCode>0</c:formatCode>
                <c:ptCount val="28"/>
                <c:pt idx="0">
                  <c:v>190695.19595110673</c:v>
                </c:pt>
                <c:pt idx="1">
                  <c:v>176508.19068046196</c:v>
                </c:pt>
                <c:pt idx="2">
                  <c:v>163219.13831016666</c:v>
                </c:pt>
                <c:pt idx="3">
                  <c:v>150863.24882602584</c:v>
                </c:pt>
                <c:pt idx="4">
                  <c:v>139429.22358889983</c:v>
                </c:pt>
                <c:pt idx="5">
                  <c:v>129031.73046988677</c:v>
                </c:pt>
                <c:pt idx="6">
                  <c:v>119591.96482277304</c:v>
                </c:pt>
                <c:pt idx="7">
                  <c:v>110750.51609963883</c:v>
                </c:pt>
                <c:pt idx="8">
                  <c:v>102689.1743376478</c:v>
                </c:pt>
                <c:pt idx="9">
                  <c:v>95257.102189530415</c:v>
                </c:pt>
                <c:pt idx="10">
                  <c:v>88396.526850947906</c:v>
                </c:pt>
                <c:pt idx="11">
                  <c:v>82070.853525955099</c:v>
                </c:pt>
                <c:pt idx="12">
                  <c:v>76242.34218722026</c:v>
                </c:pt>
                <c:pt idx="13">
                  <c:v>70859.835706620885</c:v>
                </c:pt>
                <c:pt idx="14">
                  <c:v>65895.25505197703</c:v>
                </c:pt>
                <c:pt idx="15">
                  <c:v>61314.783491589049</c:v>
                </c:pt>
                <c:pt idx="16">
                  <c:v>57078.962031750467</c:v>
                </c:pt>
                <c:pt idx="17">
                  <c:v>53169.771265090851</c:v>
                </c:pt>
                <c:pt idx="18">
                  <c:v>49553.113733881357</c:v>
                </c:pt>
                <c:pt idx="19">
                  <c:v>46210.091536909858</c:v>
                </c:pt>
                <c:pt idx="20">
                  <c:v>43116.435721997463</c:v>
                </c:pt>
                <c:pt idx="21">
                  <c:v>40254.738639357856</c:v>
                </c:pt>
                <c:pt idx="22">
                  <c:v>37604.837603658627</c:v>
                </c:pt>
                <c:pt idx="23">
                  <c:v>35151.215531766778</c:v>
                </c:pt>
                <c:pt idx="24">
                  <c:v>32877.93334072073</c:v>
                </c:pt>
                <c:pt idx="25">
                  <c:v>30771.021476528898</c:v>
                </c:pt>
                <c:pt idx="26">
                  <c:v>28817.739111068338</c:v>
                </c:pt>
                <c:pt idx="27">
                  <c:v>27006.090342058211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D2-B543-95DF-D591F7F2A294}"/>
            </c:ext>
          </c:extLst>
        </c:ser>
        <c:ser>
          <c:idx val="2"/>
          <c:order val="2"/>
          <c:tx>
            <c:strRef>
              <c:f>Paper_Example_Figure!$A$5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Paper_Example_Figure!$B$2:$AC$2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Paper_Example_Figure!$B$5:$AC$5</c:f>
              <c:numCache>
                <c:formatCode>0</c:formatCode>
                <c:ptCount val="28"/>
                <c:pt idx="0">
                  <c:v>192194.91595110673</c:v>
                </c:pt>
                <c:pt idx="1">
                  <c:v>178069.60998791858</c:v>
                </c:pt>
                <c:pt idx="2">
                  <c:v>165122.1553536492</c:v>
                </c:pt>
                <c:pt idx="3">
                  <c:v>152829.32487236103</c:v>
                </c:pt>
                <c:pt idx="4">
                  <c:v>141934.08788434009</c:v>
                </c:pt>
                <c:pt idx="5">
                  <c:v>131811.95774784061</c:v>
                </c:pt>
                <c:pt idx="6">
                  <c:v>122688.36701595441</c:v>
                </c:pt>
                <c:pt idx="7">
                  <c:v>114238.05357909703</c:v>
                </c:pt>
                <c:pt idx="8">
                  <c:v>106550.72713378065</c:v>
                </c:pt>
                <c:pt idx="9">
                  <c:v>99548.242492018209</c:v>
                </c:pt>
                <c:pt idx="10">
                  <c:v>93142.156389210635</c:v>
                </c:pt>
                <c:pt idx="11">
                  <c:v>87341.3932947719</c:v>
                </c:pt>
                <c:pt idx="12">
                  <c:v>82061.77836863228</c:v>
                </c:pt>
                <c:pt idx="13">
                  <c:v>77264.654122031527</c:v>
                </c:pt>
                <c:pt idx="14">
                  <c:v>72963.160701142697</c:v>
                </c:pt>
                <c:pt idx="15">
                  <c:v>69086.700864721148</c:v>
                </c:pt>
                <c:pt idx="16">
                  <c:v>65637.488653435459</c:v>
                </c:pt>
                <c:pt idx="17">
                  <c:v>62591.247490616021</c:v>
                </c:pt>
                <c:pt idx="18">
                  <c:v>59924.56377237667</c:v>
                </c:pt>
                <c:pt idx="19">
                  <c:v>57624.515220613466</c:v>
                </c:pt>
                <c:pt idx="20">
                  <c:v>55685.080353302845</c:v>
                </c:pt>
                <c:pt idx="21">
                  <c:v>54097.155465325413</c:v>
                </c:pt>
                <c:pt idx="22">
                  <c:v>52854.113207159528</c:v>
                </c:pt>
                <c:pt idx="23">
                  <c:v>51956.344000817764</c:v>
                </c:pt>
                <c:pt idx="24">
                  <c:v>51404.661617353187</c:v>
                </c:pt>
                <c:pt idx="25">
                  <c:v>51203.898760630174</c:v>
                </c:pt>
                <c:pt idx="26">
                  <c:v>51361.822935136937</c:v>
                </c:pt>
                <c:pt idx="27">
                  <c:v>51890.084904469077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D2-B543-95DF-D591F7F2A294}"/>
            </c:ext>
          </c:extLst>
        </c:ser>
        <c:ser>
          <c:idx val="3"/>
          <c:order val="3"/>
          <c:tx>
            <c:strRef>
              <c:f>Paper_Example_Figure!$A$6</c:f>
              <c:strCache>
                <c:ptCount val="1"/>
                <c:pt idx="0">
                  <c:v>FPGA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Paper_Example_Figure!$B$2:$AC$2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Paper_Example_Figure!$B$6:$AC$6</c:f>
              <c:numCache>
                <c:formatCode>0</c:formatCode>
                <c:ptCount val="28"/>
                <c:pt idx="0">
                  <c:v>193404.15595110675</c:v>
                </c:pt>
                <c:pt idx="1">
                  <c:v>178357.71970879723</c:v>
                </c:pt>
                <c:pt idx="2">
                  <c:v>164871.2515858594</c:v>
                </c:pt>
                <c:pt idx="3">
                  <c:v>152582.11600963847</c:v>
                </c:pt>
                <c:pt idx="4">
                  <c:v>141278.26049800293</c:v>
                </c:pt>
                <c:pt idx="5">
                  <c:v>130688.34528007374</c:v>
                </c:pt>
                <c:pt idx="6">
                  <c:v>121051.66551864805</c:v>
                </c:pt>
                <c:pt idx="7">
                  <c:v>112117.81602621354</c:v>
                </c:pt>
                <c:pt idx="8">
                  <c:v>103898.99881934363</c:v>
                </c:pt>
                <c:pt idx="9">
                  <c:v>96309.613289918372</c:v>
                </c:pt>
                <c:pt idx="10">
                  <c:v>89354.649627493374</c:v>
                </c:pt>
                <c:pt idx="11">
                  <c:v>82914.641888292666</c:v>
                </c:pt>
                <c:pt idx="12">
                  <c:v>76982.42376021485</c:v>
                </c:pt>
                <c:pt idx="13">
                  <c:v>71524.039761246648</c:v>
                </c:pt>
                <c:pt idx="14">
                  <c:v>66475.678356372853</c:v>
                </c:pt>
                <c:pt idx="15">
                  <c:v>61810.36117106193</c:v>
                </c:pt>
                <c:pt idx="16">
                  <c:v>57509.983808845282</c:v>
                </c:pt>
                <c:pt idx="17">
                  <c:v>53535.796446281049</c:v>
                </c:pt>
                <c:pt idx="18">
                  <c:v>49862.923092613099</c:v>
                </c:pt>
                <c:pt idx="19">
                  <c:v>46470.757011343805</c:v>
                </c:pt>
                <c:pt idx="20">
                  <c:v>43330.49600066094</c:v>
                </c:pt>
                <c:pt idx="21">
                  <c:v>40426.205350908189</c:v>
                </c:pt>
                <c:pt idx="22">
                  <c:v>37739.447008691946</c:v>
                </c:pt>
                <c:pt idx="23">
                  <c:v>35252.549472496976</c:v>
                </c:pt>
                <c:pt idx="24">
                  <c:v>32948.673523128324</c:v>
                </c:pt>
                <c:pt idx="25">
                  <c:v>30815.215786203251</c:v>
                </c:pt>
                <c:pt idx="26">
                  <c:v>28837.016777669927</c:v>
                </c:pt>
                <c:pt idx="27">
                  <c:v>27003.798917901706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6D2-B543-95DF-D591F7F2A294}"/>
            </c:ext>
          </c:extLst>
        </c:ser>
        <c:ser>
          <c:idx val="4"/>
          <c:order val="4"/>
          <c:tx>
            <c:strRef>
              <c:f>Paper_Example_Figure!$A$7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Paper_Example_Figure!$B$2:$AC$2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Paper_Example_Figure!$B$7:$AC$7</c:f>
              <c:numCache>
                <c:formatCode>0</c:formatCode>
                <c:ptCount val="28"/>
                <c:pt idx="0">
                  <c:v>195692.15595110675</c:v>
                </c:pt>
                <c:pt idx="1">
                  <c:v>181627.93472189031</c:v>
                </c:pt>
                <c:pt idx="2">
                  <c:v>168584.68078549643</c:v>
                </c:pt>
                <c:pt idx="3">
                  <c:v>156551.51646449097</c:v>
                </c:pt>
                <c:pt idx="4">
                  <c:v>145567.81696245846</c:v>
                </c:pt>
                <c:pt idx="5">
                  <c:v>135594.53739404029</c:v>
                </c:pt>
                <c:pt idx="6">
                  <c:v>126286.78169044961</c:v>
                </c:pt>
                <c:pt idx="7">
                  <c:v>117759.6897834666</c:v>
                </c:pt>
                <c:pt idx="8">
                  <c:v>109868.38314613674</c:v>
                </c:pt>
                <c:pt idx="9">
                  <c:v>102641.08944886693</c:v>
                </c:pt>
                <c:pt idx="10">
                  <c:v>95955.613556518452</c:v>
                </c:pt>
                <c:pt idx="11">
                  <c:v>89790.450619772077</c:v>
                </c:pt>
                <c:pt idx="12">
                  <c:v>84111.123884271423</c:v>
                </c:pt>
                <c:pt idx="13">
                  <c:v>78862.886919915531</c:v>
                </c:pt>
                <c:pt idx="14">
                  <c:v>74024.186375594087</c:v>
                </c:pt>
                <c:pt idx="15">
                  <c:v>69551.400432191309</c:v>
                </c:pt>
                <c:pt idx="16">
                  <c:v>65420.749182450396</c:v>
                </c:pt>
                <c:pt idx="17">
                  <c:v>61601.642437898365</c:v>
                </c:pt>
                <c:pt idx="18">
                  <c:v>58073.059948689872</c:v>
                </c:pt>
                <c:pt idx="19">
                  <c:v>54808.247469801747</c:v>
                </c:pt>
                <c:pt idx="20">
                  <c:v>51788.151359698386</c:v>
                </c:pt>
                <c:pt idx="21">
                  <c:v>48992.759013509072</c:v>
                </c:pt>
                <c:pt idx="22">
                  <c:v>46405.302755827805</c:v>
                </c:pt>
                <c:pt idx="23">
                  <c:v>44008.859958545967</c:v>
                </c:pt>
                <c:pt idx="24">
                  <c:v>41788.603472483766</c:v>
                </c:pt>
                <c:pt idx="25">
                  <c:v>39731.13631196737</c:v>
                </c:pt>
                <c:pt idx="26">
                  <c:v>37823.60305504351</c:v>
                </c:pt>
                <c:pt idx="27">
                  <c:v>36054.635801720506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6D2-B543-95DF-D591F7F2A294}"/>
            </c:ext>
          </c:extLst>
        </c:ser>
        <c:ser>
          <c:idx val="5"/>
          <c:order val="5"/>
          <c:tx>
            <c:strRef>
              <c:f>Paper_Example_Figure!$A$8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Paper_Example_Figure!$B$2:$AC$2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Paper_Example_Figure!$B$8:$AC$8</c:f>
              <c:numCache>
                <c:formatCode>0</c:formatCode>
                <c:ptCount val="28"/>
                <c:pt idx="7">
                  <c:v>118802.66191772211</c:v>
                </c:pt>
                <c:pt idx="8">
                  <c:v>111578.31897012476</c:v>
                </c:pt>
                <c:pt idx="9">
                  <c:v>105084.07139467876</c:v>
                </c:pt>
                <c:pt idx="10">
                  <c:v>99331.836384841881</c:v>
                </c:pt>
                <c:pt idx="11">
                  <c:v>94257.755094573426</c:v>
                </c:pt>
                <c:pt idx="12">
                  <c:v>89834.586823931924</c:v>
                </c:pt>
                <c:pt idx="13">
                  <c:v>86045.351567900012</c:v>
                </c:pt>
                <c:pt idx="14">
                  <c:v>82892.310838987818</c:v>
                </c:pt>
                <c:pt idx="15">
                  <c:v>80350.729100931436</c:v>
                </c:pt>
                <c:pt idx="16">
                  <c:v>78432.384994616164</c:v>
                </c:pt>
                <c:pt idx="17">
                  <c:v>77136.993992924457</c:v>
                </c:pt>
                <c:pt idx="18">
                  <c:v>76479.282007439237</c:v>
                </c:pt>
                <c:pt idx="19">
                  <c:v>76477.997581547621</c:v>
                </c:pt>
                <c:pt idx="20">
                  <c:v>77157.530810381708</c:v>
                </c:pt>
                <c:pt idx="21">
                  <c:v>78553.611276498734</c:v>
                </c:pt>
                <c:pt idx="22">
                  <c:v>80706.70080697909</c:v>
                </c:pt>
                <c:pt idx="23">
                  <c:v>83668.483123547121</c:v>
                </c:pt>
                <c:pt idx="24">
                  <c:v>87499.048501099489</c:v>
                </c:pt>
                <c:pt idx="25">
                  <c:v>92269.357174675766</c:v>
                </c:pt>
                <c:pt idx="26">
                  <c:v>98062.159305855079</c:v>
                </c:pt>
                <c:pt idx="27">
                  <c:v>104972.68829022434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6D2-B543-95DF-D591F7F2A294}"/>
            </c:ext>
          </c:extLst>
        </c:ser>
        <c:ser>
          <c:idx val="6"/>
          <c:order val="6"/>
          <c:tx>
            <c:strRef>
              <c:f>Paper_Example_Figure!$A$9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Paper_Example_Figure!$B$2:$AC$2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Paper_Example_Figure!$B$9:$AC$9</c:f>
              <c:numCache>
                <c:formatCode>General</c:formatCode>
                <c:ptCount val="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6D2-B543-95DF-D591F7F2A294}"/>
            </c:ext>
          </c:extLst>
        </c:ser>
        <c:ser>
          <c:idx val="7"/>
          <c:order val="7"/>
          <c:tx>
            <c:strRef>
              <c:f>Paper_Example_Figure!$A$10</c:f>
              <c:strCache>
                <c:ptCount val="1"/>
                <c:pt idx="0">
                  <c:v>Use Case 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Paper_Example_Figure!$B$2:$AC$2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Paper_Example_Figure!$B$10:$AC$10</c:f>
              <c:numCache>
                <c:formatCode>General</c:formatCode>
                <c:ptCount val="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6D2-B543-95DF-D591F7F2A294}"/>
            </c:ext>
          </c:extLst>
        </c:ser>
        <c:ser>
          <c:idx val="8"/>
          <c:order val="8"/>
          <c:tx>
            <c:strRef>
              <c:f>Paper_Example_Figure!$A$11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Paper_Example_Figure!$B$2:$AC$2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Paper_Example_Figure!$B$11:$AC$11</c:f>
              <c:numCache>
                <c:formatCode>0</c:formatCode>
                <c:ptCount val="28"/>
                <c:pt idx="0">
                  <c:v>191739.56945110671</c:v>
                </c:pt>
                <c:pt idx="1">
                  <c:v>176559.66748150048</c:v>
                </c:pt>
                <c:pt idx="2">
                  <c:v>162918.82189045718</c:v>
                </c:pt>
                <c:pt idx="3">
                  <c:v>150415.9377877232</c:v>
                </c:pt>
                <c:pt idx="4">
                  <c:v>138924.74847582961</c:v>
                </c:pt>
                <c:pt idx="5">
                  <c:v>128426.61662905525</c:v>
                </c:pt>
                <c:pt idx="6">
                  <c:v>118803.91145753568</c:v>
                </c:pt>
                <c:pt idx="7">
                  <c:v>109957.40070997895</c:v>
                </c:pt>
                <c:pt idx="8">
                  <c:v>101286.56436931445</c:v>
                </c:pt>
                <c:pt idx="9">
                  <c:v>93862.26264220677</c:v>
                </c:pt>
                <c:pt idx="10">
                  <c:v>87037.730513695918</c:v>
                </c:pt>
                <c:pt idx="11">
                  <c:v>80747.309295854633</c:v>
                </c:pt>
                <c:pt idx="12">
                  <c:v>74960.989527813479</c:v>
                </c:pt>
                <c:pt idx="13">
                  <c:v>69630.398946866437</c:v>
                </c:pt>
                <c:pt idx="14">
                  <c:v>64714.989776300732</c:v>
                </c:pt>
                <c:pt idx="15">
                  <c:v>60182.454564731393</c:v>
                </c:pt>
                <c:pt idx="16">
                  <c:v>56000.909012921868</c:v>
                </c:pt>
                <c:pt idx="17">
                  <c:v>52141.185853683492</c:v>
                </c:pt>
                <c:pt idx="18">
                  <c:v>48576.479963358215</c:v>
                </c:pt>
                <c:pt idx="19">
                  <c:v>45283.140516096093</c:v>
                </c:pt>
                <c:pt idx="20">
                  <c:v>42239.476105570058</c:v>
                </c:pt>
                <c:pt idx="21">
                  <c:v>39424.919004843345</c:v>
                </c:pt>
                <c:pt idx="22">
                  <c:v>36821.337206223703</c:v>
                </c:pt>
                <c:pt idx="23">
                  <c:v>34411.728508138891</c:v>
                </c:pt>
                <c:pt idx="24">
                  <c:v>32180.875932524308</c:v>
                </c:pt>
                <c:pt idx="25">
                  <c:v>30114.524110042199</c:v>
                </c:pt>
                <c:pt idx="26">
                  <c:v>28199.791755959377</c:v>
                </c:pt>
                <c:pt idx="27">
                  <c:v>26424.866975605291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6D2-B543-95DF-D591F7F2A294}"/>
            </c:ext>
          </c:extLst>
        </c:ser>
        <c:ser>
          <c:idx val="9"/>
          <c:order val="9"/>
          <c:tx>
            <c:strRef>
              <c:f>Paper_Example_Figure!$A$12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Paper_Example_Figure!$B$2:$AC$2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Paper_Example_Figure!$B$12:$AC$12</c:f>
              <c:numCache>
                <c:formatCode>0</c:formatCode>
                <c:ptCount val="28"/>
                <c:pt idx="0">
                  <c:v>191739.56945110671</c:v>
                </c:pt>
                <c:pt idx="1">
                  <c:v>176695.80487285514</c:v>
                </c:pt>
                <c:pt idx="2">
                  <c:v>163493.59613414254</c:v>
                </c:pt>
                <c:pt idx="3">
                  <c:v>151331.32332544547</c:v>
                </c:pt>
                <c:pt idx="4">
                  <c:v>140281.08872022899</c:v>
                </c:pt>
                <c:pt idx="5">
                  <c:v>130164.64417198839</c:v>
                </c:pt>
                <c:pt idx="6">
                  <c:v>120924.98524176382</c:v>
                </c:pt>
                <c:pt idx="7">
                  <c:v>112533.42444649606</c:v>
                </c:pt>
                <c:pt idx="8">
                  <c:v>104342.00794575666</c:v>
                </c:pt>
                <c:pt idx="9">
                  <c:v>97409.758922971872</c:v>
                </c:pt>
                <c:pt idx="10">
                  <c:v>91097.880229765156</c:v>
                </c:pt>
                <c:pt idx="11">
                  <c:v>85362.784715390095</c:v>
                </c:pt>
                <c:pt idx="12">
                  <c:v>80173.305708328</c:v>
                </c:pt>
                <c:pt idx="13">
                  <c:v>75483.609174448356</c:v>
                </c:pt>
                <c:pt idx="14">
                  <c:v>71266.791767250077</c:v>
                </c:pt>
                <c:pt idx="15">
                  <c:v>67490.92231707192</c:v>
                </c:pt>
                <c:pt idx="16">
                  <c:v>64131.696377986751</c:v>
                </c:pt>
                <c:pt idx="17">
                  <c:v>61170.251579609801</c:v>
                </c:pt>
                <c:pt idx="18">
                  <c:v>58589.547801599641</c:v>
                </c:pt>
                <c:pt idx="19">
                  <c:v>56375.208984446872</c:v>
                </c:pt>
                <c:pt idx="20">
                  <c:v>54515.884578569006</c:v>
                </c:pt>
                <c:pt idx="21">
                  <c:v>53004.551079033045</c:v>
                </c:pt>
                <c:pt idx="22">
                  <c:v>51836.660202128958</c:v>
                </c:pt>
                <c:pt idx="23">
                  <c:v>51010.13560190241</c:v>
                </c:pt>
                <c:pt idx="24">
                  <c:v>50526.882713752348</c:v>
                </c:pt>
                <c:pt idx="25">
                  <c:v>50391.696430354707</c:v>
                </c:pt>
                <c:pt idx="26">
                  <c:v>50612.647757818486</c:v>
                </c:pt>
                <c:pt idx="27">
                  <c:v>51201.089313941302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6D2-B543-95DF-D591F7F2A294}"/>
            </c:ext>
          </c:extLst>
        </c:ser>
        <c:ser>
          <c:idx val="10"/>
          <c:order val="10"/>
          <c:tx>
            <c:strRef>
              <c:f>Paper_Example_Figure!$A$13</c:f>
              <c:strCache>
                <c:ptCount val="1"/>
                <c:pt idx="0">
                  <c:v>FPGA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Paper_Example_Figure!$B$2:$AC$2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Paper_Example_Figure!$B$13:$AC$13</c:f>
              <c:numCache>
                <c:formatCode>0</c:formatCode>
                <c:ptCount val="28"/>
                <c:pt idx="0">
                  <c:v>191739.56945110671</c:v>
                </c:pt>
                <c:pt idx="1">
                  <c:v>176806.29827975581</c:v>
                </c:pt>
                <c:pt idx="2">
                  <c:v>163511.96847731055</c:v>
                </c:pt>
                <c:pt idx="3">
                  <c:v>151220.07933722035</c:v>
                </c:pt>
                <c:pt idx="4">
                  <c:v>139843.69282613089</c:v>
                </c:pt>
                <c:pt idx="5">
                  <c:v>129423.90060995537</c:v>
                </c:pt>
                <c:pt idx="6">
                  <c:v>119794.48967217538</c:v>
                </c:pt>
                <c:pt idx="7">
                  <c:v>110924.75130461631</c:v>
                </c:pt>
                <c:pt idx="8">
                  <c:v>102227.93718664054</c:v>
                </c:pt>
                <c:pt idx="9">
                  <c:v>94741.038574320788</c:v>
                </c:pt>
                <c:pt idx="10">
                  <c:v>87850.380124970674</c:v>
                </c:pt>
                <c:pt idx="11">
                  <c:v>81489.421102838882</c:v>
                </c:pt>
                <c:pt idx="12">
                  <c:v>75635.414214997727</c:v>
                </c:pt>
                <c:pt idx="13">
                  <c:v>70231.047506023024</c:v>
                </c:pt>
                <c:pt idx="14">
                  <c:v>65248.157987094062</c:v>
                </c:pt>
                <c:pt idx="15">
                  <c:v>60652.017424070786</c:v>
                </c:pt>
                <c:pt idx="16">
                  <c:v>56410.889184249128</c:v>
                </c:pt>
                <c:pt idx="17">
                  <c:v>52493.966548237666</c:v>
                </c:pt>
                <c:pt idx="18">
                  <c:v>48877.240990543083</c:v>
                </c:pt>
                <c:pt idx="19">
                  <c:v>45536.577495170823</c:v>
                </c:pt>
                <c:pt idx="20">
                  <c:v>42448.618713113872</c:v>
                </c:pt>
                <c:pt idx="21">
                  <c:v>39594.409081812453</c:v>
                </c:pt>
                <c:pt idx="22">
                  <c:v>36954.399527357338</c:v>
                </c:pt>
                <c:pt idx="23">
                  <c:v>34512.082067074953</c:v>
                </c:pt>
                <c:pt idx="24">
                  <c:v>32251.487428942262</c:v>
                </c:pt>
                <c:pt idx="25">
                  <c:v>30158.250801422662</c:v>
                </c:pt>
                <c:pt idx="26">
                  <c:v>28219.306801947328</c:v>
                </c:pt>
                <c:pt idx="27">
                  <c:v>26422.592365817298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6D2-B543-95DF-D591F7F2A294}"/>
            </c:ext>
          </c:extLst>
        </c:ser>
        <c:ser>
          <c:idx val="11"/>
          <c:order val="11"/>
          <c:tx>
            <c:strRef>
              <c:f>Paper_Example_Figure!$A$14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Paper_Example_Figure!$B$2:$AC$2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Paper_Example_Figure!$B$14:$AC$14</c:f>
              <c:numCache>
                <c:formatCode>0</c:formatCode>
                <c:ptCount val="28"/>
                <c:pt idx="0">
                  <c:v>191739.56945110671</c:v>
                </c:pt>
                <c:pt idx="1">
                  <c:v>177111.25623108185</c:v>
                </c:pt>
                <c:pt idx="2">
                  <c:v>164494.02319493936</c:v>
                </c:pt>
                <c:pt idx="3">
                  <c:v>152896.17942282715</c:v>
                </c:pt>
                <c:pt idx="4">
                  <c:v>142212.35703008008</c:v>
                </c:pt>
                <c:pt idx="5">
                  <c:v>132407.8014142504</c:v>
                </c:pt>
                <c:pt idx="6">
                  <c:v>123400.6091805709</c:v>
                </c:pt>
                <c:pt idx="7">
                  <c:v>115085.52534472707</c:v>
                </c:pt>
                <c:pt idx="8">
                  <c:v>106937.5563300627</c:v>
                </c:pt>
                <c:pt idx="9">
                  <c:v>99932.208022568666</c:v>
                </c:pt>
                <c:pt idx="10">
                  <c:v>93471.798534939662</c:v>
                </c:pt>
                <c:pt idx="11">
                  <c:v>87511.588877929462</c:v>
                </c:pt>
                <c:pt idx="12">
                  <c:v>82015.601637510292</c:v>
                </c:pt>
                <c:pt idx="13">
                  <c:v>76940.315769190231</c:v>
                </c:pt>
                <c:pt idx="14">
                  <c:v>72252.81269975919</c:v>
                </c:pt>
                <c:pt idx="15">
                  <c:v>67923.281519947661</c:v>
                </c:pt>
                <c:pt idx="16">
                  <c:v>63921.976147642272</c:v>
                </c:pt>
                <c:pt idx="17">
                  <c:v>60222.957480417259</c:v>
                </c:pt>
                <c:pt idx="18">
                  <c:v>56802.11904851388</c:v>
                </c:pt>
                <c:pt idx="19">
                  <c:v>53637.40887995642</c:v>
                </c:pt>
                <c:pt idx="20">
                  <c:v>50708.463145223228</c:v>
                </c:pt>
                <c:pt idx="21">
                  <c:v>47997.147023381636</c:v>
                </c:pt>
                <c:pt idx="22">
                  <c:v>45486.292425609827</c:v>
                </c:pt>
                <c:pt idx="23">
                  <c:v>43160.179956148619</c:v>
                </c:pt>
                <c:pt idx="24">
                  <c:v>41004.591774721237</c:v>
                </c:pt>
                <c:pt idx="25">
                  <c:v>39006.300008365593</c:v>
                </c:pt>
                <c:pt idx="26">
                  <c:v>37153.233507061988</c:v>
                </c:pt>
                <c:pt idx="27">
                  <c:v>35434.232378784363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6D2-B543-95DF-D591F7F2A294}"/>
            </c:ext>
          </c:extLst>
        </c:ser>
        <c:ser>
          <c:idx val="12"/>
          <c:order val="12"/>
          <c:tx>
            <c:strRef>
              <c:f>Paper_Example_Figure!$A$15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Paper_Example_Figure!$B$2:$AC$2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Paper_Example_Figure!$B$15:$AC$15</c:f>
              <c:numCache>
                <c:formatCode>0</c:formatCode>
                <c:ptCount val="28"/>
                <c:pt idx="7">
                  <c:v>115854.87581383303</c:v>
                </c:pt>
                <c:pt idx="8">
                  <c:v>108252.48662420773</c:v>
                </c:pt>
                <c:pt idx="9">
                  <c:v>101947.78184362091</c:v>
                </c:pt>
                <c:pt idx="10">
                  <c:v>96347.563554639928</c:v>
                </c:pt>
                <c:pt idx="11">
                  <c:v>91417.638680510863</c:v>
                </c:pt>
                <c:pt idx="12">
                  <c:v>87142.655690087791</c:v>
                </c:pt>
                <c:pt idx="13">
                  <c:v>83500.11239610854</c:v>
                </c:pt>
                <c:pt idx="14">
                  <c:v>80477.873526261363</c:v>
                </c:pt>
                <c:pt idx="15">
                  <c:v>78071.842831254442</c:v>
                </c:pt>
                <c:pt idx="16">
                  <c:v>76281.297454235144</c:v>
                </c:pt>
                <c:pt idx="17">
                  <c:v>75110.95955200454</c:v>
                </c:pt>
                <c:pt idx="18">
                  <c:v>74574.725663945675</c:v>
                </c:pt>
                <c:pt idx="19">
                  <c:v>74691.483672738686</c:v>
                </c:pt>
                <c:pt idx="20">
                  <c:v>75487.294556916197</c:v>
                </c:pt>
                <c:pt idx="21">
                  <c:v>76996.296611058628</c:v>
                </c:pt>
                <c:pt idx="22">
                  <c:v>79260.608830772791</c:v>
                </c:pt>
                <c:pt idx="23">
                  <c:v>82331.127751321415</c:v>
                </c:pt>
                <c:pt idx="24">
                  <c:v>86268.628907540318</c:v>
                </c:pt>
                <c:pt idx="25">
                  <c:v>91144.254144022954</c:v>
                </c:pt>
                <c:pt idx="26">
                  <c:v>97040.829671174622</c:v>
                </c:pt>
                <c:pt idx="27">
                  <c:v>104053.9522499155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6D2-B543-95DF-D591F7F2A294}"/>
            </c:ext>
          </c:extLst>
        </c:ser>
        <c:ser>
          <c:idx val="13"/>
          <c:order val="13"/>
          <c:tx>
            <c:strRef>
              <c:f>Paper_Example_Figure!$A$16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Paper_Example_Figure!$B$2:$AC$2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Paper_Example_Figure!$B$16:$AC$16</c:f>
              <c:numCache>
                <c:formatCode>General</c:formatCode>
                <c:ptCount val="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6D2-B543-95DF-D591F7F2A294}"/>
            </c:ext>
          </c:extLst>
        </c:ser>
        <c:ser>
          <c:idx val="14"/>
          <c:order val="14"/>
          <c:tx>
            <c:strRef>
              <c:f>Paper_Example_Figure!$A$17</c:f>
              <c:strCache>
                <c:ptCount val="1"/>
                <c:pt idx="0">
                  <c:v>Use Case 3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Paper_Example_Figure!$B$2:$AC$2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Paper_Example_Figure!$B$17:$AC$17</c:f>
              <c:numCache>
                <c:formatCode>General</c:formatCode>
                <c:ptCount val="2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6D2-B543-95DF-D591F7F2A294}"/>
            </c:ext>
          </c:extLst>
        </c:ser>
        <c:ser>
          <c:idx val="15"/>
          <c:order val="15"/>
          <c:tx>
            <c:strRef>
              <c:f>Paper_Example_Figure!$A$18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Paper_Example_Figure!$B$2:$AC$2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Paper_Example_Figure!$B$18:$AC$18</c:f>
              <c:numCache>
                <c:formatCode>0</c:formatCode>
                <c:ptCount val="28"/>
                <c:pt idx="0">
                  <c:v>139261147.99362195</c:v>
                </c:pt>
                <c:pt idx="1">
                  <c:v>118186735.90864664</c:v>
                </c:pt>
                <c:pt idx="2">
                  <c:v>101725506.11241123</c:v>
                </c:pt>
                <c:pt idx="3">
                  <c:v>88633915.813696012</c:v>
                </c:pt>
                <c:pt idx="4">
                  <c:v>78012645.733266577</c:v>
                </c:pt>
                <c:pt idx="5">
                  <c:v>69226171.261954978</c:v>
                </c:pt>
                <c:pt idx="6">
                  <c:v>61847256.14927841</c:v>
                </c:pt>
                <c:pt idx="7">
                  <c:v>55548320.709342293</c:v>
                </c:pt>
                <c:pt idx="8">
                  <c:v>50095658.321741305</c:v>
                </c:pt>
                <c:pt idx="9">
                  <c:v>45328322.594814584</c:v>
                </c:pt>
                <c:pt idx="10">
                  <c:v>41120846.821386546</c:v>
                </c:pt>
                <c:pt idx="11">
                  <c:v>37377064.435499191</c:v>
                </c:pt>
                <c:pt idx="12">
                  <c:v>34021047.126275137</c:v>
                </c:pt>
                <c:pt idx="13">
                  <c:v>31007903.930510998</c:v>
                </c:pt>
                <c:pt idx="14">
                  <c:v>28288155.57370862</c:v>
                </c:pt>
                <c:pt idx="15">
                  <c:v>25826188.9518442</c:v>
                </c:pt>
                <c:pt idx="16">
                  <c:v>23592277.379470389</c:v>
                </c:pt>
                <c:pt idx="17">
                  <c:v>21561646.081000172</c:v>
                </c:pt>
                <c:pt idx="18">
                  <c:v>19709512.412150223</c:v>
                </c:pt>
                <c:pt idx="19">
                  <c:v>18025854.74549954</c:v>
                </c:pt>
                <c:pt idx="20">
                  <c:v>16490529.841780931</c:v>
                </c:pt>
                <c:pt idx="21">
                  <c:v>15089566.896681758</c:v>
                </c:pt>
                <c:pt idx="22">
                  <c:v>13810616.476889506</c:v>
                </c:pt>
                <c:pt idx="23">
                  <c:v>12642524.441819524</c:v>
                </c:pt>
                <c:pt idx="24">
                  <c:v>11575339.994407436</c:v>
                </c:pt>
                <c:pt idx="25">
                  <c:v>10600090.981050676</c:v>
                </c:pt>
                <c:pt idx="26">
                  <c:v>9708650.088131763</c:v>
                </c:pt>
                <c:pt idx="27">
                  <c:v>8893651.4848043565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D6D2-B543-95DF-D591F7F2A294}"/>
            </c:ext>
          </c:extLst>
        </c:ser>
        <c:ser>
          <c:idx val="16"/>
          <c:order val="16"/>
          <c:tx>
            <c:strRef>
              <c:f>Paper_Example_Figure!$A$19</c:f>
              <c:strCache>
                <c:ptCount val="1"/>
                <c:pt idx="0">
                  <c:v>GPU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Paper_Example_Figure!$B$2:$AC$2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Paper_Example_Figure!$B$19:$AC$19</c:f>
              <c:numCache>
                <c:formatCode>0</c:formatCode>
                <c:ptCount val="28"/>
                <c:pt idx="0">
                  <c:v>139261147.99362195</c:v>
                </c:pt>
                <c:pt idx="1">
                  <c:v>118186735.90864664</c:v>
                </c:pt>
                <c:pt idx="2">
                  <c:v>101725506.11241123</c:v>
                </c:pt>
                <c:pt idx="3">
                  <c:v>88633915.813696012</c:v>
                </c:pt>
                <c:pt idx="4">
                  <c:v>78012645.733266577</c:v>
                </c:pt>
                <c:pt idx="5">
                  <c:v>69235985.344208062</c:v>
                </c:pt>
                <c:pt idx="6">
                  <c:v>61854654.881786026</c:v>
                </c:pt>
                <c:pt idx="7">
                  <c:v>55559479.691367939</c:v>
                </c:pt>
                <c:pt idx="8">
                  <c:v>50109044.7905204</c:v>
                </c:pt>
                <c:pt idx="9">
                  <c:v>45344985.254558429</c:v>
                </c:pt>
                <c:pt idx="10">
                  <c:v>41139101.165886514</c:v>
                </c:pt>
                <c:pt idx="11">
                  <c:v>37398945.429084361</c:v>
                </c:pt>
                <c:pt idx="12">
                  <c:v>34045750.228056185</c:v>
                </c:pt>
                <c:pt idx="13">
                  <c:v>31036019.769110706</c:v>
                </c:pt>
                <c:pt idx="14">
                  <c:v>28320176.120985724</c:v>
                </c:pt>
                <c:pt idx="15">
                  <c:v>25862247.984782428</c:v>
                </c:pt>
                <c:pt idx="16">
                  <c:v>23632282.825979363</c:v>
                </c:pt>
                <c:pt idx="17">
                  <c:v>21606462.830525756</c:v>
                </c:pt>
                <c:pt idx="18">
                  <c:v>19759187.173216261</c:v>
                </c:pt>
                <c:pt idx="19">
                  <c:v>18081091.377369512</c:v>
                </c:pt>
                <c:pt idx="20">
                  <c:v>16551578.516091144</c:v>
                </c:pt>
                <c:pt idx="21">
                  <c:v>15157064.86343956</c:v>
                </c:pt>
                <c:pt idx="22">
                  <c:v>13885145.521922937</c:v>
                </c:pt>
                <c:pt idx="23">
                  <c:v>12724601.576248966</c:v>
                </c:pt>
                <c:pt idx="24">
                  <c:v>11665750.05031299</c:v>
                </c:pt>
                <c:pt idx="25">
                  <c:v>10699548.463864047</c:v>
                </c:pt>
                <c:pt idx="26">
                  <c:v>9817988.7049884442</c:v>
                </c:pt>
                <c:pt idx="27">
                  <c:v>9013762.7657309901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6D2-B543-95DF-D591F7F2A294}"/>
            </c:ext>
          </c:extLst>
        </c:ser>
        <c:ser>
          <c:idx val="17"/>
          <c:order val="17"/>
          <c:tx>
            <c:strRef>
              <c:f>Paper_Example_Figure!$A$20</c:f>
              <c:strCache>
                <c:ptCount val="1"/>
                <c:pt idx="0">
                  <c:v>FPGA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Paper_Example_Figure!$B$2:$AC$2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Paper_Example_Figure!$B$20:$AC$20</c:f>
              <c:numCache>
                <c:formatCode>0</c:formatCode>
                <c:ptCount val="28"/>
                <c:pt idx="0">
                  <c:v>139261147.99362195</c:v>
                </c:pt>
                <c:pt idx="1">
                  <c:v>118186735.90864664</c:v>
                </c:pt>
                <c:pt idx="2">
                  <c:v>101725506.11241123</c:v>
                </c:pt>
                <c:pt idx="3">
                  <c:v>88633915.813696012</c:v>
                </c:pt>
                <c:pt idx="4">
                  <c:v>78012645.733266577</c:v>
                </c:pt>
                <c:pt idx="5">
                  <c:v>69226171.261954978</c:v>
                </c:pt>
                <c:pt idx="6">
                  <c:v>61853414.47697293</c:v>
                </c:pt>
                <c:pt idx="7">
                  <c:v>55553112.115309335</c:v>
                </c:pt>
                <c:pt idx="8">
                  <c:v>50099670.451576442</c:v>
                </c:pt>
                <c:pt idx="9">
                  <c:v>45331743.451203741</c:v>
                </c:pt>
                <c:pt idx="10">
                  <c:v>41124325.914966531</c:v>
                </c:pt>
                <c:pt idx="11">
                  <c:v>37380680.760614283</c:v>
                </c:pt>
                <c:pt idx="12">
                  <c:v>34023951.086120553</c:v>
                </c:pt>
                <c:pt idx="13">
                  <c:v>31011563.289543454</c:v>
                </c:pt>
                <c:pt idx="14">
                  <c:v>28291880.534733821</c:v>
                </c:pt>
                <c:pt idx="15">
                  <c:v>25830073.10835984</c:v>
                </c:pt>
                <c:pt idx="16">
                  <c:v>23595909.416617244</c:v>
                </c:pt>
                <c:pt idx="17">
                  <c:v>21565293.71692834</c:v>
                </c:pt>
                <c:pt idx="18">
                  <c:v>19713351.851765808</c:v>
                </c:pt>
                <c:pt idx="19">
                  <c:v>18029449.173199732</c:v>
                </c:pt>
                <c:pt idx="20">
                  <c:v>16494033.489446899</c:v>
                </c:pt>
                <c:pt idx="21">
                  <c:v>15093155.001539512</c:v>
                </c:pt>
                <c:pt idx="22">
                  <c:v>13814126.040135929</c:v>
                </c:pt>
                <c:pt idx="23">
                  <c:v>12645946.081455957</c:v>
                </c:pt>
                <c:pt idx="24">
                  <c:v>11578752.819651499</c:v>
                </c:pt>
                <c:pt idx="25">
                  <c:v>10603402.768611804</c:v>
                </c:pt>
                <c:pt idx="26">
                  <c:v>9711896.7523940057</c:v>
                </c:pt>
                <c:pt idx="27">
                  <c:v>8896864.9959486723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D6D2-B543-95DF-D591F7F2A294}"/>
            </c:ext>
          </c:extLst>
        </c:ser>
        <c:ser>
          <c:idx val="18"/>
          <c:order val="18"/>
          <c:tx>
            <c:strRef>
              <c:f>Paper_Example_Figure!$A$21</c:f>
              <c:strCache>
                <c:ptCount val="1"/>
                <c:pt idx="0">
                  <c:v>ASIC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Paper_Example_Figure!$B$2:$AC$2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Paper_Example_Figure!$B$21:$AC$21</c:f>
              <c:numCache>
                <c:formatCode>0</c:formatCode>
                <c:ptCount val="28"/>
                <c:pt idx="0">
                  <c:v>139261147.99362195</c:v>
                </c:pt>
                <c:pt idx="1">
                  <c:v>118186735.90864664</c:v>
                </c:pt>
                <c:pt idx="2">
                  <c:v>101725506.11241123</c:v>
                </c:pt>
                <c:pt idx="3">
                  <c:v>88633915.813696012</c:v>
                </c:pt>
                <c:pt idx="4">
                  <c:v>78016480.38804096</c:v>
                </c:pt>
                <c:pt idx="5">
                  <c:v>69231511.435735598</c:v>
                </c:pt>
                <c:pt idx="6">
                  <c:v>61854693.80844935</c:v>
                </c:pt>
                <c:pt idx="7">
                  <c:v>55556090.880226672</c:v>
                </c:pt>
                <c:pt idx="8">
                  <c:v>50101230.282798044</c:v>
                </c:pt>
                <c:pt idx="9">
                  <c:v>45335985.820611589</c:v>
                </c:pt>
                <c:pt idx="10">
                  <c:v>41127600.272012636</c:v>
                </c:pt>
                <c:pt idx="11">
                  <c:v>37384292.196107946</c:v>
                </c:pt>
                <c:pt idx="12">
                  <c:v>34027902.144843742</c:v>
                </c:pt>
                <c:pt idx="13">
                  <c:v>31014997.008679416</c:v>
                </c:pt>
                <c:pt idx="14">
                  <c:v>28295370.632623881</c:v>
                </c:pt>
                <c:pt idx="15">
                  <c:v>25833357.750871029</c:v>
                </c:pt>
                <c:pt idx="16">
                  <c:v>23599411.18745441</c:v>
                </c:pt>
                <c:pt idx="17">
                  <c:v>21568843.06481199</c:v>
                </c:pt>
                <c:pt idx="18">
                  <c:v>19716670.940421712</c:v>
                </c:pt>
                <c:pt idx="19">
                  <c:v>18032966.694468021</c:v>
                </c:pt>
                <c:pt idx="20">
                  <c:v>16497621.87508947</c:v>
                </c:pt>
                <c:pt idx="21">
                  <c:v>15096653.398189213</c:v>
                </c:pt>
                <c:pt idx="22">
                  <c:v>13817662.613398939</c:v>
                </c:pt>
                <c:pt idx="23">
                  <c:v>12649536.356248282</c:v>
                </c:pt>
                <c:pt idx="24">
                  <c:v>11582326.198865769</c:v>
                </c:pt>
                <c:pt idx="25">
                  <c:v>10607041.705250636</c:v>
                </c:pt>
                <c:pt idx="26">
                  <c:v>9715560.2391387373</c:v>
                </c:pt>
                <c:pt idx="27">
                  <c:v>8900521.6293645073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6D2-B543-95DF-D591F7F2A294}"/>
            </c:ext>
          </c:extLst>
        </c:ser>
        <c:ser>
          <c:idx val="19"/>
          <c:order val="19"/>
          <c:tx>
            <c:strRef>
              <c:f>Paper_Example_Figure!$A$22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Paper_Example_Figure!$B$2:$AC$2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xVal>
          <c:yVal>
            <c:numRef>
              <c:f>Paper_Example_Figure!$B$22:$AC$22</c:f>
              <c:numCache>
                <c:formatCode>0</c:formatCode>
                <c:ptCount val="28"/>
                <c:pt idx="7">
                  <c:v>55693904.523635507</c:v>
                </c:pt>
                <c:pt idx="8">
                  <c:v>50241852.621254653</c:v>
                </c:pt>
                <c:pt idx="9">
                  <c:v>45482865.315209568</c:v>
                </c:pt>
                <c:pt idx="10">
                  <c:v>41282731.323197067</c:v>
                </c:pt>
                <c:pt idx="11">
                  <c:v>37545924.705652535</c:v>
                </c:pt>
                <c:pt idx="12">
                  <c:v>34192963.35897214</c:v>
                </c:pt>
                <c:pt idx="13">
                  <c:v>31181140.873128563</c:v>
                </c:pt>
                <c:pt idx="14">
                  <c:v>28461813.402449787</c:v>
                </c:pt>
                <c:pt idx="15">
                  <c:v>25999702.44453897</c:v>
                </c:pt>
                <c:pt idx="16">
                  <c:v>23765084.688919716</c:v>
                </c:pt>
                <c:pt idx="17">
                  <c:v>21733914.353492074</c:v>
                </c:pt>
                <c:pt idx="18">
                  <c:v>19881361.429006238</c:v>
                </c:pt>
                <c:pt idx="19">
                  <c:v>18196819.500022989</c:v>
                </c:pt>
                <c:pt idx="20">
                  <c:v>16660570.962537736</c:v>
                </c:pt>
                <c:pt idx="21">
                  <c:v>15258779.716509227</c:v>
                </c:pt>
                <c:pt idx="22">
                  <c:v>13979102.292050393</c:v>
                </c:pt>
                <c:pt idx="23">
                  <c:v>12810442.927549912</c:v>
                </c:pt>
                <c:pt idx="24">
                  <c:v>11742908.366444409</c:v>
                </c:pt>
                <c:pt idx="25">
                  <c:v>10767559.080159394</c:v>
                </c:pt>
                <c:pt idx="26">
                  <c:v>9876319.5949022379</c:v>
                </c:pt>
                <c:pt idx="27">
                  <c:v>9061873.6496768519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D6D2-B543-95DF-D591F7F2A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881775"/>
        <c:axId val="1050543312"/>
      </c:scatterChart>
      <c:valAx>
        <c:axId val="2122881775"/>
        <c:scaling>
          <c:orientation val="minMax"/>
          <c:max val="20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050543312"/>
        <c:crosses val="autoZero"/>
        <c:crossBetween val="midCat"/>
      </c:valAx>
      <c:valAx>
        <c:axId val="1050543312"/>
        <c:scaling>
          <c:logBase val="10"/>
          <c:orientation val="minMax"/>
          <c:max val="100000000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21228817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1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15" fmlaLink="$H$57" horiz="1" max="100" min="1" page="10" val="11"/>
</file>

<file path=xl/ctrlProps/ctrlProp2.xml><?xml version="1.0" encoding="utf-8"?>
<formControlPr xmlns="http://schemas.microsoft.com/office/spreadsheetml/2009/9/main" objectType="Scroll" dx="15" fmlaLink="$H$59" horiz="1" max="50" min="1" page="5" val="10"/>
</file>

<file path=xl/ctrlProps/ctrlProp3.xml><?xml version="1.0" encoding="utf-8"?>
<formControlPr xmlns="http://schemas.microsoft.com/office/spreadsheetml/2009/9/main" objectType="Scroll" dx="15" fmlaLink="$H$73" horiz="1" max="20" min="1" page="2"/>
</file>

<file path=xl/ctrlProps/ctrlProp4.xml><?xml version="1.0" encoding="utf-8"?>
<formControlPr xmlns="http://schemas.microsoft.com/office/spreadsheetml/2009/9/main" objectType="Scroll" dx="15" fmlaLink="$H$20" horiz="1" max="1000" min="1" page="10" val="25"/>
</file>

<file path=xl/ctrlProps/ctrlProp5.xml><?xml version="1.0" encoding="utf-8"?>
<formControlPr xmlns="http://schemas.microsoft.com/office/spreadsheetml/2009/9/main" objectType="Scroll" dx="15" fmlaLink="$H$22" horiz="1" max="100" min="1" page="10" val="40"/>
</file>

<file path=xl/ctrlProps/ctrlProp6.xml><?xml version="1.0" encoding="utf-8"?>
<formControlPr xmlns="http://schemas.microsoft.com/office/spreadsheetml/2009/9/main" objectType="Scroll" dx="15" fmlaLink="$H$61" horiz="1" inc="10" max="1600" min="400" page="10" val="800"/>
</file>

<file path=xl/ctrlProps/ctrlProp7.xml><?xml version="1.0" encoding="utf-8"?>
<formControlPr xmlns="http://schemas.microsoft.com/office/spreadsheetml/2009/9/main" objectType="Scroll" dx="15" fmlaLink="$H$24" horiz="1" max="100" min="1" page="10" val="100"/>
</file>

<file path=xl/ctrlProps/ctrlProp8.xml><?xml version="1.0" encoding="utf-8"?>
<formControlPr xmlns="http://schemas.microsoft.com/office/spreadsheetml/2009/9/main" objectType="Scroll" dx="15" fmlaLink="$H$35" horiz="1" max="100" min="1" page="10" val="91"/>
</file>

<file path=xl/ctrlProps/ctrlProp9.xml><?xml version="1.0" encoding="utf-8"?>
<formControlPr xmlns="http://schemas.microsoft.com/office/spreadsheetml/2009/9/main" objectType="Scroll" dx="15" fmlaLink="$H$157" horiz="1" inc="10" max="100" page="10" val="32"/>
</file>

<file path=xl/ctrlProps/ctrlProp10.xml><?xml version="1.0" encoding="utf-8"?>
<formControlPr xmlns="http://schemas.microsoft.com/office/spreadsheetml/2009/9/main" objectType="Scroll" dx="15" fmlaLink="$H$148" horiz="1" inc="10" max="50" min="10" page="10" val="20"/>
</file>

<file path=xl/ctrlProps/ctrlProp11.xml><?xml version="1.0" encoding="utf-8"?>
<formControlPr xmlns="http://schemas.microsoft.com/office/spreadsheetml/2009/9/main" objectType="Scroll" dx="15" fmlaLink="$H$112" horiz="1" inc="16" max="512" page="10" val="128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checked="Checked" firstButton="1" fmlaLink="$H$55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checked="Checked" firstButton="1" fmlaLink="$H$151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fmlaLink="$H$125" lockText="1" noThreeD="1"/>
</file>

<file path=xl/ctrlProps/ctrlProp22.xml><?xml version="1.0" encoding="utf-8"?>
<formControlPr xmlns="http://schemas.microsoft.com/office/spreadsheetml/2009/9/main" objectType="Radio" checked="Checked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Radio" checked="Checked" firstButton="1" fmlaLink="$H$82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Radio" checked="Checked" firstButton="1" fmlaLink="$H$154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Radio" firstButton="1" fmlaLink="$H$145" lockText="1" noThreeD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Radio" checked="Checked" firstButton="1" fmlaLink="$H$143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Radio" checked="Checked" firstButton="1" fmlaLink="$H$47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Scroll" dx="15" fmlaLink="$H$18" horiz="1" max="2050" min="2023" page="5" val="203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Scroll" dx="15" fmlaLink="$H$69" horiz="1" max="10" page="2" val="0"/>
</file>

<file path=xl/ctrlProps/ctrlProp45.xml><?xml version="1.0" encoding="utf-8"?>
<formControlPr xmlns="http://schemas.microsoft.com/office/spreadsheetml/2009/9/main" objectType="Scroll" dx="15" fmlaLink="$H$89" horiz="1" inc="100" max="20000" min="100" page="500" val="500"/>
</file>

<file path=xl/ctrlProps/ctrlProp46.xml><?xml version="1.0" encoding="utf-8"?>
<formControlPr xmlns="http://schemas.microsoft.com/office/spreadsheetml/2009/9/main" objectType="Scroll" dx="15" fmlaLink="$H$91" horiz="1" max="80" min="1" page="5" val="19"/>
</file>

<file path=xl/ctrlProps/ctrlProp47.xml><?xml version="1.0" encoding="utf-8"?>
<formControlPr xmlns="http://schemas.microsoft.com/office/spreadsheetml/2009/9/main" objectType="Scroll" dx="15" fmlaLink="$H$93" horiz="1" max="50" min="1" page="5" val="10"/>
</file>

<file path=xl/ctrlProps/ctrlProp48.xml><?xml version="1.0" encoding="utf-8"?>
<formControlPr xmlns="http://schemas.microsoft.com/office/spreadsheetml/2009/9/main" objectType="Scroll" dx="15" fmlaLink="$H$97" horiz="1" max="50" min="1" page="5" val="10"/>
</file>

<file path=xl/ctrlProps/ctrlProp49.xml><?xml version="1.0" encoding="utf-8"?>
<formControlPr xmlns="http://schemas.microsoft.com/office/spreadsheetml/2009/9/main" objectType="Scroll" dx="15" fmlaLink="$H$99" horiz="1" max="373" page="10" val="273"/>
</file>

<file path=xl/ctrlProps/ctrlProp50.xml><?xml version="1.0" encoding="utf-8"?>
<formControlPr xmlns="http://schemas.microsoft.com/office/spreadsheetml/2009/9/main" objectType="Scroll" dx="15" fmlaLink="$H$101" horiz="1" max="373" page="10" val="323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checked="Checked" lockText="1" noThreeD="1"/>
</file>

<file path=xl/ctrlProps/ctrlProp53.xml><?xml version="1.0" encoding="utf-8"?>
<formControlPr xmlns="http://schemas.microsoft.com/office/spreadsheetml/2009/9/main" objectType="Scroll" dx="15" fmlaLink="#REF!" horiz="1" inc="8" max="1000" min="32" page="32" val="128"/>
</file>

<file path=xl/ctrlProps/ctrlProp54.xml><?xml version="1.0" encoding="utf-8"?>
<formControlPr xmlns="http://schemas.microsoft.com/office/spreadsheetml/2009/9/main" objectType="Scroll" dx="15" fmlaLink="$H$106" horiz="1" max="1000" min="1" page="10" val="10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Radio" firstButton="1" fmlaLink="$H$129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checked="Checked" lockText="1" noThreeD="1"/>
</file>

<file path=xl/ctrlProps/ctrlProp60.xml><?xml version="1.0" encoding="utf-8"?>
<formControlPr xmlns="http://schemas.microsoft.com/office/spreadsheetml/2009/9/main" objectType="Scroll" dx="15" fmlaLink="$H$28" horiz="1" max="48" min="1" page="6"/>
</file>

<file path=xl/ctrlProps/ctrlProp61.xml><?xml version="1.0" encoding="utf-8"?>
<formControlPr xmlns="http://schemas.microsoft.com/office/spreadsheetml/2009/9/main" objectType="Scroll" dx="15" fmlaLink="$H$132" horiz="1" max="90" min="1" page="5" val="20"/>
</file>

<file path=xl/ctrlProps/ctrlProp62.xml><?xml version="1.0" encoding="utf-8"?>
<formControlPr xmlns="http://schemas.microsoft.com/office/spreadsheetml/2009/9/main" objectType="Radio" checked="Checked" firstButton="1" fmlaLink="$K$8" lockText="1" noThreeD="1"/>
</file>

<file path=xl/ctrlProps/ctrlProp63.xml><?xml version="1.0" encoding="utf-8"?>
<formControlPr xmlns="http://schemas.microsoft.com/office/spreadsheetml/2009/9/main" objectType="GBox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Scroll" dx="15" fmlaLink="$H$33" horiz="1" max="1000" min="1" page="10" val="10"/>
</file>

<file path=xl/ctrlProps/ctrlProp69.xml><?xml version="1.0" encoding="utf-8"?>
<formControlPr xmlns="http://schemas.microsoft.com/office/spreadsheetml/2009/9/main" objectType="Scroll" dx="15" fmlaLink="$H$43" horiz="1" max="100" min="1" page="10" val="3"/>
</file>

<file path=xl/ctrlProps/ctrlProp70.xml><?xml version="1.0" encoding="utf-8"?>
<formControlPr xmlns="http://schemas.microsoft.com/office/spreadsheetml/2009/9/main" objectType="Scroll" dx="15" fmlaLink="$H$45" horiz="1" max="100" min="1" page="10"/>
</file>

<file path=xl/ctrlProps/ctrlProp71.xml><?xml version="1.0" encoding="utf-8"?>
<formControlPr xmlns="http://schemas.microsoft.com/office/spreadsheetml/2009/9/main" objectType="Scroll" dx="15" fmlaLink="$H$110" horiz="1" inc="8" max="1000" min="32" page="32" val="32"/>
</file>

<file path=xl/ctrlProps/ctrlProp72.xml><?xml version="1.0" encoding="utf-8"?>
<formControlPr xmlns="http://schemas.microsoft.com/office/spreadsheetml/2009/9/main" objectType="Scroll" dx="15" fmlaLink="$H$37" horiz="1" max="100" page="10"/>
</file>

<file path=xl/ctrlProps/ctrlProp73.xml><?xml version="1.0" encoding="utf-8"?>
<formControlPr xmlns="http://schemas.microsoft.com/office/spreadsheetml/2009/9/main" objectType="Scroll" dx="15" fmlaLink="$H$39" horiz="1" max="10" min="1" page="10"/>
</file>

<file path=xl/ctrlProps/ctrlProp74.xml><?xml version="1.0" encoding="utf-8"?>
<formControlPr xmlns="http://schemas.microsoft.com/office/spreadsheetml/2009/9/main" objectType="Scroll" dx="15" fmlaLink="$H$41" horiz="1" max="100" min="1" page="10" val="10"/>
</file>

<file path=xl/ctrlProps/ctrlProp75.xml><?xml version="1.0" encoding="utf-8"?>
<formControlPr xmlns="http://schemas.microsoft.com/office/spreadsheetml/2009/9/main" objectType="Scroll" dx="15" fmlaLink="$H$117" horiz="1" max="32" page="5" val="0"/>
</file>

<file path=xl/ctrlProps/ctrlProp76.xml><?xml version="1.0" encoding="utf-8"?>
<formControlPr xmlns="http://schemas.microsoft.com/office/spreadsheetml/2009/9/main" objectType="Scroll" dx="15" fmlaLink="$H$134" horiz="1" max="20" min="1" page="5" val="5"/>
</file>

<file path=xl/ctrlProps/ctrlProp77.xml><?xml version="1.0" encoding="utf-8"?>
<formControlPr xmlns="http://schemas.microsoft.com/office/spreadsheetml/2009/9/main" objectType="Scroll" dx="15" fmlaLink="$H$136" horiz="1" max="20" min="1" page="5" val="6"/>
</file>

<file path=xl/ctrlProps/ctrlProp78.xml><?xml version="1.0" encoding="utf-8"?>
<formControlPr xmlns="http://schemas.microsoft.com/office/spreadsheetml/2009/9/main" objectType="Scroll" dx="15" fmlaLink="$H$75" horiz="1" max="5" min="1" page="0"/>
</file>

<file path=xl/ctrlProps/ctrlProp79.xml><?xml version="1.0" encoding="utf-8"?>
<formControlPr xmlns="http://schemas.microsoft.com/office/spreadsheetml/2009/9/main" objectType="Scroll" dx="15" fmlaLink="$H$77" horiz="1" max="100" min="1" page="10"/>
</file>

<file path=xl/ctrlProps/ctrlProp80.xml><?xml version="1.0" encoding="utf-8"?>
<formControlPr xmlns="http://schemas.microsoft.com/office/spreadsheetml/2009/9/main" objectType="Scroll" dx="15" fmlaLink="$H$79" horiz="1" inc="10" max="10000" min="500" page="100" val="1000"/>
</file>

<file path=xl/ctrlProps/ctrlProp81.xml><?xml version="1.0" encoding="utf-8"?>
<formControlPr xmlns="http://schemas.microsoft.com/office/spreadsheetml/2009/9/main" objectType="CheckBox" fmlaLink="$P$94" noThreeD="1"/>
</file>

<file path=xl/ctrlProps/ctrlProp82.xml><?xml version="1.0" encoding="utf-8"?>
<formControlPr xmlns="http://schemas.microsoft.com/office/spreadsheetml/2009/9/main" objectType="CheckBox" fmlaLink="$P$95" noThreeD="1"/>
</file>

<file path=xl/ctrlProps/ctrlProp83.xml><?xml version="1.0" encoding="utf-8"?>
<formControlPr xmlns="http://schemas.microsoft.com/office/spreadsheetml/2009/9/main" objectType="CheckBox" fmlaLink="$P$96" noThreeD="1"/>
</file>

<file path=xl/ctrlProps/ctrlProp84.xml><?xml version="1.0" encoding="utf-8"?>
<formControlPr xmlns="http://schemas.microsoft.com/office/spreadsheetml/2009/9/main" objectType="CheckBox" fmlaLink="$P$97" noThreeD="1"/>
</file>

<file path=xl/ctrlProps/ctrlProp85.xml><?xml version="1.0" encoding="utf-8"?>
<formControlPr xmlns="http://schemas.microsoft.com/office/spreadsheetml/2009/9/main" objectType="CheckBox" fmlaLink="$P$98" noThreeD="1"/>
</file>

<file path=xl/ctrlProps/ctrlProp86.xml><?xml version="1.0" encoding="utf-8"?>
<formControlPr xmlns="http://schemas.microsoft.com/office/spreadsheetml/2009/9/main" objectType="CheckBox" checked="Checked" fmlaLink="$P$99" noThreeD="1"/>
</file>

<file path=xl/ctrlProps/ctrlProp87.xml><?xml version="1.0" encoding="utf-8"?>
<formControlPr xmlns="http://schemas.microsoft.com/office/spreadsheetml/2009/9/main" objectType="CheckBox" fmlaLink="$P$100" noThreeD="1"/>
</file>

<file path=xl/ctrlProps/ctrlProp88.xml><?xml version="1.0" encoding="utf-8"?>
<formControlPr xmlns="http://schemas.microsoft.com/office/spreadsheetml/2009/9/main" objectType="CheckBox" fmlaLink="$P$101" noThreeD="1"/>
</file>

<file path=xl/ctrlProps/ctrlProp89.xml><?xml version="1.0" encoding="utf-8"?>
<formControlPr xmlns="http://schemas.microsoft.com/office/spreadsheetml/2009/9/main" objectType="CheckBox" fmlaLink="$P$102" noThreeD="1"/>
</file>

<file path=xl/ctrlProps/ctrlProp90.xml><?xml version="1.0" encoding="utf-8"?>
<formControlPr xmlns="http://schemas.microsoft.com/office/spreadsheetml/2009/9/main" objectType="CheckBox" fmlaLink="$P$103" noThreeD="1"/>
</file>

<file path=xl/ctrlProps/ctrlProp91.xml><?xml version="1.0" encoding="utf-8"?>
<formControlPr xmlns="http://schemas.microsoft.com/office/spreadsheetml/2009/9/main" objectType="CheckBox" fmlaLink="$P$104" noThreeD="1"/>
</file>

<file path=xl/ctrlProps/ctrlProp92.xml><?xml version="1.0" encoding="utf-8"?>
<formControlPr xmlns="http://schemas.microsoft.com/office/spreadsheetml/2009/9/main" objectType="CheckBox" fmlaLink="$P$105" noThreeD="1"/>
</file>

<file path=xl/ctrlProps/ctrlProp93.xml><?xml version="1.0" encoding="utf-8"?>
<formControlPr xmlns="http://schemas.microsoft.com/office/spreadsheetml/2009/9/main" objectType="Radio" firstButton="1" fmlaLink="$P$116" lockText="1" noThreeD="1"/>
</file>

<file path=xl/ctrlProps/ctrlProp94.xml><?xml version="1.0" encoding="utf-8"?>
<formControlPr xmlns="http://schemas.microsoft.com/office/spreadsheetml/2009/9/main" objectType="Radio" checked="Checked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GBox" noThreeD="1"/>
</file>

<file path=xl/ctrlProps/ctrlProp106.xml><?xml version="1.0" encoding="utf-8"?>
<formControlPr xmlns="http://schemas.microsoft.com/office/spreadsheetml/2009/9/main" objectType="Radio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GBox" noThreeD="1"/>
</file>

<file path=xl/ctrlProps/ctrlProp109.xml><?xml version="1.0" encoding="utf-8"?>
<formControlPr xmlns="http://schemas.microsoft.com/office/spreadsheetml/2009/9/main" objectType="Radio" firstButton="1" fmlaLink="$P$122" lockText="1" noThreeD="1"/>
</file>

<file path=xl/ctrlProps/ctrlProp110.xml><?xml version="1.0" encoding="utf-8"?>
<formControlPr xmlns="http://schemas.microsoft.com/office/spreadsheetml/2009/9/main" objectType="Radio" lockText="1" noThreeD="1"/>
</file>

<file path=xl/ctrlProps/ctrlProp111.xml><?xml version="1.0" encoding="utf-8"?>
<formControlPr xmlns="http://schemas.microsoft.com/office/spreadsheetml/2009/9/main" objectType="Radio" lockText="1" noThreeD="1"/>
</file>

<file path=xl/ctrlProps/ctrlProp112.xml><?xml version="1.0" encoding="utf-8"?>
<formControlPr xmlns="http://schemas.microsoft.com/office/spreadsheetml/2009/9/main" objectType="Radio" checked="Checked" lockText="1" noThreeD="1"/>
</file>

<file path=xl/ctrlProps/ctrlProp113.xml><?xml version="1.0" encoding="utf-8"?>
<formControlPr xmlns="http://schemas.microsoft.com/office/spreadsheetml/2009/9/main" objectType="CheckBox" fmlaLink="$P$106" noThreeD="1"/>
</file>

<file path=xl/ctrlProps/ctrlProp114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3" Type="http://schemas.openxmlformats.org/officeDocument/2006/relationships/image" Target="../media/image3.jpeg"/><Relationship Id="rId7" Type="http://schemas.openxmlformats.org/officeDocument/2006/relationships/chart" Target="../charts/chart2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1.xml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56</xdr:row>
          <xdr:rowOff>12700</xdr:rowOff>
        </xdr:from>
        <xdr:to>
          <xdr:col>6</xdr:col>
          <xdr:colOff>495300</xdr:colOff>
          <xdr:row>57</xdr:row>
          <xdr:rowOff>0</xdr:rowOff>
        </xdr:to>
        <xdr:sp macro="" textlink="">
          <xdr:nvSpPr>
            <xdr:cNvPr id="11268" name="Scroll Bar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58</xdr:row>
          <xdr:rowOff>12700</xdr:rowOff>
        </xdr:from>
        <xdr:to>
          <xdr:col>6</xdr:col>
          <xdr:colOff>495300</xdr:colOff>
          <xdr:row>58</xdr:row>
          <xdr:rowOff>266700</xdr:rowOff>
        </xdr:to>
        <xdr:sp macro="" textlink="">
          <xdr:nvSpPr>
            <xdr:cNvPr id="11269" name="Scroll Bar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72</xdr:row>
          <xdr:rowOff>12700</xdr:rowOff>
        </xdr:from>
        <xdr:to>
          <xdr:col>6</xdr:col>
          <xdr:colOff>495300</xdr:colOff>
          <xdr:row>73</xdr:row>
          <xdr:rowOff>0</xdr:rowOff>
        </xdr:to>
        <xdr:sp macro="" textlink="">
          <xdr:nvSpPr>
            <xdr:cNvPr id="11270" name="Scroll Bar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19</xdr:row>
          <xdr:rowOff>12700</xdr:rowOff>
        </xdr:from>
        <xdr:to>
          <xdr:col>6</xdr:col>
          <xdr:colOff>482600</xdr:colOff>
          <xdr:row>19</xdr:row>
          <xdr:rowOff>254000</xdr:rowOff>
        </xdr:to>
        <xdr:sp macro="" textlink="">
          <xdr:nvSpPr>
            <xdr:cNvPr id="11271" name="Scroll Bar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21</xdr:row>
          <xdr:rowOff>12700</xdr:rowOff>
        </xdr:from>
        <xdr:to>
          <xdr:col>6</xdr:col>
          <xdr:colOff>482600</xdr:colOff>
          <xdr:row>22</xdr:row>
          <xdr:rowOff>0</xdr:rowOff>
        </xdr:to>
        <xdr:sp macro="" textlink="">
          <xdr:nvSpPr>
            <xdr:cNvPr id="11272" name="Scroll Bar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0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60</xdr:row>
          <xdr:rowOff>12700</xdr:rowOff>
        </xdr:from>
        <xdr:to>
          <xdr:col>6</xdr:col>
          <xdr:colOff>495300</xdr:colOff>
          <xdr:row>61</xdr:row>
          <xdr:rowOff>0</xdr:rowOff>
        </xdr:to>
        <xdr:sp macro="" textlink="">
          <xdr:nvSpPr>
            <xdr:cNvPr id="11273" name="Scroll Bar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0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23</xdr:row>
          <xdr:rowOff>12700</xdr:rowOff>
        </xdr:from>
        <xdr:to>
          <xdr:col>6</xdr:col>
          <xdr:colOff>482600</xdr:colOff>
          <xdr:row>23</xdr:row>
          <xdr:rowOff>279400</xdr:rowOff>
        </xdr:to>
        <xdr:sp macro="" textlink="">
          <xdr:nvSpPr>
            <xdr:cNvPr id="11274" name="Scroll Bar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0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34</xdr:row>
          <xdr:rowOff>12700</xdr:rowOff>
        </xdr:from>
        <xdr:to>
          <xdr:col>6</xdr:col>
          <xdr:colOff>495300</xdr:colOff>
          <xdr:row>34</xdr:row>
          <xdr:rowOff>254000</xdr:rowOff>
        </xdr:to>
        <xdr:sp macro="" textlink="">
          <xdr:nvSpPr>
            <xdr:cNvPr id="11275" name="Scroll Bar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0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156</xdr:row>
          <xdr:rowOff>12700</xdr:rowOff>
        </xdr:from>
        <xdr:to>
          <xdr:col>6</xdr:col>
          <xdr:colOff>419100</xdr:colOff>
          <xdr:row>157</xdr:row>
          <xdr:rowOff>0</xdr:rowOff>
        </xdr:to>
        <xdr:sp macro="" textlink="">
          <xdr:nvSpPr>
            <xdr:cNvPr id="11277" name="Scroll Bar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0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147</xdr:row>
          <xdr:rowOff>12700</xdr:rowOff>
        </xdr:from>
        <xdr:to>
          <xdr:col>6</xdr:col>
          <xdr:colOff>469900</xdr:colOff>
          <xdr:row>148</xdr:row>
          <xdr:rowOff>0</xdr:rowOff>
        </xdr:to>
        <xdr:sp macro="" textlink="">
          <xdr:nvSpPr>
            <xdr:cNvPr id="11278" name="Scroll Bar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0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111</xdr:row>
          <xdr:rowOff>12700</xdr:rowOff>
        </xdr:from>
        <xdr:to>
          <xdr:col>6</xdr:col>
          <xdr:colOff>482600</xdr:colOff>
          <xdr:row>112</xdr:row>
          <xdr:rowOff>0</xdr:rowOff>
        </xdr:to>
        <xdr:sp macro="" textlink="">
          <xdr:nvSpPr>
            <xdr:cNvPr id="11281" name="Scroll Bar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0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10</xdr:row>
          <xdr:rowOff>254000</xdr:rowOff>
        </xdr:from>
        <xdr:to>
          <xdr:col>5</xdr:col>
          <xdr:colOff>698500</xdr:colOff>
          <xdr:row>12</xdr:row>
          <xdr:rowOff>165100</xdr:rowOff>
        </xdr:to>
        <xdr:sp macro="" textlink="">
          <xdr:nvSpPr>
            <xdr:cNvPr id="11284" name="Button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0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current  to UD1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10</xdr:row>
          <xdr:rowOff>177800</xdr:rowOff>
        </xdr:from>
        <xdr:to>
          <xdr:col>7</xdr:col>
          <xdr:colOff>774700</xdr:colOff>
          <xdr:row>12</xdr:row>
          <xdr:rowOff>177800</xdr:rowOff>
        </xdr:to>
        <xdr:sp macro="" textlink="">
          <xdr:nvSpPr>
            <xdr:cNvPr id="11285" name="Button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0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current to UD2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1206500</xdr:colOff>
          <xdr:row>53</xdr:row>
          <xdr:rowOff>101600</xdr:rowOff>
        </xdr:from>
        <xdr:to>
          <xdr:col>6</xdr:col>
          <xdr:colOff>1384300</xdr:colOff>
          <xdr:row>55</xdr:row>
          <xdr:rowOff>88900</xdr:rowOff>
        </xdr:to>
        <xdr:sp macro="" textlink="">
          <xdr:nvSpPr>
            <xdr:cNvPr id="11287" name="Group Box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0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1447800</xdr:colOff>
          <xdr:row>53</xdr:row>
          <xdr:rowOff>190500</xdr:rowOff>
        </xdr:from>
        <xdr:to>
          <xdr:col>4</xdr:col>
          <xdr:colOff>838200</xdr:colOff>
          <xdr:row>55</xdr:row>
          <xdr:rowOff>38100</xdr:rowOff>
        </xdr:to>
        <xdr:sp macro="" textlink="">
          <xdr:nvSpPr>
            <xdr:cNvPr id="11288" name="Option Button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0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Scout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800100</xdr:colOff>
          <xdr:row>53</xdr:row>
          <xdr:rowOff>190500</xdr:rowOff>
        </xdr:from>
        <xdr:to>
          <xdr:col>5</xdr:col>
          <xdr:colOff>584200</xdr:colOff>
          <xdr:row>55</xdr:row>
          <xdr:rowOff>38100</xdr:rowOff>
        </xdr:to>
        <xdr:sp macro="" textlink="">
          <xdr:nvSpPr>
            <xdr:cNvPr id="11289" name="Option Button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00000000-0008-0000-0000-00001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LEO-GEO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482600</xdr:colOff>
          <xdr:row>149</xdr:row>
          <xdr:rowOff>152400</xdr:rowOff>
        </xdr:from>
        <xdr:to>
          <xdr:col>6</xdr:col>
          <xdr:colOff>152400</xdr:colOff>
          <xdr:row>151</xdr:row>
          <xdr:rowOff>114300</xdr:rowOff>
        </xdr:to>
        <xdr:sp macro="" textlink="">
          <xdr:nvSpPr>
            <xdr:cNvPr id="11290" name="Group Box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0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Network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787400</xdr:colOff>
          <xdr:row>149</xdr:row>
          <xdr:rowOff>228600</xdr:rowOff>
        </xdr:from>
        <xdr:to>
          <xdr:col>4</xdr:col>
          <xdr:colOff>165100</xdr:colOff>
          <xdr:row>151</xdr:row>
          <xdr:rowOff>88900</xdr:rowOff>
        </xdr:to>
        <xdr:sp macro="" textlink="">
          <xdr:nvSpPr>
            <xdr:cNvPr id="11291" name="Option Button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0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Type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149</xdr:row>
          <xdr:rowOff>228600</xdr:rowOff>
        </xdr:from>
        <xdr:to>
          <xdr:col>5</xdr:col>
          <xdr:colOff>889000</xdr:colOff>
          <xdr:row>151</xdr:row>
          <xdr:rowOff>88900</xdr:rowOff>
        </xdr:to>
        <xdr:sp macro="" textlink="">
          <xdr:nvSpPr>
            <xdr:cNvPr id="11292" name="Option 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0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Type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635000</xdr:colOff>
          <xdr:row>123</xdr:row>
          <xdr:rowOff>152400</xdr:rowOff>
        </xdr:from>
        <xdr:to>
          <xdr:col>6</xdr:col>
          <xdr:colOff>1346200</xdr:colOff>
          <xdr:row>126</xdr:row>
          <xdr:rowOff>25400</xdr:rowOff>
        </xdr:to>
        <xdr:sp macro="" textlink="">
          <xdr:nvSpPr>
            <xdr:cNvPr id="11294" name="Group Box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0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Compute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711200</xdr:colOff>
          <xdr:row>124</xdr:row>
          <xdr:rowOff>25400</xdr:rowOff>
        </xdr:from>
        <xdr:to>
          <xdr:col>3</xdr:col>
          <xdr:colOff>1422400</xdr:colOff>
          <xdr:row>125</xdr:row>
          <xdr:rowOff>152400</xdr:rowOff>
        </xdr:to>
        <xdr:sp macro="" textlink="">
          <xdr:nvSpPr>
            <xdr:cNvPr id="11295" name="Option 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0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CPU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124</xdr:row>
          <xdr:rowOff>25400</xdr:rowOff>
        </xdr:from>
        <xdr:to>
          <xdr:col>4</xdr:col>
          <xdr:colOff>812800</xdr:colOff>
          <xdr:row>125</xdr:row>
          <xdr:rowOff>152400</xdr:rowOff>
        </xdr:to>
        <xdr:sp macro="" textlink="">
          <xdr:nvSpPr>
            <xdr:cNvPr id="11296" name="Option Button 32" hidden="1">
              <a:extLst>
                <a:ext uri="{63B3BB69-23CF-44E3-9099-C40C66FF867C}">
                  <a14:compatExt spid="_x0000_s11296"/>
                </a:ext>
                <a:ext uri="{FF2B5EF4-FFF2-40B4-BE49-F238E27FC236}">
                  <a16:creationId xmlns:a16="http://schemas.microsoft.com/office/drawing/2014/main" id="{00000000-0008-0000-0000-00002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GPU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863600</xdr:colOff>
          <xdr:row>124</xdr:row>
          <xdr:rowOff>25400</xdr:rowOff>
        </xdr:from>
        <xdr:to>
          <xdr:col>5</xdr:col>
          <xdr:colOff>457200</xdr:colOff>
          <xdr:row>125</xdr:row>
          <xdr:rowOff>152400</xdr:rowOff>
        </xdr:to>
        <xdr:sp macro="" textlink="">
          <xdr:nvSpPr>
            <xdr:cNvPr id="11298" name="Option Button 34" hidden="1">
              <a:extLst>
                <a:ext uri="{63B3BB69-23CF-44E3-9099-C40C66FF867C}">
                  <a14:compatExt spid="_x0000_s11298"/>
                </a:ext>
                <a:ext uri="{FF2B5EF4-FFF2-40B4-BE49-F238E27FC236}">
                  <a16:creationId xmlns:a16="http://schemas.microsoft.com/office/drawing/2014/main" id="{00000000-0008-0000-0000-00002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FPGA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546100</xdr:colOff>
          <xdr:row>124</xdr:row>
          <xdr:rowOff>25400</xdr:rowOff>
        </xdr:from>
        <xdr:to>
          <xdr:col>6</xdr:col>
          <xdr:colOff>304800</xdr:colOff>
          <xdr:row>125</xdr:row>
          <xdr:rowOff>152400</xdr:rowOff>
        </xdr:to>
        <xdr:sp macro="" textlink="">
          <xdr:nvSpPr>
            <xdr:cNvPr id="11299" name="Option Button 35" hidden="1">
              <a:extLst>
                <a:ext uri="{63B3BB69-23CF-44E3-9099-C40C66FF867C}">
                  <a14:compatExt spid="_x0000_s11299"/>
                </a:ext>
                <a:ext uri="{FF2B5EF4-FFF2-40B4-BE49-F238E27FC236}">
                  <a16:creationId xmlns:a16="http://schemas.microsoft.com/office/drawing/2014/main" id="{00000000-0008-0000-0000-00002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ASIC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10</xdr:row>
          <xdr:rowOff>127000</xdr:rowOff>
        </xdr:from>
        <xdr:to>
          <xdr:col>12</xdr:col>
          <xdr:colOff>0</xdr:colOff>
          <xdr:row>12</xdr:row>
          <xdr:rowOff>177800</xdr:rowOff>
        </xdr:to>
        <xdr:sp macro="" textlink="">
          <xdr:nvSpPr>
            <xdr:cNvPr id="11301" name="Button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0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Make Current the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190500</xdr:rowOff>
        </xdr:from>
        <xdr:to>
          <xdr:col>3</xdr:col>
          <xdr:colOff>190500</xdr:colOff>
          <xdr:row>12</xdr:row>
          <xdr:rowOff>203200</xdr:rowOff>
        </xdr:to>
        <xdr:sp macro="" textlink="">
          <xdr:nvSpPr>
            <xdr:cNvPr id="11302" name="Button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0000000-0008-0000-0000-00002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to Defaults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1257300</xdr:colOff>
          <xdr:row>80</xdr:row>
          <xdr:rowOff>139700</xdr:rowOff>
        </xdr:from>
        <xdr:to>
          <xdr:col>6</xdr:col>
          <xdr:colOff>1371600</xdr:colOff>
          <xdr:row>82</xdr:row>
          <xdr:rowOff>177800</xdr:rowOff>
        </xdr:to>
        <xdr:sp macro="" textlink="">
          <xdr:nvSpPr>
            <xdr:cNvPr id="11304" name="Group Box 40" hidden="1">
              <a:extLst>
                <a:ext uri="{63B3BB69-23CF-44E3-9099-C40C66FF867C}">
                  <a14:compatExt spid="_x0000_s11304"/>
                </a:ext>
                <a:ext uri="{FF2B5EF4-FFF2-40B4-BE49-F238E27FC236}">
                  <a16:creationId xmlns:a16="http://schemas.microsoft.com/office/drawing/2014/main" id="{00000000-0008-0000-0000-00002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In Orbit Maintenance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1473200</xdr:colOff>
          <xdr:row>80</xdr:row>
          <xdr:rowOff>228600</xdr:rowOff>
        </xdr:from>
        <xdr:to>
          <xdr:col>4</xdr:col>
          <xdr:colOff>927100</xdr:colOff>
          <xdr:row>82</xdr:row>
          <xdr:rowOff>76200</xdr:rowOff>
        </xdr:to>
        <xdr:sp macro="" textlink="">
          <xdr:nvSpPr>
            <xdr:cNvPr id="11305" name="Option Button 41" hidden="1">
              <a:extLst>
                <a:ext uri="{63B3BB69-23CF-44E3-9099-C40C66FF867C}">
                  <a14:compatExt spid="_x0000_s11305"/>
                </a:ext>
                <a:ext uri="{FF2B5EF4-FFF2-40B4-BE49-F238E27FC236}">
                  <a16:creationId xmlns:a16="http://schemas.microsoft.com/office/drawing/2014/main" id="{00000000-0008-0000-0000-00002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Level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914400</xdr:colOff>
          <xdr:row>80</xdr:row>
          <xdr:rowOff>215900</xdr:rowOff>
        </xdr:from>
        <xdr:to>
          <xdr:col>5</xdr:col>
          <xdr:colOff>647700</xdr:colOff>
          <xdr:row>82</xdr:row>
          <xdr:rowOff>88900</xdr:rowOff>
        </xdr:to>
        <xdr:sp macro="" textlink="">
          <xdr:nvSpPr>
            <xdr:cNvPr id="11306" name="Option Button 42" hidden="1">
              <a:extLst>
                <a:ext uri="{63B3BB69-23CF-44E3-9099-C40C66FF867C}">
                  <a14:compatExt spid="_x0000_s11306"/>
                </a:ext>
                <a:ext uri="{FF2B5EF4-FFF2-40B4-BE49-F238E27FC236}">
                  <a16:creationId xmlns:a16="http://schemas.microsoft.com/office/drawing/2014/main" id="{00000000-0008-0000-0000-00002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Level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647700</xdr:colOff>
          <xdr:row>152</xdr:row>
          <xdr:rowOff>190500</xdr:rowOff>
        </xdr:from>
        <xdr:to>
          <xdr:col>6</xdr:col>
          <xdr:colOff>355600</xdr:colOff>
          <xdr:row>154</xdr:row>
          <xdr:rowOff>165100</xdr:rowOff>
        </xdr:to>
        <xdr:sp macro="" textlink="">
          <xdr:nvSpPr>
            <xdr:cNvPr id="11309" name="Group Box 45" hidden="1">
              <a:extLst>
                <a:ext uri="{63B3BB69-23CF-44E3-9099-C40C66FF867C}">
                  <a14:compatExt spid="_x0000_s11309"/>
                </a:ext>
                <a:ext uri="{FF2B5EF4-FFF2-40B4-BE49-F238E27FC236}">
                  <a16:creationId xmlns:a16="http://schemas.microsoft.com/office/drawing/2014/main" id="{00000000-0008-0000-0000-00002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SW def. Reconf.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153</xdr:row>
          <xdr:rowOff>25400</xdr:rowOff>
        </xdr:from>
        <xdr:to>
          <xdr:col>4</xdr:col>
          <xdr:colOff>228600</xdr:colOff>
          <xdr:row>154</xdr:row>
          <xdr:rowOff>101600</xdr:rowOff>
        </xdr:to>
        <xdr:sp macro="" textlink="">
          <xdr:nvSpPr>
            <xdr:cNvPr id="11310" name="Option Button 46" hidden="1">
              <a:extLst>
                <a:ext uri="{63B3BB69-23CF-44E3-9099-C40C66FF867C}">
                  <a14:compatExt spid="_x0000_s11310"/>
                </a:ext>
                <a:ext uri="{FF2B5EF4-FFF2-40B4-BE49-F238E27FC236}">
                  <a16:creationId xmlns:a16="http://schemas.microsoft.com/office/drawing/2014/main" id="{00000000-0008-0000-0000-00002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Type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152</xdr:row>
          <xdr:rowOff>266700</xdr:rowOff>
        </xdr:from>
        <xdr:to>
          <xdr:col>6</xdr:col>
          <xdr:colOff>25400</xdr:colOff>
          <xdr:row>154</xdr:row>
          <xdr:rowOff>127000</xdr:rowOff>
        </xdr:to>
        <xdr:sp macro="" textlink="">
          <xdr:nvSpPr>
            <xdr:cNvPr id="11311" name="Option Button 47" hidden="1">
              <a:extLst>
                <a:ext uri="{63B3BB69-23CF-44E3-9099-C40C66FF867C}">
                  <a14:compatExt spid="_x0000_s11311"/>
                </a:ext>
                <a:ext uri="{FF2B5EF4-FFF2-40B4-BE49-F238E27FC236}">
                  <a16:creationId xmlns:a16="http://schemas.microsoft.com/office/drawing/2014/main" id="{00000000-0008-0000-0000-00002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Type 2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143</xdr:row>
          <xdr:rowOff>330200</xdr:rowOff>
        </xdr:from>
        <xdr:to>
          <xdr:col>5</xdr:col>
          <xdr:colOff>749300</xdr:colOff>
          <xdr:row>145</xdr:row>
          <xdr:rowOff>114300</xdr:rowOff>
        </xdr:to>
        <xdr:sp macro="" textlink="">
          <xdr:nvSpPr>
            <xdr:cNvPr id="11317" name="Group Box 53" hidden="1">
              <a:extLst>
                <a:ext uri="{63B3BB69-23CF-44E3-9099-C40C66FF867C}">
                  <a14:compatExt spid="_x0000_s11317"/>
                </a:ext>
                <a:ext uri="{FF2B5EF4-FFF2-40B4-BE49-F238E27FC236}">
                  <a16:creationId xmlns:a16="http://schemas.microsoft.com/office/drawing/2014/main" id="{00000000-0008-0000-0000-00003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Container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749300</xdr:colOff>
          <xdr:row>144</xdr:row>
          <xdr:rowOff>88900</xdr:rowOff>
        </xdr:from>
        <xdr:to>
          <xdr:col>4</xdr:col>
          <xdr:colOff>63500</xdr:colOff>
          <xdr:row>145</xdr:row>
          <xdr:rowOff>25400</xdr:rowOff>
        </xdr:to>
        <xdr:sp macro="" textlink="">
          <xdr:nvSpPr>
            <xdr:cNvPr id="11318" name="Option Button 54" hidden="1">
              <a:extLst>
                <a:ext uri="{63B3BB69-23CF-44E3-9099-C40C66FF867C}">
                  <a14:compatExt spid="_x0000_s11318"/>
                </a:ext>
                <a:ext uri="{FF2B5EF4-FFF2-40B4-BE49-F238E27FC236}">
                  <a16:creationId xmlns:a16="http://schemas.microsoft.com/office/drawing/2014/main" id="{00000000-0008-0000-0000-00003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VM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508000</xdr:colOff>
          <xdr:row>141</xdr:row>
          <xdr:rowOff>177800</xdr:rowOff>
        </xdr:from>
        <xdr:to>
          <xdr:col>5</xdr:col>
          <xdr:colOff>762000</xdr:colOff>
          <xdr:row>143</xdr:row>
          <xdr:rowOff>12700</xdr:rowOff>
        </xdr:to>
        <xdr:sp macro="" textlink="">
          <xdr:nvSpPr>
            <xdr:cNvPr id="11321" name="Group Box 57" hidden="1">
              <a:extLst>
                <a:ext uri="{63B3BB69-23CF-44E3-9099-C40C66FF867C}">
                  <a14:compatExt spid="_x0000_s11321"/>
                </a:ext>
                <a:ext uri="{FF2B5EF4-FFF2-40B4-BE49-F238E27FC236}">
                  <a16:creationId xmlns:a16="http://schemas.microsoft.com/office/drawing/2014/main" id="{00000000-0008-0000-0000-00003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142</xdr:row>
          <xdr:rowOff>12700</xdr:rowOff>
        </xdr:from>
        <xdr:to>
          <xdr:col>4</xdr:col>
          <xdr:colOff>203200</xdr:colOff>
          <xdr:row>142</xdr:row>
          <xdr:rowOff>393700</xdr:rowOff>
        </xdr:to>
        <xdr:sp macro="" textlink="">
          <xdr:nvSpPr>
            <xdr:cNvPr id="11322" name="Option Button 58" hidden="1">
              <a:extLst>
                <a:ext uri="{63B3BB69-23CF-44E3-9099-C40C66FF867C}">
                  <a14:compatExt spid="_x0000_s11322"/>
                </a:ext>
                <a:ext uri="{FF2B5EF4-FFF2-40B4-BE49-F238E27FC236}">
                  <a16:creationId xmlns:a16="http://schemas.microsoft.com/office/drawing/2014/main" id="{00000000-0008-0000-0000-00003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RedHat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800100</xdr:colOff>
          <xdr:row>141</xdr:row>
          <xdr:rowOff>266700</xdr:rowOff>
        </xdr:from>
        <xdr:to>
          <xdr:col>5</xdr:col>
          <xdr:colOff>571500</xdr:colOff>
          <xdr:row>142</xdr:row>
          <xdr:rowOff>393700</xdr:rowOff>
        </xdr:to>
        <xdr:sp macro="" textlink="">
          <xdr:nvSpPr>
            <xdr:cNvPr id="11323" name="Option Button 59" hidden="1">
              <a:extLst>
                <a:ext uri="{63B3BB69-23CF-44E3-9099-C40C66FF867C}">
                  <a14:compatExt spid="_x0000_s11323"/>
                </a:ext>
                <a:ext uri="{FF2B5EF4-FFF2-40B4-BE49-F238E27FC236}">
                  <a16:creationId xmlns:a16="http://schemas.microsoft.com/office/drawing/2014/main" id="{00000000-0008-0000-0000-00003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YOCTO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45</xdr:row>
          <xdr:rowOff>177800</xdr:rowOff>
        </xdr:from>
        <xdr:to>
          <xdr:col>6</xdr:col>
          <xdr:colOff>1397000</xdr:colOff>
          <xdr:row>47</xdr:row>
          <xdr:rowOff>190500</xdr:rowOff>
        </xdr:to>
        <xdr:sp macro="" textlink="">
          <xdr:nvSpPr>
            <xdr:cNvPr id="11332" name="Group Box 68" hidden="1">
              <a:extLst>
                <a:ext uri="{63B3BB69-23CF-44E3-9099-C40C66FF867C}">
                  <a14:compatExt spid="_x0000_s11332"/>
                </a:ext>
                <a:ext uri="{FF2B5EF4-FFF2-40B4-BE49-F238E27FC236}">
                  <a16:creationId xmlns:a16="http://schemas.microsoft.com/office/drawing/2014/main" id="{00000000-0008-0000-0000-00004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Comm Encrypt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1524000</xdr:colOff>
          <xdr:row>45</xdr:row>
          <xdr:rowOff>355600</xdr:rowOff>
        </xdr:from>
        <xdr:to>
          <xdr:col>4</xdr:col>
          <xdr:colOff>901700</xdr:colOff>
          <xdr:row>47</xdr:row>
          <xdr:rowOff>127000</xdr:rowOff>
        </xdr:to>
        <xdr:sp macro="" textlink="">
          <xdr:nvSpPr>
            <xdr:cNvPr id="11333" name="Option Button 69" hidden="1">
              <a:extLst>
                <a:ext uri="{63B3BB69-23CF-44E3-9099-C40C66FF867C}">
                  <a14:compatExt spid="_x0000_s11333"/>
                </a:ext>
                <a:ext uri="{FF2B5EF4-FFF2-40B4-BE49-F238E27FC236}">
                  <a16:creationId xmlns:a16="http://schemas.microsoft.com/office/drawing/2014/main" id="{00000000-0008-0000-0000-00004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Level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45</xdr:row>
          <xdr:rowOff>355600</xdr:rowOff>
        </xdr:from>
        <xdr:to>
          <xdr:col>5</xdr:col>
          <xdr:colOff>889000</xdr:colOff>
          <xdr:row>47</xdr:row>
          <xdr:rowOff>127000</xdr:rowOff>
        </xdr:to>
        <xdr:sp macro="" textlink="">
          <xdr:nvSpPr>
            <xdr:cNvPr id="11334" name="Option Button 70" hidden="1">
              <a:extLst>
                <a:ext uri="{63B3BB69-23CF-44E3-9099-C40C66FF867C}">
                  <a14:compatExt spid="_x0000_s11334"/>
                </a:ext>
                <a:ext uri="{FF2B5EF4-FFF2-40B4-BE49-F238E27FC236}">
                  <a16:creationId xmlns:a16="http://schemas.microsoft.com/office/drawing/2014/main" id="{00000000-0008-0000-0000-00004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Level 2</a:t>
              </a:r>
            </a:p>
          </xdr:txBody>
        </xdr:sp>
        <xdr:clientData/>
      </xdr:twoCellAnchor>
    </mc:Choice>
    <mc:Fallback/>
  </mc:AlternateContent>
  <xdr:twoCellAnchor>
    <xdr:from>
      <xdr:col>13</xdr:col>
      <xdr:colOff>174625</xdr:colOff>
      <xdr:row>91</xdr:row>
      <xdr:rowOff>31751</xdr:rowOff>
    </xdr:from>
    <xdr:to>
      <xdr:col>26</xdr:col>
      <xdr:colOff>0</xdr:colOff>
      <xdr:row>124</xdr:row>
      <xdr:rowOff>25400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4271625" y="25838151"/>
          <a:ext cx="17110075" cy="9061449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16</xdr:col>
      <xdr:colOff>83607</xdr:colOff>
      <xdr:row>91</xdr:row>
      <xdr:rowOff>270935</xdr:rowOff>
    </xdr:from>
    <xdr:to>
      <xdr:col>25</xdr:col>
      <xdr:colOff>496357</xdr:colOff>
      <xdr:row>112</xdr:row>
      <xdr:rowOff>203201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8498607" y="26235379"/>
          <a:ext cx="12520083" cy="5816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127000</xdr:colOff>
          <xdr:row>113</xdr:row>
          <xdr:rowOff>203200</xdr:rowOff>
        </xdr:from>
        <xdr:to>
          <xdr:col>25</xdr:col>
          <xdr:colOff>482600</xdr:colOff>
          <xdr:row>119</xdr:row>
          <xdr:rowOff>12700</xdr:rowOff>
        </xdr:to>
        <xdr:sp macro="" textlink="">
          <xdr:nvSpPr>
            <xdr:cNvPr id="11350" name="Group Box 86" hidden="1">
              <a:extLst>
                <a:ext uri="{63B3BB69-23CF-44E3-9099-C40C66FF867C}">
                  <a14:compatExt spid="_x0000_s11350"/>
                </a:ext>
                <a:ext uri="{FF2B5EF4-FFF2-40B4-BE49-F238E27FC236}">
                  <a16:creationId xmlns:a16="http://schemas.microsoft.com/office/drawing/2014/main" id="{00000000-0008-0000-0000-00005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Independent Variable</a:t>
              </a:r>
            </a:p>
            <a:p>
              <a:pPr algn="l" rtl="0">
                <a:defRPr sz="1000"/>
              </a:pPr>
              <a:endParaRPr lang="en-GB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520700</xdr:colOff>
          <xdr:row>8</xdr:row>
          <xdr:rowOff>38100</xdr:rowOff>
        </xdr:from>
        <xdr:to>
          <xdr:col>28</xdr:col>
          <xdr:colOff>596900</xdr:colOff>
          <xdr:row>12</xdr:row>
          <xdr:rowOff>215900</xdr:rowOff>
        </xdr:to>
        <xdr:sp macro="" textlink="">
          <xdr:nvSpPr>
            <xdr:cNvPr id="11369" name="Button 105" hidden="1">
              <a:extLst>
                <a:ext uri="{63B3BB69-23CF-44E3-9099-C40C66FF867C}">
                  <a14:compatExt spid="_x0000_s11369"/>
                </a:ext>
                <a:ext uri="{FF2B5EF4-FFF2-40B4-BE49-F238E27FC236}">
                  <a16:creationId xmlns:a16="http://schemas.microsoft.com/office/drawing/2014/main" id="{00000000-0008-0000-0000-00006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3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Recompute Sweep (takes ~ 40 seconds)</a:t>
              </a:r>
            </a:p>
            <a:p>
              <a:pPr algn="ctr" rtl="0">
                <a:defRPr sz="1000"/>
              </a:pPr>
              <a:r>
                <a:rPr lang="en-GB" sz="3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on a 2020 MacBook Pro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17</xdr:row>
          <xdr:rowOff>25400</xdr:rowOff>
        </xdr:from>
        <xdr:to>
          <xdr:col>6</xdr:col>
          <xdr:colOff>495300</xdr:colOff>
          <xdr:row>18</xdr:row>
          <xdr:rowOff>0</xdr:rowOff>
        </xdr:to>
        <xdr:sp macro="" textlink="">
          <xdr:nvSpPr>
            <xdr:cNvPr id="11371" name="Scroll Bar 107" hidden="1">
              <a:extLst>
                <a:ext uri="{63B3BB69-23CF-44E3-9099-C40C66FF867C}">
                  <a14:compatExt spid="_x0000_s11371"/>
                </a:ext>
                <a:ext uri="{FF2B5EF4-FFF2-40B4-BE49-F238E27FC236}">
                  <a16:creationId xmlns:a16="http://schemas.microsoft.com/office/drawing/2014/main" id="{00000000-0008-0000-0000-00006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496095</xdr:colOff>
      <xdr:row>13</xdr:row>
      <xdr:rowOff>71435</xdr:rowOff>
    </xdr:from>
    <xdr:to>
      <xdr:col>16</xdr:col>
      <xdr:colOff>1036411</xdr:colOff>
      <xdr:row>30</xdr:row>
      <xdr:rowOff>157204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1288143</xdr:colOff>
      <xdr:row>13</xdr:row>
      <xdr:rowOff>71434</xdr:rowOff>
    </xdr:from>
    <xdr:to>
      <xdr:col>24</xdr:col>
      <xdr:colOff>736600</xdr:colOff>
      <xdr:row>30</xdr:row>
      <xdr:rowOff>152400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1040152</xdr:colOff>
      <xdr:row>13</xdr:row>
      <xdr:rowOff>71436</xdr:rowOff>
    </xdr:from>
    <xdr:to>
      <xdr:col>19</xdr:col>
      <xdr:colOff>1270000</xdr:colOff>
      <xdr:row>30</xdr:row>
      <xdr:rowOff>152402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501537</xdr:colOff>
      <xdr:row>30</xdr:row>
      <xdr:rowOff>157275</xdr:rowOff>
    </xdr:from>
    <xdr:to>
      <xdr:col>16</xdr:col>
      <xdr:colOff>1018268</xdr:colOff>
      <xdr:row>49</xdr:row>
      <xdr:rowOff>39899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1018270</xdr:colOff>
      <xdr:row>30</xdr:row>
      <xdr:rowOff>157275</xdr:rowOff>
    </xdr:from>
    <xdr:to>
      <xdr:col>19</xdr:col>
      <xdr:colOff>1244599</xdr:colOff>
      <xdr:row>49</xdr:row>
      <xdr:rowOff>39899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1274875</xdr:colOff>
      <xdr:row>30</xdr:row>
      <xdr:rowOff>157276</xdr:rowOff>
    </xdr:from>
    <xdr:to>
      <xdr:col>24</xdr:col>
      <xdr:colOff>797492</xdr:colOff>
      <xdr:row>49</xdr:row>
      <xdr:rowOff>50800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501137</xdr:colOff>
      <xdr:row>50</xdr:row>
      <xdr:rowOff>62931</xdr:rowOff>
    </xdr:from>
    <xdr:to>
      <xdr:col>16</xdr:col>
      <xdr:colOff>1018269</xdr:colOff>
      <xdr:row>66</xdr:row>
      <xdr:rowOff>214949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1243695</xdr:colOff>
      <xdr:row>67</xdr:row>
      <xdr:rowOff>157124</xdr:rowOff>
    </xdr:from>
    <xdr:to>
      <xdr:col>24</xdr:col>
      <xdr:colOff>879135</xdr:colOff>
      <xdr:row>87</xdr:row>
      <xdr:rowOff>159411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511970</xdr:colOff>
      <xdr:row>67</xdr:row>
      <xdr:rowOff>155814</xdr:rowOff>
    </xdr:from>
    <xdr:to>
      <xdr:col>16</xdr:col>
      <xdr:colOff>1016000</xdr:colOff>
      <xdr:row>87</xdr:row>
      <xdr:rowOff>159470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1015245</xdr:colOff>
      <xdr:row>50</xdr:row>
      <xdr:rowOff>61623</xdr:rowOff>
    </xdr:from>
    <xdr:to>
      <xdr:col>19</xdr:col>
      <xdr:colOff>1245057</xdr:colOff>
      <xdr:row>66</xdr:row>
      <xdr:rowOff>215900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1018837</xdr:colOff>
      <xdr:row>67</xdr:row>
      <xdr:rowOff>156417</xdr:rowOff>
    </xdr:from>
    <xdr:to>
      <xdr:col>19</xdr:col>
      <xdr:colOff>1241249</xdr:colOff>
      <xdr:row>87</xdr:row>
      <xdr:rowOff>177800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1287104</xdr:colOff>
      <xdr:row>50</xdr:row>
      <xdr:rowOff>65198</xdr:rowOff>
    </xdr:from>
    <xdr:to>
      <xdr:col>24</xdr:col>
      <xdr:colOff>814292</xdr:colOff>
      <xdr:row>66</xdr:row>
      <xdr:rowOff>215699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24</xdr:col>
      <xdr:colOff>799761</xdr:colOff>
      <xdr:row>30</xdr:row>
      <xdr:rowOff>155008</xdr:rowOff>
    </xdr:from>
    <xdr:to>
      <xdr:col>28</xdr:col>
      <xdr:colOff>634206</xdr:colOff>
      <xdr:row>49</xdr:row>
      <xdr:rowOff>39556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800100</xdr:colOff>
          <xdr:row>53</xdr:row>
          <xdr:rowOff>203200</xdr:rowOff>
        </xdr:from>
        <xdr:to>
          <xdr:col>6</xdr:col>
          <xdr:colOff>1270000</xdr:colOff>
          <xdr:row>55</xdr:row>
          <xdr:rowOff>38100</xdr:rowOff>
        </xdr:to>
        <xdr:sp macro="" textlink="">
          <xdr:nvSpPr>
            <xdr:cNvPr id="11375" name="Option Button 111" hidden="1">
              <a:extLst>
                <a:ext uri="{63B3BB69-23CF-44E3-9099-C40C66FF867C}">
                  <a14:compatExt spid="_x0000_s11375"/>
                </a:ext>
                <a:ext uri="{FF2B5EF4-FFF2-40B4-BE49-F238E27FC236}">
                  <a16:creationId xmlns:a16="http://schemas.microsoft.com/office/drawing/2014/main" id="{00000000-0008-0000-0000-00006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Lunar Lander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68</xdr:row>
          <xdr:rowOff>12700</xdr:rowOff>
        </xdr:from>
        <xdr:to>
          <xdr:col>6</xdr:col>
          <xdr:colOff>495300</xdr:colOff>
          <xdr:row>69</xdr:row>
          <xdr:rowOff>0</xdr:rowOff>
        </xdr:to>
        <xdr:sp macro="" textlink="">
          <xdr:nvSpPr>
            <xdr:cNvPr id="11377" name="Scroll Bar 113" hidden="1">
              <a:extLst>
                <a:ext uri="{63B3BB69-23CF-44E3-9099-C40C66FF867C}">
                  <a14:compatExt spid="_x0000_s11377"/>
                </a:ext>
                <a:ext uri="{FF2B5EF4-FFF2-40B4-BE49-F238E27FC236}">
                  <a16:creationId xmlns:a16="http://schemas.microsoft.com/office/drawing/2014/main" id="{00000000-0008-0000-0000-00007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88</xdr:row>
          <xdr:rowOff>12700</xdr:rowOff>
        </xdr:from>
        <xdr:to>
          <xdr:col>6</xdr:col>
          <xdr:colOff>508000</xdr:colOff>
          <xdr:row>89</xdr:row>
          <xdr:rowOff>0</xdr:rowOff>
        </xdr:to>
        <xdr:sp macro="" textlink="">
          <xdr:nvSpPr>
            <xdr:cNvPr id="11379" name="Scroll Bar 115" hidden="1">
              <a:extLst>
                <a:ext uri="{63B3BB69-23CF-44E3-9099-C40C66FF867C}">
                  <a14:compatExt spid="_x0000_s11379"/>
                </a:ext>
                <a:ext uri="{FF2B5EF4-FFF2-40B4-BE49-F238E27FC236}">
                  <a16:creationId xmlns:a16="http://schemas.microsoft.com/office/drawing/2014/main" id="{00000000-0008-0000-0000-00007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90</xdr:row>
          <xdr:rowOff>12700</xdr:rowOff>
        </xdr:from>
        <xdr:to>
          <xdr:col>6</xdr:col>
          <xdr:colOff>508000</xdr:colOff>
          <xdr:row>91</xdr:row>
          <xdr:rowOff>0</xdr:rowOff>
        </xdr:to>
        <xdr:sp macro="" textlink="">
          <xdr:nvSpPr>
            <xdr:cNvPr id="11380" name="Scroll Bar 116" hidden="1">
              <a:extLst>
                <a:ext uri="{63B3BB69-23CF-44E3-9099-C40C66FF867C}">
                  <a14:compatExt spid="_x0000_s11380"/>
                </a:ext>
                <a:ext uri="{FF2B5EF4-FFF2-40B4-BE49-F238E27FC236}">
                  <a16:creationId xmlns:a16="http://schemas.microsoft.com/office/drawing/2014/main" id="{00000000-0008-0000-0000-00007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92</xdr:row>
          <xdr:rowOff>12700</xdr:rowOff>
        </xdr:from>
        <xdr:to>
          <xdr:col>6</xdr:col>
          <xdr:colOff>508000</xdr:colOff>
          <xdr:row>93</xdr:row>
          <xdr:rowOff>0</xdr:rowOff>
        </xdr:to>
        <xdr:sp macro="" textlink="">
          <xdr:nvSpPr>
            <xdr:cNvPr id="11381" name="Scroll Bar 117" hidden="1">
              <a:extLst>
                <a:ext uri="{63B3BB69-23CF-44E3-9099-C40C66FF867C}">
                  <a14:compatExt spid="_x0000_s11381"/>
                </a:ext>
                <a:ext uri="{FF2B5EF4-FFF2-40B4-BE49-F238E27FC236}">
                  <a16:creationId xmlns:a16="http://schemas.microsoft.com/office/drawing/2014/main" id="{00000000-0008-0000-0000-00007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96</xdr:row>
          <xdr:rowOff>12700</xdr:rowOff>
        </xdr:from>
        <xdr:to>
          <xdr:col>6</xdr:col>
          <xdr:colOff>508000</xdr:colOff>
          <xdr:row>97</xdr:row>
          <xdr:rowOff>0</xdr:rowOff>
        </xdr:to>
        <xdr:sp macro="" textlink="">
          <xdr:nvSpPr>
            <xdr:cNvPr id="11382" name="Scroll Bar 118" hidden="1">
              <a:extLst>
                <a:ext uri="{63B3BB69-23CF-44E3-9099-C40C66FF867C}">
                  <a14:compatExt spid="_x0000_s11382"/>
                </a:ext>
                <a:ext uri="{FF2B5EF4-FFF2-40B4-BE49-F238E27FC236}">
                  <a16:creationId xmlns:a16="http://schemas.microsoft.com/office/drawing/2014/main" id="{00000000-0008-0000-0000-00007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98</xdr:row>
          <xdr:rowOff>12700</xdr:rowOff>
        </xdr:from>
        <xdr:to>
          <xdr:col>6</xdr:col>
          <xdr:colOff>508000</xdr:colOff>
          <xdr:row>99</xdr:row>
          <xdr:rowOff>0</xdr:rowOff>
        </xdr:to>
        <xdr:sp macro="" textlink="">
          <xdr:nvSpPr>
            <xdr:cNvPr id="11384" name="Scroll Bar 120" hidden="1">
              <a:extLst>
                <a:ext uri="{63B3BB69-23CF-44E3-9099-C40C66FF867C}">
                  <a14:compatExt spid="_x0000_s11384"/>
                </a:ext>
                <a:ext uri="{FF2B5EF4-FFF2-40B4-BE49-F238E27FC236}">
                  <a16:creationId xmlns:a16="http://schemas.microsoft.com/office/drawing/2014/main" id="{00000000-0008-0000-0000-00007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100</xdr:row>
          <xdr:rowOff>12700</xdr:rowOff>
        </xdr:from>
        <xdr:to>
          <xdr:col>6</xdr:col>
          <xdr:colOff>508000</xdr:colOff>
          <xdr:row>101</xdr:row>
          <xdr:rowOff>0</xdr:rowOff>
        </xdr:to>
        <xdr:sp macro="" textlink="">
          <xdr:nvSpPr>
            <xdr:cNvPr id="11387" name="Scroll Bar 123" hidden="1">
              <a:extLst>
                <a:ext uri="{63B3BB69-23CF-44E3-9099-C40C66FF867C}">
                  <a14:compatExt spid="_x0000_s11387"/>
                </a:ext>
                <a:ext uri="{FF2B5EF4-FFF2-40B4-BE49-F238E27FC236}">
                  <a16:creationId xmlns:a16="http://schemas.microsoft.com/office/drawing/2014/main" id="{00000000-0008-0000-0000-00007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124</xdr:row>
          <xdr:rowOff>0</xdr:rowOff>
        </xdr:from>
        <xdr:to>
          <xdr:col>6</xdr:col>
          <xdr:colOff>1270000</xdr:colOff>
          <xdr:row>125</xdr:row>
          <xdr:rowOff>152400</xdr:rowOff>
        </xdr:to>
        <xdr:sp macro="" textlink="">
          <xdr:nvSpPr>
            <xdr:cNvPr id="11388" name="Option Button 124" hidden="1">
              <a:extLst>
                <a:ext uri="{63B3BB69-23CF-44E3-9099-C40C66FF867C}">
                  <a14:compatExt spid="_x0000_s11388"/>
                </a:ext>
                <a:ext uri="{FF2B5EF4-FFF2-40B4-BE49-F238E27FC236}">
                  <a16:creationId xmlns:a16="http://schemas.microsoft.com/office/drawing/2014/main" id="{00000000-0008-0000-0000-00007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Quantum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144</xdr:row>
          <xdr:rowOff>101600</xdr:rowOff>
        </xdr:from>
        <xdr:to>
          <xdr:col>5</xdr:col>
          <xdr:colOff>241300</xdr:colOff>
          <xdr:row>145</xdr:row>
          <xdr:rowOff>12700</xdr:rowOff>
        </xdr:to>
        <xdr:sp macro="" textlink="">
          <xdr:nvSpPr>
            <xdr:cNvPr id="11389" name="Option Button 125" hidden="1">
              <a:extLst>
                <a:ext uri="{63B3BB69-23CF-44E3-9099-C40C66FF867C}">
                  <a14:compatExt spid="_x0000_s11389"/>
                </a:ext>
                <a:ext uri="{FF2B5EF4-FFF2-40B4-BE49-F238E27FC236}">
                  <a16:creationId xmlns:a16="http://schemas.microsoft.com/office/drawing/2014/main" id="{00000000-0008-0000-0000-00007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Container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107</xdr:row>
          <xdr:rowOff>12700</xdr:rowOff>
        </xdr:from>
        <xdr:to>
          <xdr:col>6</xdr:col>
          <xdr:colOff>508000</xdr:colOff>
          <xdr:row>107</xdr:row>
          <xdr:rowOff>279400</xdr:rowOff>
        </xdr:to>
        <xdr:sp macro="" textlink="">
          <xdr:nvSpPr>
            <xdr:cNvPr id="11390" name="Scroll Bar 126" hidden="1">
              <a:extLst>
                <a:ext uri="{63B3BB69-23CF-44E3-9099-C40C66FF867C}">
                  <a14:compatExt spid="_x0000_s11390"/>
                </a:ext>
                <a:ext uri="{FF2B5EF4-FFF2-40B4-BE49-F238E27FC236}">
                  <a16:creationId xmlns:a16="http://schemas.microsoft.com/office/drawing/2014/main" id="{00000000-0008-0000-0000-00007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105</xdr:row>
          <xdr:rowOff>12700</xdr:rowOff>
        </xdr:from>
        <xdr:to>
          <xdr:col>6</xdr:col>
          <xdr:colOff>482600</xdr:colOff>
          <xdr:row>105</xdr:row>
          <xdr:rowOff>279400</xdr:rowOff>
        </xdr:to>
        <xdr:sp macro="" textlink="">
          <xdr:nvSpPr>
            <xdr:cNvPr id="11391" name="Scroll Bar 127" hidden="1">
              <a:extLst>
                <a:ext uri="{63B3BB69-23CF-44E3-9099-C40C66FF867C}">
                  <a14:compatExt spid="_x0000_s11391"/>
                </a:ext>
                <a:ext uri="{FF2B5EF4-FFF2-40B4-BE49-F238E27FC236}">
                  <a16:creationId xmlns:a16="http://schemas.microsoft.com/office/drawing/2014/main" id="{00000000-0008-0000-0000-00007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635000</xdr:colOff>
          <xdr:row>127</xdr:row>
          <xdr:rowOff>152400</xdr:rowOff>
        </xdr:from>
        <xdr:to>
          <xdr:col>6</xdr:col>
          <xdr:colOff>1346200</xdr:colOff>
          <xdr:row>130</xdr:row>
          <xdr:rowOff>25400</xdr:rowOff>
        </xdr:to>
        <xdr:sp macro="" textlink="">
          <xdr:nvSpPr>
            <xdr:cNvPr id="11392" name="Group Box 128" hidden="1">
              <a:extLst>
                <a:ext uri="{63B3BB69-23CF-44E3-9099-C40C66FF867C}">
                  <a14:compatExt spid="_x0000_s11392"/>
                </a:ext>
                <a:ext uri="{FF2B5EF4-FFF2-40B4-BE49-F238E27FC236}">
                  <a16:creationId xmlns:a16="http://schemas.microsoft.com/office/drawing/2014/main" id="{00000000-0008-0000-0000-00008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PV Technology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711200</xdr:colOff>
          <xdr:row>128</xdr:row>
          <xdr:rowOff>25400</xdr:rowOff>
        </xdr:from>
        <xdr:to>
          <xdr:col>3</xdr:col>
          <xdr:colOff>1422400</xdr:colOff>
          <xdr:row>129</xdr:row>
          <xdr:rowOff>152400</xdr:rowOff>
        </xdr:to>
        <xdr:sp macro="" textlink="">
          <xdr:nvSpPr>
            <xdr:cNvPr id="11393" name="Option Button 129" hidden="1">
              <a:extLst>
                <a:ext uri="{63B3BB69-23CF-44E3-9099-C40C66FF867C}">
                  <a14:compatExt spid="_x0000_s11393"/>
                </a:ext>
                <a:ext uri="{FF2B5EF4-FFF2-40B4-BE49-F238E27FC236}">
                  <a16:creationId xmlns:a16="http://schemas.microsoft.com/office/drawing/2014/main" id="{00000000-0008-0000-0000-00008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SI-Am.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279400</xdr:colOff>
          <xdr:row>128</xdr:row>
          <xdr:rowOff>25400</xdr:rowOff>
        </xdr:from>
        <xdr:to>
          <xdr:col>4</xdr:col>
          <xdr:colOff>1016000</xdr:colOff>
          <xdr:row>129</xdr:row>
          <xdr:rowOff>152400</xdr:rowOff>
        </xdr:to>
        <xdr:sp macro="" textlink="">
          <xdr:nvSpPr>
            <xdr:cNvPr id="11394" name="Option Button 130" hidden="1">
              <a:extLst>
                <a:ext uri="{63B3BB69-23CF-44E3-9099-C40C66FF867C}">
                  <a14:compatExt spid="_x0000_s11394"/>
                </a:ext>
                <a:ext uri="{FF2B5EF4-FFF2-40B4-BE49-F238E27FC236}">
                  <a16:creationId xmlns:a16="http://schemas.microsoft.com/office/drawing/2014/main" id="{00000000-0008-0000-0000-00008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Single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101600</xdr:colOff>
          <xdr:row>128</xdr:row>
          <xdr:rowOff>25400</xdr:rowOff>
        </xdr:from>
        <xdr:to>
          <xdr:col>5</xdr:col>
          <xdr:colOff>825500</xdr:colOff>
          <xdr:row>129</xdr:row>
          <xdr:rowOff>152400</xdr:rowOff>
        </xdr:to>
        <xdr:sp macro="" textlink="">
          <xdr:nvSpPr>
            <xdr:cNvPr id="11395" name="Option Button 131" hidden="1">
              <a:extLst>
                <a:ext uri="{63B3BB69-23CF-44E3-9099-C40C66FF867C}">
                  <a14:compatExt spid="_x0000_s11395"/>
                </a:ext>
                <a:ext uri="{FF2B5EF4-FFF2-40B4-BE49-F238E27FC236}">
                  <a16:creationId xmlns:a16="http://schemas.microsoft.com/office/drawing/2014/main" id="{00000000-0008-0000-0000-00008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Hetero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128</xdr:row>
          <xdr:rowOff>25400</xdr:rowOff>
        </xdr:from>
        <xdr:to>
          <xdr:col>6</xdr:col>
          <xdr:colOff>1028700</xdr:colOff>
          <xdr:row>129</xdr:row>
          <xdr:rowOff>152400</xdr:rowOff>
        </xdr:to>
        <xdr:sp macro="" textlink="">
          <xdr:nvSpPr>
            <xdr:cNvPr id="11396" name="Option Button 132" hidden="1">
              <a:extLst>
                <a:ext uri="{63B3BB69-23CF-44E3-9099-C40C66FF867C}">
                  <a14:compatExt spid="_x0000_s11396"/>
                </a:ext>
                <a:ext uri="{FF2B5EF4-FFF2-40B4-BE49-F238E27FC236}">
                  <a16:creationId xmlns:a16="http://schemas.microsoft.com/office/drawing/2014/main" id="{00000000-0008-0000-0000-00008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Organic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27</xdr:row>
          <xdr:rowOff>25400</xdr:rowOff>
        </xdr:from>
        <xdr:to>
          <xdr:col>6</xdr:col>
          <xdr:colOff>495300</xdr:colOff>
          <xdr:row>28</xdr:row>
          <xdr:rowOff>38100</xdr:rowOff>
        </xdr:to>
        <xdr:sp macro="" textlink="">
          <xdr:nvSpPr>
            <xdr:cNvPr id="11397" name="Scroll Bar 133" hidden="1">
              <a:extLst>
                <a:ext uri="{63B3BB69-23CF-44E3-9099-C40C66FF867C}">
                  <a14:compatExt spid="_x0000_s11397"/>
                </a:ext>
                <a:ext uri="{FF2B5EF4-FFF2-40B4-BE49-F238E27FC236}">
                  <a16:creationId xmlns:a16="http://schemas.microsoft.com/office/drawing/2014/main" id="{00000000-0008-0000-0000-00008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131</xdr:row>
          <xdr:rowOff>12700</xdr:rowOff>
        </xdr:from>
        <xdr:to>
          <xdr:col>6</xdr:col>
          <xdr:colOff>495300</xdr:colOff>
          <xdr:row>132</xdr:row>
          <xdr:rowOff>0</xdr:rowOff>
        </xdr:to>
        <xdr:sp macro="" textlink="">
          <xdr:nvSpPr>
            <xdr:cNvPr id="11399" name="Scroll Bar 135" hidden="1">
              <a:extLst>
                <a:ext uri="{63B3BB69-23CF-44E3-9099-C40C66FF867C}">
                  <a14:compatExt spid="_x0000_s11399"/>
                </a:ext>
                <a:ext uri="{FF2B5EF4-FFF2-40B4-BE49-F238E27FC236}">
                  <a16:creationId xmlns:a16="http://schemas.microsoft.com/office/drawing/2014/main" id="{00000000-0008-0000-0000-00008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6</xdr:row>
          <xdr:rowOff>203200</xdr:rowOff>
        </xdr:from>
        <xdr:to>
          <xdr:col>3</xdr:col>
          <xdr:colOff>127000</xdr:colOff>
          <xdr:row>8</xdr:row>
          <xdr:rowOff>114300</xdr:rowOff>
        </xdr:to>
        <xdr:sp macro="" textlink="">
          <xdr:nvSpPr>
            <xdr:cNvPr id="11400" name="Option Button 136" hidden="1">
              <a:extLst>
                <a:ext uri="{63B3BB69-23CF-44E3-9099-C40C66FF867C}">
                  <a14:compatExt spid="_x0000_s11400"/>
                </a:ext>
                <a:ext uri="{FF2B5EF4-FFF2-40B4-BE49-F238E27FC236}">
                  <a16:creationId xmlns:a16="http://schemas.microsoft.com/office/drawing/2014/main" id="{00000000-0008-0000-0000-00008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UC1 - LEO-Scout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5</xdr:row>
          <xdr:rowOff>254000</xdr:rowOff>
        </xdr:from>
        <xdr:to>
          <xdr:col>10</xdr:col>
          <xdr:colOff>12700</xdr:colOff>
          <xdr:row>8</xdr:row>
          <xdr:rowOff>215900</xdr:rowOff>
        </xdr:to>
        <xdr:sp macro="" textlink="">
          <xdr:nvSpPr>
            <xdr:cNvPr id="11401" name="Group Box 137" hidden="1">
              <a:extLst>
                <a:ext uri="{63B3BB69-23CF-44E3-9099-C40C66FF867C}">
                  <a14:compatExt spid="_x0000_s11401"/>
                </a:ext>
                <a:ext uri="{FF2B5EF4-FFF2-40B4-BE49-F238E27FC236}">
                  <a16:creationId xmlns:a16="http://schemas.microsoft.com/office/drawing/2014/main" id="{00000000-0008-0000-0000-00008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USE Case Selection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254000</xdr:colOff>
          <xdr:row>6</xdr:row>
          <xdr:rowOff>203200</xdr:rowOff>
        </xdr:from>
        <xdr:to>
          <xdr:col>4</xdr:col>
          <xdr:colOff>444500</xdr:colOff>
          <xdr:row>8</xdr:row>
          <xdr:rowOff>88900</xdr:rowOff>
        </xdr:to>
        <xdr:sp macro="" textlink="">
          <xdr:nvSpPr>
            <xdr:cNvPr id="11402" name="Option Button 138" hidden="1">
              <a:extLst>
                <a:ext uri="{63B3BB69-23CF-44E3-9099-C40C66FF867C}">
                  <a14:compatExt spid="_x0000_s11402"/>
                </a:ext>
                <a:ext uri="{FF2B5EF4-FFF2-40B4-BE49-F238E27FC236}">
                  <a16:creationId xmlns:a16="http://schemas.microsoft.com/office/drawing/2014/main" id="{00000000-0008-0000-0000-00008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UC2- LEO to GEO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6</xdr:row>
          <xdr:rowOff>203200</xdr:rowOff>
        </xdr:from>
        <xdr:to>
          <xdr:col>6</xdr:col>
          <xdr:colOff>304800</xdr:colOff>
          <xdr:row>8</xdr:row>
          <xdr:rowOff>114300</xdr:rowOff>
        </xdr:to>
        <xdr:sp macro="" textlink="">
          <xdr:nvSpPr>
            <xdr:cNvPr id="11403" name="Option Button 139" hidden="1">
              <a:extLst>
                <a:ext uri="{63B3BB69-23CF-44E3-9099-C40C66FF867C}">
                  <a14:compatExt spid="_x0000_s11403"/>
                </a:ext>
                <a:ext uri="{FF2B5EF4-FFF2-40B4-BE49-F238E27FC236}">
                  <a16:creationId xmlns:a16="http://schemas.microsoft.com/office/drawing/2014/main" id="{00000000-0008-0000-0000-00008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UC3- Lunar Lander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6</xdr:row>
          <xdr:rowOff>190500</xdr:rowOff>
        </xdr:from>
        <xdr:to>
          <xdr:col>8</xdr:col>
          <xdr:colOff>63500</xdr:colOff>
          <xdr:row>8</xdr:row>
          <xdr:rowOff>127000</xdr:rowOff>
        </xdr:to>
        <xdr:sp macro="" textlink="">
          <xdr:nvSpPr>
            <xdr:cNvPr id="11404" name="Option Button 140" hidden="1">
              <a:extLst>
                <a:ext uri="{63B3BB69-23CF-44E3-9099-C40C66FF867C}">
                  <a14:compatExt spid="_x0000_s11404"/>
                </a:ext>
                <a:ext uri="{FF2B5EF4-FFF2-40B4-BE49-F238E27FC236}">
                  <a16:creationId xmlns:a16="http://schemas.microsoft.com/office/drawing/2014/main" id="{00000000-0008-0000-0000-00008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User Defined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355600</xdr:colOff>
          <xdr:row>6</xdr:row>
          <xdr:rowOff>190500</xdr:rowOff>
        </xdr:from>
        <xdr:to>
          <xdr:col>9</xdr:col>
          <xdr:colOff>1054100</xdr:colOff>
          <xdr:row>8</xdr:row>
          <xdr:rowOff>114300</xdr:rowOff>
        </xdr:to>
        <xdr:sp macro="" textlink="">
          <xdr:nvSpPr>
            <xdr:cNvPr id="11405" name="Option Button 141" hidden="1">
              <a:extLst>
                <a:ext uri="{63B3BB69-23CF-44E3-9099-C40C66FF867C}">
                  <a14:compatExt spid="_x0000_s11405"/>
                </a:ext>
                <a:ext uri="{FF2B5EF4-FFF2-40B4-BE49-F238E27FC236}">
                  <a16:creationId xmlns:a16="http://schemas.microsoft.com/office/drawing/2014/main" id="{00000000-0008-0000-0000-00008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User Defined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32</xdr:row>
          <xdr:rowOff>12700</xdr:rowOff>
        </xdr:from>
        <xdr:to>
          <xdr:col>6</xdr:col>
          <xdr:colOff>495300</xdr:colOff>
          <xdr:row>32</xdr:row>
          <xdr:rowOff>292100</xdr:rowOff>
        </xdr:to>
        <xdr:sp macro="" textlink="">
          <xdr:nvSpPr>
            <xdr:cNvPr id="11406" name="Scroll Bar 142" hidden="1">
              <a:extLst>
                <a:ext uri="{63B3BB69-23CF-44E3-9099-C40C66FF867C}">
                  <a14:compatExt spid="_x0000_s11406"/>
                </a:ext>
                <a:ext uri="{FF2B5EF4-FFF2-40B4-BE49-F238E27FC236}">
                  <a16:creationId xmlns:a16="http://schemas.microsoft.com/office/drawing/2014/main" id="{00000000-0008-0000-0000-00008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42</xdr:row>
          <xdr:rowOff>12700</xdr:rowOff>
        </xdr:from>
        <xdr:to>
          <xdr:col>6</xdr:col>
          <xdr:colOff>495300</xdr:colOff>
          <xdr:row>42</xdr:row>
          <xdr:rowOff>254000</xdr:rowOff>
        </xdr:to>
        <xdr:sp macro="" textlink="">
          <xdr:nvSpPr>
            <xdr:cNvPr id="11407" name="Scroll Bar 143" hidden="1">
              <a:extLst>
                <a:ext uri="{63B3BB69-23CF-44E3-9099-C40C66FF867C}">
                  <a14:compatExt spid="_x0000_s11407"/>
                </a:ext>
                <a:ext uri="{FF2B5EF4-FFF2-40B4-BE49-F238E27FC236}">
                  <a16:creationId xmlns:a16="http://schemas.microsoft.com/office/drawing/2014/main" id="{00000000-0008-0000-0000-00008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44</xdr:row>
          <xdr:rowOff>12700</xdr:rowOff>
        </xdr:from>
        <xdr:to>
          <xdr:col>6</xdr:col>
          <xdr:colOff>495300</xdr:colOff>
          <xdr:row>44</xdr:row>
          <xdr:rowOff>254000</xdr:rowOff>
        </xdr:to>
        <xdr:sp macro="" textlink="">
          <xdr:nvSpPr>
            <xdr:cNvPr id="11408" name="Scroll Bar 144" hidden="1">
              <a:extLst>
                <a:ext uri="{63B3BB69-23CF-44E3-9099-C40C66FF867C}">
                  <a14:compatExt spid="_x0000_s11408"/>
                </a:ext>
                <a:ext uri="{FF2B5EF4-FFF2-40B4-BE49-F238E27FC236}">
                  <a16:creationId xmlns:a16="http://schemas.microsoft.com/office/drawing/2014/main" id="{00000000-0008-0000-0000-00009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109</xdr:row>
          <xdr:rowOff>12700</xdr:rowOff>
        </xdr:from>
        <xdr:to>
          <xdr:col>6</xdr:col>
          <xdr:colOff>508000</xdr:colOff>
          <xdr:row>110</xdr:row>
          <xdr:rowOff>0</xdr:rowOff>
        </xdr:to>
        <xdr:sp macro="" textlink="">
          <xdr:nvSpPr>
            <xdr:cNvPr id="11409" name="Scroll Bar 145" hidden="1">
              <a:extLst>
                <a:ext uri="{63B3BB69-23CF-44E3-9099-C40C66FF867C}">
                  <a14:compatExt spid="_x0000_s11409"/>
                </a:ext>
                <a:ext uri="{FF2B5EF4-FFF2-40B4-BE49-F238E27FC236}">
                  <a16:creationId xmlns:a16="http://schemas.microsoft.com/office/drawing/2014/main" id="{00000000-0008-0000-0000-00009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36</xdr:row>
          <xdr:rowOff>12700</xdr:rowOff>
        </xdr:from>
        <xdr:to>
          <xdr:col>6</xdr:col>
          <xdr:colOff>495300</xdr:colOff>
          <xdr:row>37</xdr:row>
          <xdr:rowOff>25400</xdr:rowOff>
        </xdr:to>
        <xdr:sp macro="" textlink="">
          <xdr:nvSpPr>
            <xdr:cNvPr id="11410" name="Scroll Bar 146" hidden="1">
              <a:extLst>
                <a:ext uri="{63B3BB69-23CF-44E3-9099-C40C66FF867C}">
                  <a14:compatExt spid="_x0000_s11410"/>
                </a:ext>
                <a:ext uri="{FF2B5EF4-FFF2-40B4-BE49-F238E27FC236}">
                  <a16:creationId xmlns:a16="http://schemas.microsoft.com/office/drawing/2014/main" id="{00000000-0008-0000-0000-00009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38</xdr:row>
          <xdr:rowOff>12700</xdr:rowOff>
        </xdr:from>
        <xdr:to>
          <xdr:col>6</xdr:col>
          <xdr:colOff>495300</xdr:colOff>
          <xdr:row>39</xdr:row>
          <xdr:rowOff>25400</xdr:rowOff>
        </xdr:to>
        <xdr:sp macro="" textlink="">
          <xdr:nvSpPr>
            <xdr:cNvPr id="11411" name="Scroll Bar 147" hidden="1">
              <a:extLst>
                <a:ext uri="{63B3BB69-23CF-44E3-9099-C40C66FF867C}">
                  <a14:compatExt spid="_x0000_s11411"/>
                </a:ext>
                <a:ext uri="{FF2B5EF4-FFF2-40B4-BE49-F238E27FC236}">
                  <a16:creationId xmlns:a16="http://schemas.microsoft.com/office/drawing/2014/main" id="{00000000-0008-0000-0000-00009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40</xdr:row>
          <xdr:rowOff>12700</xdr:rowOff>
        </xdr:from>
        <xdr:to>
          <xdr:col>6</xdr:col>
          <xdr:colOff>495300</xdr:colOff>
          <xdr:row>41</xdr:row>
          <xdr:rowOff>25400</xdr:rowOff>
        </xdr:to>
        <xdr:sp macro="" textlink="">
          <xdr:nvSpPr>
            <xdr:cNvPr id="11412" name="Scroll Bar 148" hidden="1">
              <a:extLst>
                <a:ext uri="{63B3BB69-23CF-44E3-9099-C40C66FF867C}">
                  <a14:compatExt spid="_x0000_s11412"/>
                </a:ext>
                <a:ext uri="{FF2B5EF4-FFF2-40B4-BE49-F238E27FC236}">
                  <a16:creationId xmlns:a16="http://schemas.microsoft.com/office/drawing/2014/main" id="{00000000-0008-0000-0000-00009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116</xdr:row>
          <xdr:rowOff>12700</xdr:rowOff>
        </xdr:from>
        <xdr:to>
          <xdr:col>6</xdr:col>
          <xdr:colOff>482600</xdr:colOff>
          <xdr:row>117</xdr:row>
          <xdr:rowOff>0</xdr:rowOff>
        </xdr:to>
        <xdr:sp macro="" textlink="">
          <xdr:nvSpPr>
            <xdr:cNvPr id="11413" name="Scroll Bar 149" hidden="1">
              <a:extLst>
                <a:ext uri="{63B3BB69-23CF-44E3-9099-C40C66FF867C}">
                  <a14:compatExt spid="_x0000_s11413"/>
                </a:ext>
                <a:ext uri="{FF2B5EF4-FFF2-40B4-BE49-F238E27FC236}">
                  <a16:creationId xmlns:a16="http://schemas.microsoft.com/office/drawing/2014/main" id="{00000000-0008-0000-0000-00009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133</xdr:row>
          <xdr:rowOff>12700</xdr:rowOff>
        </xdr:from>
        <xdr:to>
          <xdr:col>6</xdr:col>
          <xdr:colOff>495300</xdr:colOff>
          <xdr:row>134</xdr:row>
          <xdr:rowOff>0</xdr:rowOff>
        </xdr:to>
        <xdr:sp macro="" textlink="">
          <xdr:nvSpPr>
            <xdr:cNvPr id="11414" name="Scroll Bar 150" hidden="1">
              <a:extLst>
                <a:ext uri="{63B3BB69-23CF-44E3-9099-C40C66FF867C}">
                  <a14:compatExt spid="_x0000_s11414"/>
                </a:ext>
                <a:ext uri="{FF2B5EF4-FFF2-40B4-BE49-F238E27FC236}">
                  <a16:creationId xmlns:a16="http://schemas.microsoft.com/office/drawing/2014/main" id="{00000000-0008-0000-0000-00009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135</xdr:row>
          <xdr:rowOff>12700</xdr:rowOff>
        </xdr:from>
        <xdr:to>
          <xdr:col>6</xdr:col>
          <xdr:colOff>495300</xdr:colOff>
          <xdr:row>136</xdr:row>
          <xdr:rowOff>0</xdr:rowOff>
        </xdr:to>
        <xdr:sp macro="" textlink="">
          <xdr:nvSpPr>
            <xdr:cNvPr id="11415" name="Scroll Bar 151" hidden="1">
              <a:extLst>
                <a:ext uri="{63B3BB69-23CF-44E3-9099-C40C66FF867C}">
                  <a14:compatExt spid="_x0000_s11415"/>
                </a:ext>
                <a:ext uri="{FF2B5EF4-FFF2-40B4-BE49-F238E27FC236}">
                  <a16:creationId xmlns:a16="http://schemas.microsoft.com/office/drawing/2014/main" id="{00000000-0008-0000-0000-00009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74</xdr:row>
          <xdr:rowOff>12700</xdr:rowOff>
        </xdr:from>
        <xdr:to>
          <xdr:col>6</xdr:col>
          <xdr:colOff>495300</xdr:colOff>
          <xdr:row>75</xdr:row>
          <xdr:rowOff>0</xdr:rowOff>
        </xdr:to>
        <xdr:sp macro="" textlink="">
          <xdr:nvSpPr>
            <xdr:cNvPr id="11416" name="Scroll Bar 152" hidden="1">
              <a:extLst>
                <a:ext uri="{63B3BB69-23CF-44E3-9099-C40C66FF867C}">
                  <a14:compatExt spid="_x0000_s11416"/>
                </a:ext>
                <a:ext uri="{FF2B5EF4-FFF2-40B4-BE49-F238E27FC236}">
                  <a16:creationId xmlns:a16="http://schemas.microsoft.com/office/drawing/2014/main" id="{00000000-0008-0000-0000-00009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76</xdr:row>
          <xdr:rowOff>12700</xdr:rowOff>
        </xdr:from>
        <xdr:to>
          <xdr:col>6</xdr:col>
          <xdr:colOff>495300</xdr:colOff>
          <xdr:row>77</xdr:row>
          <xdr:rowOff>0</xdr:rowOff>
        </xdr:to>
        <xdr:sp macro="" textlink="">
          <xdr:nvSpPr>
            <xdr:cNvPr id="11417" name="Scroll Bar 153" hidden="1">
              <a:extLst>
                <a:ext uri="{63B3BB69-23CF-44E3-9099-C40C66FF867C}">
                  <a14:compatExt spid="_x0000_s11417"/>
                </a:ext>
                <a:ext uri="{FF2B5EF4-FFF2-40B4-BE49-F238E27FC236}">
                  <a16:creationId xmlns:a16="http://schemas.microsoft.com/office/drawing/2014/main" id="{00000000-0008-0000-0000-00009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78</xdr:row>
          <xdr:rowOff>12700</xdr:rowOff>
        </xdr:from>
        <xdr:to>
          <xdr:col>6</xdr:col>
          <xdr:colOff>495300</xdr:colOff>
          <xdr:row>79</xdr:row>
          <xdr:rowOff>0</xdr:rowOff>
        </xdr:to>
        <xdr:sp macro="" textlink="">
          <xdr:nvSpPr>
            <xdr:cNvPr id="11418" name="Scroll Bar 154" hidden="1">
              <a:extLst>
                <a:ext uri="{63B3BB69-23CF-44E3-9099-C40C66FF867C}">
                  <a14:compatExt spid="_x0000_s11418"/>
                </a:ext>
                <a:ext uri="{FF2B5EF4-FFF2-40B4-BE49-F238E27FC236}">
                  <a16:creationId xmlns:a16="http://schemas.microsoft.com/office/drawing/2014/main" id="{00000000-0008-0000-0000-00009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92</xdr:row>
          <xdr:rowOff>266700</xdr:rowOff>
        </xdr:from>
        <xdr:to>
          <xdr:col>14</xdr:col>
          <xdr:colOff>2019300</xdr:colOff>
          <xdr:row>94</xdr:row>
          <xdr:rowOff>114300</xdr:rowOff>
        </xdr:to>
        <xdr:sp macro="" textlink="">
          <xdr:nvSpPr>
            <xdr:cNvPr id="11444" name="Check Box 180" descr="SDC Pod Cost" hidden="1">
              <a:extLst>
                <a:ext uri="{63B3BB69-23CF-44E3-9099-C40C66FF867C}">
                  <a14:compatExt spid="_x0000_s11444"/>
                </a:ext>
                <a:ext uri="{FF2B5EF4-FFF2-40B4-BE49-F238E27FC236}">
                  <a16:creationId xmlns:a16="http://schemas.microsoft.com/office/drawing/2014/main" id="{00000000-0008-0000-0000-0000B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SDC Pod Cost [Euro]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93</xdr:row>
          <xdr:rowOff>279400</xdr:rowOff>
        </xdr:from>
        <xdr:to>
          <xdr:col>14</xdr:col>
          <xdr:colOff>2019300</xdr:colOff>
          <xdr:row>95</xdr:row>
          <xdr:rowOff>127000</xdr:rowOff>
        </xdr:to>
        <xdr:sp macro="" textlink="">
          <xdr:nvSpPr>
            <xdr:cNvPr id="11445" name="Check Box 181" descr="SDC Pod Cost" hidden="1">
              <a:extLst>
                <a:ext uri="{63B3BB69-23CF-44E3-9099-C40C66FF867C}">
                  <a14:compatExt spid="_x0000_s11445"/>
                </a:ext>
                <a:ext uri="{FF2B5EF4-FFF2-40B4-BE49-F238E27FC236}">
                  <a16:creationId xmlns:a16="http://schemas.microsoft.com/office/drawing/2014/main" id="{00000000-0008-0000-0000-0000B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SDC Pod Power [Watt]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95</xdr:row>
          <xdr:rowOff>0</xdr:rowOff>
        </xdr:from>
        <xdr:to>
          <xdr:col>14</xdr:col>
          <xdr:colOff>2019300</xdr:colOff>
          <xdr:row>96</xdr:row>
          <xdr:rowOff>127000</xdr:rowOff>
        </xdr:to>
        <xdr:sp macro="" textlink="">
          <xdr:nvSpPr>
            <xdr:cNvPr id="11446" name="Check Box 182" descr="SDC Pod Cost" hidden="1">
              <a:extLst>
                <a:ext uri="{63B3BB69-23CF-44E3-9099-C40C66FF867C}">
                  <a14:compatExt spid="_x0000_s11446"/>
                </a:ext>
                <a:ext uri="{FF2B5EF4-FFF2-40B4-BE49-F238E27FC236}">
                  <a16:creationId xmlns:a16="http://schemas.microsoft.com/office/drawing/2014/main" id="{00000000-0008-0000-0000-0000B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SDC Pod Weight [kg]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95</xdr:row>
          <xdr:rowOff>266700</xdr:rowOff>
        </xdr:from>
        <xdr:to>
          <xdr:col>14</xdr:col>
          <xdr:colOff>2019300</xdr:colOff>
          <xdr:row>97</xdr:row>
          <xdr:rowOff>114300</xdr:rowOff>
        </xdr:to>
        <xdr:sp macro="" textlink="">
          <xdr:nvSpPr>
            <xdr:cNvPr id="11447" name="Check Box 183" descr="SDC Pod Cost" hidden="1">
              <a:extLst>
                <a:ext uri="{63B3BB69-23CF-44E3-9099-C40C66FF867C}">
                  <a14:compatExt spid="_x0000_s11447"/>
                </a:ext>
                <a:ext uri="{FF2B5EF4-FFF2-40B4-BE49-F238E27FC236}">
                  <a16:creationId xmlns:a16="http://schemas.microsoft.com/office/drawing/2014/main" id="{00000000-0008-0000-0000-0000B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SDC Satelliute Weight [kg]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96</xdr:row>
          <xdr:rowOff>254000</xdr:rowOff>
        </xdr:from>
        <xdr:to>
          <xdr:col>14</xdr:col>
          <xdr:colOff>2019300</xdr:colOff>
          <xdr:row>98</xdr:row>
          <xdr:rowOff>114300</xdr:rowOff>
        </xdr:to>
        <xdr:sp macro="" textlink="">
          <xdr:nvSpPr>
            <xdr:cNvPr id="11449" name="Check Box 185" descr="SDC Pod Cost" hidden="1">
              <a:extLst>
                <a:ext uri="{63B3BB69-23CF-44E3-9099-C40C66FF867C}">
                  <a14:compatExt spid="_x0000_s11449"/>
                </a:ext>
                <a:ext uri="{FF2B5EF4-FFF2-40B4-BE49-F238E27FC236}">
                  <a16:creationId xmlns:a16="http://schemas.microsoft.com/office/drawing/2014/main" id="{00000000-0008-0000-0000-0000B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Payload to Weight Ratio [kg/kg]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97</xdr:row>
          <xdr:rowOff>241300</xdr:rowOff>
        </xdr:from>
        <xdr:to>
          <xdr:col>14</xdr:col>
          <xdr:colOff>2019300</xdr:colOff>
          <xdr:row>99</xdr:row>
          <xdr:rowOff>114300</xdr:rowOff>
        </xdr:to>
        <xdr:sp macro="" textlink="">
          <xdr:nvSpPr>
            <xdr:cNvPr id="11450" name="Check Box 186" descr="SDC Pod Cost" hidden="1">
              <a:extLst>
                <a:ext uri="{63B3BB69-23CF-44E3-9099-C40C66FF867C}">
                  <a14:compatExt spid="_x0000_s11450"/>
                </a:ext>
                <a:ext uri="{FF2B5EF4-FFF2-40B4-BE49-F238E27FC236}">
                  <a16:creationId xmlns:a16="http://schemas.microsoft.com/office/drawing/2014/main" id="{00000000-0008-0000-0000-0000B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Compute per Pod [GOPs]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98</xdr:row>
          <xdr:rowOff>254000</xdr:rowOff>
        </xdr:from>
        <xdr:to>
          <xdr:col>14</xdr:col>
          <xdr:colOff>2019300</xdr:colOff>
          <xdr:row>100</xdr:row>
          <xdr:rowOff>127000</xdr:rowOff>
        </xdr:to>
        <xdr:sp macro="" textlink="">
          <xdr:nvSpPr>
            <xdr:cNvPr id="11451" name="Check Box 187" descr="SDC Pod Cost" hidden="1">
              <a:extLst>
                <a:ext uri="{63B3BB69-23CF-44E3-9099-C40C66FF867C}">
                  <a14:compatExt spid="_x0000_s11451"/>
                </a:ext>
                <a:ext uri="{FF2B5EF4-FFF2-40B4-BE49-F238E27FC236}">
                  <a16:creationId xmlns:a16="http://schemas.microsoft.com/office/drawing/2014/main" id="{00000000-0008-0000-0000-0000B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SDC Pod Memory [Gbyte]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99</xdr:row>
          <xdr:rowOff>254000</xdr:rowOff>
        </xdr:from>
        <xdr:to>
          <xdr:col>14</xdr:col>
          <xdr:colOff>2019300</xdr:colOff>
          <xdr:row>101</xdr:row>
          <xdr:rowOff>127000</xdr:rowOff>
        </xdr:to>
        <xdr:sp macro="" textlink="">
          <xdr:nvSpPr>
            <xdr:cNvPr id="11452" name="Check Box 188" descr="SDC Pod Cost" hidden="1">
              <a:extLst>
                <a:ext uri="{63B3BB69-23CF-44E3-9099-C40C66FF867C}">
                  <a14:compatExt spid="_x0000_s11452"/>
                </a:ext>
                <a:ext uri="{FF2B5EF4-FFF2-40B4-BE49-F238E27FC236}">
                  <a16:creationId xmlns:a16="http://schemas.microsoft.com/office/drawing/2014/main" id="{00000000-0008-0000-0000-0000B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Compute per Sat. Weight [TOps/kg]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100</xdr:row>
          <xdr:rowOff>254000</xdr:rowOff>
        </xdr:from>
        <xdr:to>
          <xdr:col>14</xdr:col>
          <xdr:colOff>2019300</xdr:colOff>
          <xdr:row>102</xdr:row>
          <xdr:rowOff>114300</xdr:rowOff>
        </xdr:to>
        <xdr:sp macro="" textlink="">
          <xdr:nvSpPr>
            <xdr:cNvPr id="11453" name="Check Box 189" descr="SDC Pod Cost" hidden="1">
              <a:extLst>
                <a:ext uri="{63B3BB69-23CF-44E3-9099-C40C66FF867C}">
                  <a14:compatExt spid="_x0000_s11453"/>
                </a:ext>
                <a:ext uri="{FF2B5EF4-FFF2-40B4-BE49-F238E27FC236}">
                  <a16:creationId xmlns:a16="http://schemas.microsoft.com/office/drawing/2014/main" id="{00000000-0008-0000-0000-0000B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Cost per Satellite Weight [Euro/kg]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101</xdr:row>
          <xdr:rowOff>241300</xdr:rowOff>
        </xdr:from>
        <xdr:to>
          <xdr:col>14</xdr:col>
          <xdr:colOff>2019300</xdr:colOff>
          <xdr:row>103</xdr:row>
          <xdr:rowOff>101600</xdr:rowOff>
        </xdr:to>
        <xdr:sp macro="" textlink="">
          <xdr:nvSpPr>
            <xdr:cNvPr id="11454" name="Check Box 190" descr="SDC Pod Cost" hidden="1">
              <a:extLst>
                <a:ext uri="{63B3BB69-23CF-44E3-9099-C40C66FF867C}">
                  <a14:compatExt spid="_x0000_s11454"/>
                </a:ext>
                <a:ext uri="{FF2B5EF4-FFF2-40B4-BE49-F238E27FC236}">
                  <a16:creationId xmlns:a16="http://schemas.microsoft.com/office/drawing/2014/main" id="{00000000-0008-0000-0000-0000B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Cost per TeraOps Compute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102</xdr:row>
          <xdr:rowOff>254000</xdr:rowOff>
        </xdr:from>
        <xdr:to>
          <xdr:col>14</xdr:col>
          <xdr:colOff>2019300</xdr:colOff>
          <xdr:row>104</xdr:row>
          <xdr:rowOff>114300</xdr:rowOff>
        </xdr:to>
        <xdr:sp macro="" textlink="">
          <xdr:nvSpPr>
            <xdr:cNvPr id="11455" name="Check Box 191" descr="SDC Pod Cost" hidden="1">
              <a:extLst>
                <a:ext uri="{63B3BB69-23CF-44E3-9099-C40C66FF867C}">
                  <a14:compatExt spid="_x0000_s11455"/>
                </a:ext>
                <a:ext uri="{FF2B5EF4-FFF2-40B4-BE49-F238E27FC236}">
                  <a16:creationId xmlns:a16="http://schemas.microsoft.com/office/drawing/2014/main" id="{00000000-0008-0000-0000-0000B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Power per TeraOps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103</xdr:row>
          <xdr:rowOff>254000</xdr:rowOff>
        </xdr:from>
        <xdr:to>
          <xdr:col>14</xdr:col>
          <xdr:colOff>2019300</xdr:colOff>
          <xdr:row>105</xdr:row>
          <xdr:rowOff>101600</xdr:rowOff>
        </xdr:to>
        <xdr:sp macro="" textlink="">
          <xdr:nvSpPr>
            <xdr:cNvPr id="11456" name="Check Box 192" descr="SDC Pod Cost" hidden="1">
              <a:extLst>
                <a:ext uri="{63B3BB69-23CF-44E3-9099-C40C66FF867C}">
                  <a14:compatExt spid="_x0000_s11456"/>
                </a:ext>
                <a:ext uri="{FF2B5EF4-FFF2-40B4-BE49-F238E27FC236}">
                  <a16:creationId xmlns:a16="http://schemas.microsoft.com/office/drawing/2014/main" id="{00000000-0008-0000-0000-0000C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Cost per Power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241300</xdr:colOff>
          <xdr:row>114</xdr:row>
          <xdr:rowOff>228600</xdr:rowOff>
        </xdr:from>
        <xdr:to>
          <xdr:col>17</xdr:col>
          <xdr:colOff>63500</xdr:colOff>
          <xdr:row>116</xdr:row>
          <xdr:rowOff>76200</xdr:rowOff>
        </xdr:to>
        <xdr:sp macro="" textlink="">
          <xdr:nvSpPr>
            <xdr:cNvPr id="11457" name="Option Button 193" hidden="1">
              <a:extLst>
                <a:ext uri="{63B3BB69-23CF-44E3-9099-C40C66FF867C}">
                  <a14:compatExt spid="_x0000_s11457"/>
                </a:ext>
                <a:ext uri="{FF2B5EF4-FFF2-40B4-BE49-F238E27FC236}">
                  <a16:creationId xmlns:a16="http://schemas.microsoft.com/office/drawing/2014/main" id="{00000000-0008-0000-0000-0000C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88900</xdr:colOff>
          <xdr:row>114</xdr:row>
          <xdr:rowOff>228600</xdr:rowOff>
        </xdr:from>
        <xdr:to>
          <xdr:col>17</xdr:col>
          <xdr:colOff>1612900</xdr:colOff>
          <xdr:row>116</xdr:row>
          <xdr:rowOff>76200</xdr:rowOff>
        </xdr:to>
        <xdr:sp macro="" textlink="">
          <xdr:nvSpPr>
            <xdr:cNvPr id="11459" name="Option Button 195" hidden="1">
              <a:extLst>
                <a:ext uri="{63B3BB69-23CF-44E3-9099-C40C66FF867C}">
                  <a14:compatExt spid="_x0000_s11459"/>
                </a:ext>
                <a:ext uri="{FF2B5EF4-FFF2-40B4-BE49-F238E27FC236}">
                  <a16:creationId xmlns:a16="http://schemas.microsoft.com/office/drawing/2014/main" id="{00000000-0008-0000-0000-0000C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SDC Pod Cost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88900</xdr:colOff>
          <xdr:row>114</xdr:row>
          <xdr:rowOff>215900</xdr:rowOff>
        </xdr:from>
        <xdr:to>
          <xdr:col>19</xdr:col>
          <xdr:colOff>190500</xdr:colOff>
          <xdr:row>116</xdr:row>
          <xdr:rowOff>63500</xdr:rowOff>
        </xdr:to>
        <xdr:sp macro="" textlink="">
          <xdr:nvSpPr>
            <xdr:cNvPr id="11460" name="Option Button 196" hidden="1">
              <a:extLst>
                <a:ext uri="{63B3BB69-23CF-44E3-9099-C40C66FF867C}">
                  <a14:compatExt spid="_x0000_s11460"/>
                </a:ext>
                <a:ext uri="{FF2B5EF4-FFF2-40B4-BE49-F238E27FC236}">
                  <a16:creationId xmlns:a16="http://schemas.microsoft.com/office/drawing/2014/main" id="{00000000-0008-0000-0000-0000C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SDC Pod Power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114</xdr:row>
          <xdr:rowOff>228600</xdr:rowOff>
        </xdr:from>
        <xdr:to>
          <xdr:col>20</xdr:col>
          <xdr:colOff>190500</xdr:colOff>
          <xdr:row>116</xdr:row>
          <xdr:rowOff>76200</xdr:rowOff>
        </xdr:to>
        <xdr:sp macro="" textlink="">
          <xdr:nvSpPr>
            <xdr:cNvPr id="11461" name="Option Button 197" hidden="1">
              <a:extLst>
                <a:ext uri="{63B3BB69-23CF-44E3-9099-C40C66FF867C}">
                  <a14:compatExt spid="_x0000_s11461"/>
                </a:ext>
                <a:ext uri="{FF2B5EF4-FFF2-40B4-BE49-F238E27FC236}">
                  <a16:creationId xmlns:a16="http://schemas.microsoft.com/office/drawing/2014/main" id="{00000000-0008-0000-0000-0000C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SDC Pod Weight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25400</xdr:colOff>
          <xdr:row>114</xdr:row>
          <xdr:rowOff>228600</xdr:rowOff>
        </xdr:from>
        <xdr:to>
          <xdr:col>21</xdr:col>
          <xdr:colOff>127000</xdr:colOff>
          <xdr:row>116</xdr:row>
          <xdr:rowOff>76200</xdr:rowOff>
        </xdr:to>
        <xdr:sp macro="" textlink="">
          <xdr:nvSpPr>
            <xdr:cNvPr id="11462" name="Option Button 198" hidden="1">
              <a:extLst>
                <a:ext uri="{63B3BB69-23CF-44E3-9099-C40C66FF867C}">
                  <a14:compatExt spid="_x0000_s11462"/>
                </a:ext>
                <a:ext uri="{FF2B5EF4-FFF2-40B4-BE49-F238E27FC236}">
                  <a16:creationId xmlns:a16="http://schemas.microsoft.com/office/drawing/2014/main" id="{00000000-0008-0000-0000-0000C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SDC Satellite Weight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12700</xdr:colOff>
          <xdr:row>114</xdr:row>
          <xdr:rowOff>215900</xdr:rowOff>
        </xdr:from>
        <xdr:to>
          <xdr:col>22</xdr:col>
          <xdr:colOff>355600</xdr:colOff>
          <xdr:row>116</xdr:row>
          <xdr:rowOff>63500</xdr:rowOff>
        </xdr:to>
        <xdr:sp macro="" textlink="">
          <xdr:nvSpPr>
            <xdr:cNvPr id="11463" name="Option Button 199" hidden="1">
              <a:extLst>
                <a:ext uri="{63B3BB69-23CF-44E3-9099-C40C66FF867C}">
                  <a14:compatExt spid="_x0000_s11463"/>
                </a:ext>
                <a:ext uri="{FF2B5EF4-FFF2-40B4-BE49-F238E27FC236}">
                  <a16:creationId xmlns:a16="http://schemas.microsoft.com/office/drawing/2014/main" id="{00000000-0008-0000-0000-0000C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Payload Weight 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368300</xdr:colOff>
          <xdr:row>114</xdr:row>
          <xdr:rowOff>228600</xdr:rowOff>
        </xdr:from>
        <xdr:to>
          <xdr:col>23</xdr:col>
          <xdr:colOff>800100</xdr:colOff>
          <xdr:row>116</xdr:row>
          <xdr:rowOff>76200</xdr:rowOff>
        </xdr:to>
        <xdr:sp macro="" textlink="">
          <xdr:nvSpPr>
            <xdr:cNvPr id="11464" name="Option Button 200" hidden="1">
              <a:extLst>
                <a:ext uri="{63B3BB69-23CF-44E3-9099-C40C66FF867C}">
                  <a14:compatExt spid="_x0000_s11464"/>
                </a:ext>
                <a:ext uri="{FF2B5EF4-FFF2-40B4-BE49-F238E27FC236}">
                  <a16:creationId xmlns:a16="http://schemas.microsoft.com/office/drawing/2014/main" id="{00000000-0008-0000-0000-0000C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Compute per Pod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723900</xdr:colOff>
          <xdr:row>114</xdr:row>
          <xdr:rowOff>215900</xdr:rowOff>
        </xdr:from>
        <xdr:to>
          <xdr:col>24</xdr:col>
          <xdr:colOff>1104900</xdr:colOff>
          <xdr:row>116</xdr:row>
          <xdr:rowOff>63500</xdr:rowOff>
        </xdr:to>
        <xdr:sp macro="" textlink="">
          <xdr:nvSpPr>
            <xdr:cNvPr id="11465" name="Option Button 201" hidden="1">
              <a:extLst>
                <a:ext uri="{63B3BB69-23CF-44E3-9099-C40C66FF867C}">
                  <a14:compatExt spid="_x0000_s11465"/>
                </a:ext>
                <a:ext uri="{FF2B5EF4-FFF2-40B4-BE49-F238E27FC236}">
                  <a16:creationId xmlns:a16="http://schemas.microsoft.com/office/drawing/2014/main" id="{00000000-0008-0000-0000-0000C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SDC Pod Memory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241300</xdr:colOff>
          <xdr:row>116</xdr:row>
          <xdr:rowOff>228600</xdr:rowOff>
        </xdr:from>
        <xdr:to>
          <xdr:col>17</xdr:col>
          <xdr:colOff>63500</xdr:colOff>
          <xdr:row>118</xdr:row>
          <xdr:rowOff>76200</xdr:rowOff>
        </xdr:to>
        <xdr:sp macro="" textlink="">
          <xdr:nvSpPr>
            <xdr:cNvPr id="11466" name="Option Button 202" hidden="1">
              <a:extLst>
                <a:ext uri="{63B3BB69-23CF-44E3-9099-C40C66FF867C}">
                  <a14:compatExt spid="_x0000_s11466"/>
                </a:ext>
                <a:ext uri="{FF2B5EF4-FFF2-40B4-BE49-F238E27FC236}">
                  <a16:creationId xmlns:a16="http://schemas.microsoft.com/office/drawing/2014/main" id="{00000000-0008-0000-0000-0000C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Compute per Sat Weight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88900</xdr:colOff>
          <xdr:row>116</xdr:row>
          <xdr:rowOff>215900</xdr:rowOff>
        </xdr:from>
        <xdr:to>
          <xdr:col>17</xdr:col>
          <xdr:colOff>1612900</xdr:colOff>
          <xdr:row>118</xdr:row>
          <xdr:rowOff>63500</xdr:rowOff>
        </xdr:to>
        <xdr:sp macro="" textlink="">
          <xdr:nvSpPr>
            <xdr:cNvPr id="11467" name="Option Button 203" hidden="1">
              <a:extLst>
                <a:ext uri="{63B3BB69-23CF-44E3-9099-C40C66FF867C}">
                  <a14:compatExt spid="_x0000_s11467"/>
                </a:ext>
                <a:ext uri="{FF2B5EF4-FFF2-40B4-BE49-F238E27FC236}">
                  <a16:creationId xmlns:a16="http://schemas.microsoft.com/office/drawing/2014/main" id="{00000000-0008-0000-0000-0000C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Cost per Sat Weight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101600</xdr:colOff>
          <xdr:row>116</xdr:row>
          <xdr:rowOff>215900</xdr:rowOff>
        </xdr:from>
        <xdr:to>
          <xdr:col>19</xdr:col>
          <xdr:colOff>203200</xdr:colOff>
          <xdr:row>118</xdr:row>
          <xdr:rowOff>63500</xdr:rowOff>
        </xdr:to>
        <xdr:sp macro="" textlink="">
          <xdr:nvSpPr>
            <xdr:cNvPr id="11468" name="Option Button 204" hidden="1">
              <a:extLst>
                <a:ext uri="{63B3BB69-23CF-44E3-9099-C40C66FF867C}">
                  <a14:compatExt spid="_x0000_s11468"/>
                </a:ext>
                <a:ext uri="{FF2B5EF4-FFF2-40B4-BE49-F238E27FC236}">
                  <a16:creationId xmlns:a16="http://schemas.microsoft.com/office/drawing/2014/main" id="{00000000-0008-0000-0000-0000C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Cost  per TeraOps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116</xdr:row>
          <xdr:rowOff>228600</xdr:rowOff>
        </xdr:from>
        <xdr:to>
          <xdr:col>20</xdr:col>
          <xdr:colOff>190500</xdr:colOff>
          <xdr:row>118</xdr:row>
          <xdr:rowOff>76200</xdr:rowOff>
        </xdr:to>
        <xdr:sp macro="" textlink="">
          <xdr:nvSpPr>
            <xdr:cNvPr id="11469" name="Option Button 205" hidden="1">
              <a:extLst>
                <a:ext uri="{63B3BB69-23CF-44E3-9099-C40C66FF867C}">
                  <a14:compatExt spid="_x0000_s11469"/>
                </a:ext>
                <a:ext uri="{FF2B5EF4-FFF2-40B4-BE49-F238E27FC236}">
                  <a16:creationId xmlns:a16="http://schemas.microsoft.com/office/drawing/2014/main" id="{00000000-0008-0000-0000-0000C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Power per TeraOps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25400</xdr:colOff>
          <xdr:row>116</xdr:row>
          <xdr:rowOff>228600</xdr:rowOff>
        </xdr:from>
        <xdr:to>
          <xdr:col>21</xdr:col>
          <xdr:colOff>127000</xdr:colOff>
          <xdr:row>118</xdr:row>
          <xdr:rowOff>76200</xdr:rowOff>
        </xdr:to>
        <xdr:sp macro="" textlink="">
          <xdr:nvSpPr>
            <xdr:cNvPr id="11470" name="Option Button 206" hidden="1">
              <a:extLst>
                <a:ext uri="{63B3BB69-23CF-44E3-9099-C40C66FF867C}">
                  <a14:compatExt spid="_x0000_s11470"/>
                </a:ext>
                <a:ext uri="{FF2B5EF4-FFF2-40B4-BE49-F238E27FC236}">
                  <a16:creationId xmlns:a16="http://schemas.microsoft.com/office/drawing/2014/main" id="{00000000-0008-0000-0000-0000C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Cost per Power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12700</xdr:colOff>
          <xdr:row>116</xdr:row>
          <xdr:rowOff>228600</xdr:rowOff>
        </xdr:from>
        <xdr:to>
          <xdr:col>22</xdr:col>
          <xdr:colOff>355600</xdr:colOff>
          <xdr:row>118</xdr:row>
          <xdr:rowOff>76200</xdr:rowOff>
        </xdr:to>
        <xdr:sp macro="" textlink="">
          <xdr:nvSpPr>
            <xdr:cNvPr id="11472" name="Option Button 208" hidden="1">
              <a:extLst>
                <a:ext uri="{63B3BB69-23CF-44E3-9099-C40C66FF867C}">
                  <a14:compatExt spid="_x0000_s11472"/>
                </a:ext>
                <a:ext uri="{FF2B5EF4-FFF2-40B4-BE49-F238E27FC236}">
                  <a16:creationId xmlns:a16="http://schemas.microsoft.com/office/drawing/2014/main" id="{00000000-0008-0000-0000-0000D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CUSTOM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25400</xdr:colOff>
          <xdr:row>120</xdr:row>
          <xdr:rowOff>101600</xdr:rowOff>
        </xdr:from>
        <xdr:to>
          <xdr:col>20</xdr:col>
          <xdr:colOff>0</xdr:colOff>
          <xdr:row>122</xdr:row>
          <xdr:rowOff>203200</xdr:rowOff>
        </xdr:to>
        <xdr:sp macro="" textlink="">
          <xdr:nvSpPr>
            <xdr:cNvPr id="11474" name="Group Box 210" hidden="1">
              <a:extLst>
                <a:ext uri="{63B3BB69-23CF-44E3-9099-C40C66FF867C}">
                  <a14:compatExt spid="_x0000_s11474"/>
                </a:ext>
                <a:ext uri="{FF2B5EF4-FFF2-40B4-BE49-F238E27FC236}">
                  <a16:creationId xmlns:a16="http://schemas.microsoft.com/office/drawing/2014/main" id="{00000000-0008-0000-0000-0000D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Select Compute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139700</xdr:colOff>
          <xdr:row>120</xdr:row>
          <xdr:rowOff>203200</xdr:rowOff>
        </xdr:from>
        <xdr:to>
          <xdr:col>16</xdr:col>
          <xdr:colOff>977900</xdr:colOff>
          <xdr:row>122</xdr:row>
          <xdr:rowOff>50800</xdr:rowOff>
        </xdr:to>
        <xdr:sp macro="" textlink="">
          <xdr:nvSpPr>
            <xdr:cNvPr id="11475" name="Option Button 211" hidden="1">
              <a:extLst>
                <a:ext uri="{63B3BB69-23CF-44E3-9099-C40C66FF867C}">
                  <a14:compatExt spid="_x0000_s11475"/>
                </a:ext>
                <a:ext uri="{FF2B5EF4-FFF2-40B4-BE49-F238E27FC236}">
                  <a16:creationId xmlns:a16="http://schemas.microsoft.com/office/drawing/2014/main" id="{00000000-0008-0000-0000-0000D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CPU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977900</xdr:colOff>
          <xdr:row>120</xdr:row>
          <xdr:rowOff>215900</xdr:rowOff>
        </xdr:from>
        <xdr:to>
          <xdr:col>17</xdr:col>
          <xdr:colOff>50800</xdr:colOff>
          <xdr:row>122</xdr:row>
          <xdr:rowOff>63500</xdr:rowOff>
        </xdr:to>
        <xdr:sp macro="" textlink="">
          <xdr:nvSpPr>
            <xdr:cNvPr id="11477" name="Option Button 213" hidden="1">
              <a:extLst>
                <a:ext uri="{63B3BB69-23CF-44E3-9099-C40C66FF867C}">
                  <a14:compatExt spid="_x0000_s11477"/>
                </a:ext>
                <a:ext uri="{FF2B5EF4-FFF2-40B4-BE49-F238E27FC236}">
                  <a16:creationId xmlns:a16="http://schemas.microsoft.com/office/drawing/2014/main" id="{00000000-0008-0000-0000-0000D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GPU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120</xdr:row>
          <xdr:rowOff>203200</xdr:rowOff>
        </xdr:from>
        <xdr:to>
          <xdr:col>17</xdr:col>
          <xdr:colOff>1574800</xdr:colOff>
          <xdr:row>122</xdr:row>
          <xdr:rowOff>50800</xdr:rowOff>
        </xdr:to>
        <xdr:sp macro="" textlink="">
          <xdr:nvSpPr>
            <xdr:cNvPr id="11478" name="Option Button 214" hidden="1">
              <a:extLst>
                <a:ext uri="{63B3BB69-23CF-44E3-9099-C40C66FF867C}">
                  <a14:compatExt spid="_x0000_s11478"/>
                </a:ext>
                <a:ext uri="{FF2B5EF4-FFF2-40B4-BE49-F238E27FC236}">
                  <a16:creationId xmlns:a16="http://schemas.microsoft.com/office/drawing/2014/main" id="{00000000-0008-0000-0000-0000D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FPGA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25400</xdr:colOff>
          <xdr:row>120</xdr:row>
          <xdr:rowOff>203200</xdr:rowOff>
        </xdr:from>
        <xdr:to>
          <xdr:col>19</xdr:col>
          <xdr:colOff>139700</xdr:colOff>
          <xdr:row>122</xdr:row>
          <xdr:rowOff>50800</xdr:rowOff>
        </xdr:to>
        <xdr:sp macro="" textlink="">
          <xdr:nvSpPr>
            <xdr:cNvPr id="11479" name="Option Button 215" hidden="1">
              <a:extLst>
                <a:ext uri="{63B3BB69-23CF-44E3-9099-C40C66FF867C}">
                  <a14:compatExt spid="_x0000_s11479"/>
                </a:ext>
                <a:ext uri="{FF2B5EF4-FFF2-40B4-BE49-F238E27FC236}">
                  <a16:creationId xmlns:a16="http://schemas.microsoft.com/office/drawing/2014/main" id="{00000000-0008-0000-0000-0000D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960" b="0" i="0" u="none" strike="noStrike" baseline="0">
                  <a:solidFill>
                    <a:srgbClr val="000000"/>
                  </a:solidFill>
                  <a:latin typeface="Aptos Narrow" charset="0"/>
                </a:rPr>
                <a:t>ASIC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105</xdr:row>
          <xdr:rowOff>25400</xdr:rowOff>
        </xdr:from>
        <xdr:to>
          <xdr:col>14</xdr:col>
          <xdr:colOff>2019300</xdr:colOff>
          <xdr:row>106</xdr:row>
          <xdr:rowOff>76200</xdr:rowOff>
        </xdr:to>
        <xdr:sp macro="" textlink="">
          <xdr:nvSpPr>
            <xdr:cNvPr id="11481" name="Check Box 217" descr="SDC Pod Cost" hidden="1">
              <a:extLst>
                <a:ext uri="{63B3BB69-23CF-44E3-9099-C40C66FF867C}">
                  <a14:compatExt spid="_x0000_s11481"/>
                </a:ext>
                <a:ext uri="{FF2B5EF4-FFF2-40B4-BE49-F238E27FC236}">
                  <a16:creationId xmlns:a16="http://schemas.microsoft.com/office/drawing/2014/main" id="{00000000-0008-0000-0000-0000D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Custom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1244600</xdr:colOff>
          <xdr:row>120</xdr:row>
          <xdr:rowOff>203200</xdr:rowOff>
        </xdr:from>
        <xdr:to>
          <xdr:col>19</xdr:col>
          <xdr:colOff>876300</xdr:colOff>
          <xdr:row>122</xdr:row>
          <xdr:rowOff>50800</xdr:rowOff>
        </xdr:to>
        <xdr:sp macro="" textlink="">
          <xdr:nvSpPr>
            <xdr:cNvPr id="11482" name="Option Button 218" hidden="1">
              <a:extLst>
                <a:ext uri="{63B3BB69-23CF-44E3-9099-C40C66FF867C}">
                  <a14:compatExt spid="_x0000_s11482"/>
                </a:ext>
                <a:ext uri="{FF2B5EF4-FFF2-40B4-BE49-F238E27FC236}">
                  <a16:creationId xmlns:a16="http://schemas.microsoft.com/office/drawing/2014/main" id="{00000000-0008-0000-0000-0000D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Quantum</a:t>
              </a:r>
            </a:p>
          </xdr:txBody>
        </xdr:sp>
        <xdr:clientData/>
      </xdr:twoCellAnchor>
    </mc:Choice>
    <mc:Fallback/>
  </mc:AlternateContent>
  <xdr:twoCellAnchor>
    <xdr:from>
      <xdr:col>24</xdr:col>
      <xdr:colOff>762000</xdr:colOff>
      <xdr:row>13</xdr:row>
      <xdr:rowOff>72572</xdr:rowOff>
    </xdr:from>
    <xdr:to>
      <xdr:col>28</xdr:col>
      <xdr:colOff>599043</xdr:colOff>
      <xdr:row>30</xdr:row>
      <xdr:rowOff>199571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1422400</xdr:colOff>
      <xdr:row>92</xdr:row>
      <xdr:rowOff>12700</xdr:rowOff>
    </xdr:from>
    <xdr:to>
      <xdr:col>24</xdr:col>
      <xdr:colOff>673100</xdr:colOff>
      <xdr:row>112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15</xdr:col>
      <xdr:colOff>1422400</xdr:colOff>
      <xdr:row>92</xdr:row>
      <xdr:rowOff>12700</xdr:rowOff>
    </xdr:from>
    <xdr:to>
      <xdr:col>24</xdr:col>
      <xdr:colOff>673100</xdr:colOff>
      <xdr:row>112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1422400</xdr:colOff>
      <xdr:row>92</xdr:row>
      <xdr:rowOff>12700</xdr:rowOff>
    </xdr:from>
    <xdr:to>
      <xdr:col>24</xdr:col>
      <xdr:colOff>673100</xdr:colOff>
      <xdr:row>112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15</xdr:col>
      <xdr:colOff>1422400</xdr:colOff>
      <xdr:row>92</xdr:row>
      <xdr:rowOff>12700</xdr:rowOff>
    </xdr:from>
    <xdr:to>
      <xdr:col>24</xdr:col>
      <xdr:colOff>673100</xdr:colOff>
      <xdr:row>112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15</xdr:col>
      <xdr:colOff>1422400</xdr:colOff>
      <xdr:row>92</xdr:row>
      <xdr:rowOff>12700</xdr:rowOff>
    </xdr:from>
    <xdr:to>
      <xdr:col>24</xdr:col>
      <xdr:colOff>673100</xdr:colOff>
      <xdr:row>112</xdr:row>
      <xdr:rowOff>12700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30</xdr:col>
      <xdr:colOff>0</xdr:colOff>
      <xdr:row>77</xdr:row>
      <xdr:rowOff>254000</xdr:rowOff>
    </xdr:from>
    <xdr:to>
      <xdr:col>41</xdr:col>
      <xdr:colOff>619125</xdr:colOff>
      <xdr:row>102</xdr:row>
      <xdr:rowOff>117475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54</xdr:col>
      <xdr:colOff>174712</xdr:colOff>
      <xdr:row>160</xdr:row>
      <xdr:rowOff>19062</xdr:rowOff>
    </xdr:from>
    <xdr:to>
      <xdr:col>64</xdr:col>
      <xdr:colOff>585474</xdr:colOff>
      <xdr:row>187</xdr:row>
      <xdr:rowOff>108857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304426" y="35506491"/>
          <a:ext cx="8858076" cy="5968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61311</xdr:colOff>
      <xdr:row>161</xdr:row>
      <xdr:rowOff>93554</xdr:rowOff>
    </xdr:from>
    <xdr:to>
      <xdr:col>43</xdr:col>
      <xdr:colOff>237922</xdr:colOff>
      <xdr:row>187</xdr:row>
      <xdr:rowOff>14534</xdr:rowOff>
    </xdr:to>
    <xdr:pic>
      <xdr:nvPicPr>
        <xdr:cNvPr id="4" name="Picture 3" descr="AMD Lays The Path To Zettascale Computing: Talks CPU &amp; GPU Performance Plus  Efficiency Trends, Next-Gen Chiplet Packaging &amp; Mor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39311" y="35798697"/>
          <a:ext cx="9268360" cy="5581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278234</xdr:colOff>
      <xdr:row>42</xdr:row>
      <xdr:rowOff>154587</xdr:rowOff>
    </xdr:from>
    <xdr:to>
      <xdr:col>36</xdr:col>
      <xdr:colOff>221975</xdr:colOff>
      <xdr:row>49</xdr:row>
      <xdr:rowOff>162364</xdr:rowOff>
    </xdr:to>
    <xdr:pic>
      <xdr:nvPicPr>
        <xdr:cNvPr id="7" name="Picture 6" descr="Nickel_Iron_Battery_-_Depth_of_Discharge_life Wikipedia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13359" y="9330337"/>
          <a:ext cx="2245616" cy="14524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43</xdr:col>
      <xdr:colOff>302381</xdr:colOff>
      <xdr:row>161</xdr:row>
      <xdr:rowOff>125408</xdr:rowOff>
    </xdr:from>
    <xdr:to>
      <xdr:col>54</xdr:col>
      <xdr:colOff>133120</xdr:colOff>
      <xdr:row>187</xdr:row>
      <xdr:rowOff>0</xdr:rowOff>
    </xdr:to>
    <xdr:pic>
      <xdr:nvPicPr>
        <xdr:cNvPr id="8" name="Picture 7" descr="AMD Lays The Path To Zettascale Computing: Talks CPU &amp; GPU Performance Plus  Efficiency Trends, Next-Gen Chiplet Packaging &amp; Mor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51810" y="35830551"/>
          <a:ext cx="9122785" cy="5535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64</xdr:col>
      <xdr:colOff>718711</xdr:colOff>
      <xdr:row>160</xdr:row>
      <xdr:rowOff>178245</xdr:rowOff>
    </xdr:from>
    <xdr:to>
      <xdr:col>74</xdr:col>
      <xdr:colOff>5224</xdr:colOff>
      <xdr:row>189</xdr:row>
      <xdr:rowOff>108858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194140" y="35665674"/>
          <a:ext cx="7727054" cy="6244326"/>
        </a:xfrm>
        <a:prstGeom prst="rect">
          <a:avLst/>
        </a:prstGeom>
      </xdr:spPr>
    </xdr:pic>
    <xdr:clientData/>
  </xdr:twoCellAnchor>
  <xdr:twoCellAnchor>
    <xdr:from>
      <xdr:col>35</xdr:col>
      <xdr:colOff>2293939</xdr:colOff>
      <xdr:row>102</xdr:row>
      <xdr:rowOff>200023</xdr:rowOff>
    </xdr:from>
    <xdr:to>
      <xdr:col>43</xdr:col>
      <xdr:colOff>825501</xdr:colOff>
      <xdr:row>122</xdr:row>
      <xdr:rowOff>174624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44</xdr:col>
      <xdr:colOff>15874</xdr:colOff>
      <xdr:row>102</xdr:row>
      <xdr:rowOff>200024</xdr:rowOff>
    </xdr:from>
    <xdr:to>
      <xdr:col>53</xdr:col>
      <xdr:colOff>31750</xdr:colOff>
      <xdr:row>122</xdr:row>
      <xdr:rowOff>206375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53</xdr:col>
      <xdr:colOff>55563</xdr:colOff>
      <xdr:row>102</xdr:row>
      <xdr:rowOff>190500</xdr:rowOff>
    </xdr:from>
    <xdr:to>
      <xdr:col>61</xdr:col>
      <xdr:colOff>809625</xdr:colOff>
      <xdr:row>122</xdr:row>
      <xdr:rowOff>206375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74</xdr:col>
      <xdr:colOff>587828</xdr:colOff>
      <xdr:row>162</xdr:row>
      <xdr:rowOff>92731</xdr:rowOff>
    </xdr:from>
    <xdr:to>
      <xdr:col>82</xdr:col>
      <xdr:colOff>281299</xdr:colOff>
      <xdr:row>186</xdr:row>
      <xdr:rowOff>181429</xdr:rowOff>
    </xdr:to>
    <xdr:pic>
      <xdr:nvPicPr>
        <xdr:cNvPr id="5" name="Picture 4" descr="hblok.net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408971" y="36015588"/>
          <a:ext cx="6451321" cy="53138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131</xdr:col>
      <xdr:colOff>204721</xdr:colOff>
      <xdr:row>88</xdr:row>
      <xdr:rowOff>178037</xdr:rowOff>
    </xdr:from>
    <xdr:to>
      <xdr:col>131</xdr:col>
      <xdr:colOff>545986</xdr:colOff>
      <xdr:row>90</xdr:row>
      <xdr:rowOff>33108</xdr:rowOff>
    </xdr:to>
    <xdr:sp macro="" textlink="">
      <xdr:nvSpPr>
        <xdr:cNvPr id="16" name="Down Arrow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 rot="16200000">
          <a:off x="59318847" y="18189706"/>
          <a:ext cx="258622" cy="341265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CH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CH"/>
        </a:p>
      </xdr:txBody>
    </xdr:sp>
    <xdr:clientData/>
  </xdr:twoCellAnchor>
  <xdr:twoCellAnchor>
    <xdr:from>
      <xdr:col>131</xdr:col>
      <xdr:colOff>418366</xdr:colOff>
      <xdr:row>85</xdr:row>
      <xdr:rowOff>178037</xdr:rowOff>
    </xdr:from>
    <xdr:to>
      <xdr:col>131</xdr:col>
      <xdr:colOff>759631</xdr:colOff>
      <xdr:row>87</xdr:row>
      <xdr:rowOff>33108</xdr:rowOff>
    </xdr:to>
    <xdr:sp macro="" textlink="">
      <xdr:nvSpPr>
        <xdr:cNvPr id="17" name="Down Arrow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 rot="16200000">
          <a:off x="59532492" y="17987930"/>
          <a:ext cx="258622" cy="341265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CH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CH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241300</xdr:colOff>
      <xdr:row>28</xdr:row>
      <xdr:rowOff>25400</xdr:rowOff>
    </xdr:from>
    <xdr:to>
      <xdr:col>4</xdr:col>
      <xdr:colOff>698334</xdr:colOff>
      <xdr:row>42</xdr:row>
      <xdr:rowOff>195580</xdr:rowOff>
    </xdr:to>
    <xdr:pic>
      <xdr:nvPicPr>
        <xdr:cNvPr id="3" name="Picture 2" descr="A map of the world&#10;&#10;Description automatically generated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1300" y="6248400"/>
          <a:ext cx="6184734" cy="3129280"/>
        </a:xfrm>
        <a:prstGeom prst="rect">
          <a:avLst/>
        </a:prstGeom>
      </xdr:spPr>
    </xdr:pic>
    <xdr:clientData/>
  </xdr:twoCellAnchor>
  <xdr:twoCellAnchor editAs="oneCell">
    <xdr:from>
      <xdr:col>5</xdr:col>
      <xdr:colOff>774700</xdr:colOff>
      <xdr:row>28</xdr:row>
      <xdr:rowOff>38100</xdr:rowOff>
    </xdr:from>
    <xdr:to>
      <xdr:col>8</xdr:col>
      <xdr:colOff>101600</xdr:colOff>
      <xdr:row>42</xdr:row>
      <xdr:rowOff>99315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27900" y="6261100"/>
          <a:ext cx="5016500" cy="302031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812542</xdr:colOff>
      <xdr:row>17</xdr:row>
      <xdr:rowOff>207818</xdr:rowOff>
    </xdr:from>
    <xdr:to>
      <xdr:col>9</xdr:col>
      <xdr:colOff>27439</xdr:colOff>
      <xdr:row>33</xdr:row>
      <xdr:rowOff>104110</xdr:rowOff>
    </xdr:to>
    <xdr:pic>
      <xdr:nvPicPr>
        <xdr:cNvPr id="4" name="Picture 3" descr="A diagram of a computer system&#10;&#10;Description automatically generated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27542" y="4075545"/>
          <a:ext cx="6130624" cy="3383019"/>
        </a:xfrm>
        <a:prstGeom prst="rect">
          <a:avLst/>
        </a:prstGeom>
      </xdr:spPr>
    </xdr:pic>
    <xdr:clientData/>
  </xdr:twoCellAnchor>
  <xdr:twoCellAnchor>
    <xdr:from>
      <xdr:col>19</xdr:col>
      <xdr:colOff>127000</xdr:colOff>
      <xdr:row>9</xdr:row>
      <xdr:rowOff>4</xdr:rowOff>
    </xdr:from>
    <xdr:to>
      <xdr:col>19</xdr:col>
      <xdr:colOff>778642</xdr:colOff>
      <xdr:row>15</xdr:row>
      <xdr:rowOff>139700</xdr:rowOff>
    </xdr:to>
    <xdr:sp macro="" textlink="">
      <xdr:nvSpPr>
        <xdr:cNvPr id="2" name="U-turn Arrow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rot="5400000">
          <a:off x="25376573" y="2449131"/>
          <a:ext cx="1384296" cy="651642"/>
        </a:xfrm>
        <a:prstGeom prst="uturnArrow">
          <a:avLst>
            <a:gd name="adj1" fmla="val 25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CH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CH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127000</xdr:colOff>
      <xdr:row>16</xdr:row>
      <xdr:rowOff>38104</xdr:rowOff>
    </xdr:from>
    <xdr:to>
      <xdr:col>19</xdr:col>
      <xdr:colOff>778642</xdr:colOff>
      <xdr:row>22</xdr:row>
      <xdr:rowOff>6573</xdr:rowOff>
    </xdr:to>
    <xdr:sp macro="" textlink="">
      <xdr:nvSpPr>
        <xdr:cNvPr id="3" name="U-turn Arrow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5400000">
          <a:off x="25385986" y="3925618"/>
          <a:ext cx="1365469" cy="651642"/>
        </a:xfrm>
        <a:prstGeom prst="uturnArrow">
          <a:avLst>
            <a:gd name="adj1" fmla="val 25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CH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CH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653215</xdr:colOff>
      <xdr:row>5</xdr:row>
      <xdr:rowOff>178954</xdr:rowOff>
    </xdr:from>
    <xdr:to>
      <xdr:col>27</xdr:col>
      <xdr:colOff>133657</xdr:colOff>
      <xdr:row>20</xdr:row>
      <xdr:rowOff>178000</xdr:rowOff>
    </xdr:to>
    <xdr:pic>
      <xdr:nvPicPr>
        <xdr:cNvPr id="2" name="Picture 1" descr="A diagram of a computer system&#10;&#10;Description automatically generated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291215" y="1275772"/>
          <a:ext cx="6130624" cy="3220228"/>
        </a:xfrm>
        <a:prstGeom prst="rect">
          <a:avLst/>
        </a:prstGeom>
      </xdr:spPr>
    </xdr:pic>
    <xdr:clientData/>
  </xdr:twoCellAnchor>
  <xdr:twoCellAnchor editAs="oneCell">
    <xdr:from>
      <xdr:col>19</xdr:col>
      <xdr:colOff>724509</xdr:colOff>
      <xdr:row>21</xdr:row>
      <xdr:rowOff>81010</xdr:rowOff>
    </xdr:from>
    <xdr:to>
      <xdr:col>27</xdr:col>
      <xdr:colOff>210725</xdr:colOff>
      <xdr:row>37</xdr:row>
      <xdr:rowOff>160509</xdr:rowOff>
    </xdr:to>
    <xdr:pic>
      <xdr:nvPicPr>
        <xdr:cNvPr id="3" name="Picture 2" descr="A diagram of a computer network&#10;&#10;Description automatically generated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362509" y="4606828"/>
          <a:ext cx="6136398" cy="3496954"/>
        </a:xfrm>
        <a:prstGeom prst="rect">
          <a:avLst/>
        </a:prstGeom>
      </xdr:spPr>
    </xdr:pic>
    <xdr:clientData/>
  </xdr:twoCellAnchor>
  <xdr:twoCellAnchor>
    <xdr:from>
      <xdr:col>3</xdr:col>
      <xdr:colOff>1050636</xdr:colOff>
      <xdr:row>19</xdr:row>
      <xdr:rowOff>46181</xdr:rowOff>
    </xdr:from>
    <xdr:to>
      <xdr:col>4</xdr:col>
      <xdr:colOff>450571</xdr:colOff>
      <xdr:row>20</xdr:row>
      <xdr:rowOff>159766</xdr:rowOff>
    </xdr:to>
    <xdr:sp macro="" textlink="">
      <xdr:nvSpPr>
        <xdr:cNvPr id="4" name="Right Arrow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511636" y="4156363"/>
          <a:ext cx="462117" cy="321403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CH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CH"/>
        </a:p>
      </xdr:txBody>
    </xdr:sp>
    <xdr:clientData/>
  </xdr:twoCellAnchor>
  <xdr:twoCellAnchor>
    <xdr:from>
      <xdr:col>3</xdr:col>
      <xdr:colOff>1007508</xdr:colOff>
      <xdr:row>33</xdr:row>
      <xdr:rowOff>151322</xdr:rowOff>
    </xdr:from>
    <xdr:to>
      <xdr:col>5</xdr:col>
      <xdr:colOff>124930</xdr:colOff>
      <xdr:row>35</xdr:row>
      <xdr:rowOff>57089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 rot="19256357">
          <a:off x="6468508" y="7182504"/>
          <a:ext cx="641422" cy="321403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CH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CH"/>
        </a:p>
      </xdr:txBody>
    </xdr:sp>
    <xdr:clientData/>
  </xdr:twoCellAnchor>
  <xdr:twoCellAnchor>
    <xdr:from>
      <xdr:col>9</xdr:col>
      <xdr:colOff>23091</xdr:colOff>
      <xdr:row>19</xdr:row>
      <xdr:rowOff>46181</xdr:rowOff>
    </xdr:from>
    <xdr:to>
      <xdr:col>9</xdr:col>
      <xdr:colOff>346662</xdr:colOff>
      <xdr:row>20</xdr:row>
      <xdr:rowOff>159766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3531273" y="4156363"/>
          <a:ext cx="323571" cy="321403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CH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CH"/>
        </a:p>
      </xdr:txBody>
    </xdr:sp>
    <xdr:clientData/>
  </xdr:twoCellAnchor>
  <xdr:twoCellAnchor>
    <xdr:from>
      <xdr:col>14</xdr:col>
      <xdr:colOff>23090</xdr:colOff>
      <xdr:row>19</xdr:row>
      <xdr:rowOff>46181</xdr:rowOff>
    </xdr:from>
    <xdr:to>
      <xdr:col>14</xdr:col>
      <xdr:colOff>346661</xdr:colOff>
      <xdr:row>20</xdr:row>
      <xdr:rowOff>159766</xdr:rowOff>
    </xdr:to>
    <xdr:sp macro="" textlink="">
      <xdr:nvSpPr>
        <xdr:cNvPr id="7" name="Right Arrow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9442545" y="4156363"/>
          <a:ext cx="323571" cy="321403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CH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CH"/>
        </a:p>
      </xdr:txBody>
    </xdr:sp>
    <xdr:clientData/>
  </xdr:twoCellAnchor>
  <xdr:twoCellAnchor>
    <xdr:from>
      <xdr:col>8</xdr:col>
      <xdr:colOff>2182203</xdr:colOff>
      <xdr:row>32</xdr:row>
      <xdr:rowOff>192352</xdr:rowOff>
    </xdr:from>
    <xdr:to>
      <xdr:col>15</xdr:col>
      <xdr:colOff>57612</xdr:colOff>
      <xdr:row>34</xdr:row>
      <xdr:rowOff>75027</xdr:rowOff>
    </xdr:to>
    <xdr:sp macro="" textlink="">
      <xdr:nvSpPr>
        <xdr:cNvPr id="8" name="Right Arrow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rot="10240832">
          <a:off x="13554476" y="7004170"/>
          <a:ext cx="6430591" cy="30985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CH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CH"/>
        </a:p>
      </xdr:txBody>
    </xdr:sp>
    <xdr:clientData/>
  </xdr:twoCellAnchor>
  <xdr:twoCellAnchor>
    <xdr:from>
      <xdr:col>9</xdr:col>
      <xdr:colOff>23091</xdr:colOff>
      <xdr:row>55</xdr:row>
      <xdr:rowOff>138545</xdr:rowOff>
    </xdr:from>
    <xdr:to>
      <xdr:col>9</xdr:col>
      <xdr:colOff>346662</xdr:colOff>
      <xdr:row>57</xdr:row>
      <xdr:rowOff>44312</xdr:rowOff>
    </xdr:to>
    <xdr:sp macro="" textlink="">
      <xdr:nvSpPr>
        <xdr:cNvPr id="9" name="Right Arrow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3531273" y="10194636"/>
          <a:ext cx="323571" cy="321403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CH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CH"/>
        </a:p>
      </xdr:txBody>
    </xdr:sp>
    <xdr:clientData/>
  </xdr:twoCellAnchor>
  <xdr:twoCellAnchor>
    <xdr:from>
      <xdr:col>14</xdr:col>
      <xdr:colOff>19342</xdr:colOff>
      <xdr:row>32</xdr:row>
      <xdr:rowOff>187849</xdr:rowOff>
    </xdr:from>
    <xdr:to>
      <xdr:col>14</xdr:col>
      <xdr:colOff>410018</xdr:colOff>
      <xdr:row>36</xdr:row>
      <xdr:rowOff>15673</xdr:rowOff>
    </xdr:to>
    <xdr:sp macro="" textlink="">
      <xdr:nvSpPr>
        <xdr:cNvPr id="10" name="Right Arrow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rot="7978956">
          <a:off x="19385404" y="7145423"/>
          <a:ext cx="682188" cy="390676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CH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CH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12</xdr:row>
      <xdr:rowOff>190500</xdr:rowOff>
    </xdr:from>
    <xdr:to>
      <xdr:col>15</xdr:col>
      <xdr:colOff>159315</xdr:colOff>
      <xdr:row>29</xdr:row>
      <xdr:rowOff>169919</xdr:rowOff>
    </xdr:to>
    <xdr:pic>
      <xdr:nvPicPr>
        <xdr:cNvPr id="2" name="Picture 1" descr="A diagram of a computer system&#10;&#10;Description automatically generated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25400" y="2921000"/>
          <a:ext cx="6090215" cy="3446519"/>
        </a:xfrm>
        <a:prstGeom prst="rect">
          <a:avLst/>
        </a:prstGeom>
      </xdr:spPr>
    </xdr:pic>
    <xdr:clientData/>
  </xdr:twoCellAnchor>
  <xdr:twoCellAnchor editAs="oneCell">
    <xdr:from>
      <xdr:col>10</xdr:col>
      <xdr:colOff>28575</xdr:colOff>
      <xdr:row>30</xdr:row>
      <xdr:rowOff>74083</xdr:rowOff>
    </xdr:from>
    <xdr:to>
      <xdr:col>15</xdr:col>
      <xdr:colOff>187890</xdr:colOff>
      <xdr:row>49</xdr:row>
      <xdr:rowOff>127000</xdr:rowOff>
    </xdr:to>
    <xdr:pic>
      <xdr:nvPicPr>
        <xdr:cNvPr id="3" name="Picture 2" descr="A diagram of a computer network&#10;&#10;Description automatically generated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53975" y="6474883"/>
          <a:ext cx="6090215" cy="3913717"/>
        </a:xfrm>
        <a:prstGeom prst="rect">
          <a:avLst/>
        </a:prstGeom>
      </xdr:spPr>
    </xdr:pic>
    <xdr:clientData/>
  </xdr:twoCellAnchor>
  <xdr:twoCellAnchor>
    <xdr:from>
      <xdr:col>9</xdr:col>
      <xdr:colOff>25400</xdr:colOff>
      <xdr:row>5</xdr:row>
      <xdr:rowOff>0</xdr:rowOff>
    </xdr:from>
    <xdr:to>
      <xdr:col>9</xdr:col>
      <xdr:colOff>477345</xdr:colOff>
      <xdr:row>8</xdr:row>
      <xdr:rowOff>199696</xdr:rowOff>
    </xdr:to>
    <xdr:sp macro="" textlink="">
      <xdr:nvSpPr>
        <xdr:cNvPr id="4" name="Down Arrow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1391900" y="990600"/>
          <a:ext cx="451945" cy="847396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CH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CH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12700</xdr:colOff>
      <xdr:row>14</xdr:row>
      <xdr:rowOff>12700</xdr:rowOff>
    </xdr:from>
    <xdr:to>
      <xdr:col>13</xdr:col>
      <xdr:colOff>2428986</xdr:colOff>
      <xdr:row>30</xdr:row>
      <xdr:rowOff>4819</xdr:rowOff>
    </xdr:to>
    <xdr:pic>
      <xdr:nvPicPr>
        <xdr:cNvPr id="2" name="Picture 1" descr="A diagram of a computer system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01600" y="3086100"/>
          <a:ext cx="6090215" cy="3344919"/>
        </a:xfrm>
        <a:prstGeom prst="rect">
          <a:avLst/>
        </a:prstGeom>
      </xdr:spPr>
    </xdr:pic>
    <xdr:clientData/>
  </xdr:twoCellAnchor>
  <xdr:twoCellAnchor editAs="oneCell">
    <xdr:from>
      <xdr:col>10</xdr:col>
      <xdr:colOff>79375</xdr:colOff>
      <xdr:row>30</xdr:row>
      <xdr:rowOff>86783</xdr:rowOff>
    </xdr:from>
    <xdr:to>
      <xdr:col>13</xdr:col>
      <xdr:colOff>2495661</xdr:colOff>
      <xdr:row>49</xdr:row>
      <xdr:rowOff>114300</xdr:rowOff>
    </xdr:to>
    <xdr:pic>
      <xdr:nvPicPr>
        <xdr:cNvPr id="3" name="Picture 2" descr="A diagram of a computer network&#10;&#10;Description automatically generated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68275" y="6512983"/>
          <a:ext cx="6090215" cy="3901017"/>
        </a:xfrm>
        <a:prstGeom prst="rect">
          <a:avLst/>
        </a:prstGeom>
      </xdr:spPr>
    </xdr:pic>
    <xdr:clientData/>
  </xdr:twoCellAnchor>
  <xdr:twoCellAnchor>
    <xdr:from>
      <xdr:col>9</xdr:col>
      <xdr:colOff>25400</xdr:colOff>
      <xdr:row>4</xdr:row>
      <xdr:rowOff>0</xdr:rowOff>
    </xdr:from>
    <xdr:to>
      <xdr:col>9</xdr:col>
      <xdr:colOff>477345</xdr:colOff>
      <xdr:row>7</xdr:row>
      <xdr:rowOff>199696</xdr:rowOff>
    </xdr:to>
    <xdr:sp macro="" textlink="">
      <xdr:nvSpPr>
        <xdr:cNvPr id="4" name="Down Arrow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0909300" y="990600"/>
          <a:ext cx="451945" cy="809296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CH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CH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559557</xdr:colOff>
      <xdr:row>0</xdr:row>
      <xdr:rowOff>26811</xdr:rowOff>
    </xdr:from>
    <xdr:to>
      <xdr:col>17</xdr:col>
      <xdr:colOff>45770</xdr:colOff>
      <xdr:row>14</xdr:row>
      <xdr:rowOff>184736</xdr:rowOff>
    </xdr:to>
    <xdr:pic>
      <xdr:nvPicPr>
        <xdr:cNvPr id="2" name="Picture 1" descr="A diagram of a computer system&#10;&#10;Description automatically generated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80335" y="26811"/>
          <a:ext cx="6146659" cy="3121258"/>
        </a:xfrm>
        <a:prstGeom prst="rect">
          <a:avLst/>
        </a:prstGeom>
      </xdr:spPr>
    </xdr:pic>
    <xdr:clientData/>
  </xdr:twoCellAnchor>
  <xdr:twoCellAnchor editAs="oneCell">
    <xdr:from>
      <xdr:col>9</xdr:col>
      <xdr:colOff>571500</xdr:colOff>
      <xdr:row>15</xdr:row>
      <xdr:rowOff>50800</xdr:rowOff>
    </xdr:from>
    <xdr:to>
      <xdr:col>17</xdr:col>
      <xdr:colOff>103896</xdr:colOff>
      <xdr:row>32</xdr:row>
      <xdr:rowOff>32163</xdr:rowOff>
    </xdr:to>
    <xdr:pic>
      <xdr:nvPicPr>
        <xdr:cNvPr id="4" name="Picture 3" descr="A diagram of a computer network&#10;&#10;Description automatically generated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07800" y="3276600"/>
          <a:ext cx="6136397" cy="349926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96</xdr:col>
      <xdr:colOff>418366</xdr:colOff>
      <xdr:row>6</xdr:row>
      <xdr:rowOff>178037</xdr:rowOff>
    </xdr:from>
    <xdr:to>
      <xdr:col>96</xdr:col>
      <xdr:colOff>759631</xdr:colOff>
      <xdr:row>8</xdr:row>
      <xdr:rowOff>33108</xdr:rowOff>
    </xdr:to>
    <xdr:sp macro="" textlink="">
      <xdr:nvSpPr>
        <xdr:cNvPr id="2" name="Down Arrow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 rot="16200000">
          <a:off x="123692713" y="17949890"/>
          <a:ext cx="299571" cy="341265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CH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CH"/>
        </a:p>
      </xdr:txBody>
    </xdr:sp>
    <xdr:clientData/>
  </xdr:twoCellAnchor>
  <xdr:twoCellAnchor>
    <xdr:from>
      <xdr:col>0</xdr:col>
      <xdr:colOff>146050</xdr:colOff>
      <xdr:row>28</xdr:row>
      <xdr:rowOff>127000</xdr:rowOff>
    </xdr:from>
    <xdr:to>
      <xdr:col>5</xdr:col>
      <xdr:colOff>0</xdr:colOff>
      <xdr:row>47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914400</xdr:colOff>
      <xdr:row>28</xdr:row>
      <xdr:rowOff>127000</xdr:rowOff>
    </xdr:from>
    <xdr:to>
      <xdr:col>19</xdr:col>
      <xdr:colOff>558800</xdr:colOff>
      <xdr:row>62</xdr:row>
      <xdr:rowOff>50800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29</xdr:row>
      <xdr:rowOff>0</xdr:rowOff>
    </xdr:from>
    <xdr:to>
      <xdr:col>36</xdr:col>
      <xdr:colOff>571500</xdr:colOff>
      <xdr:row>62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C597BEA-E56C-7D40-AC57-2621220FD1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6350</xdr:colOff>
      <xdr:row>49</xdr:row>
      <xdr:rowOff>12700</xdr:rowOff>
    </xdr:from>
    <xdr:to>
      <xdr:col>38</xdr:col>
      <xdr:colOff>393700</xdr:colOff>
      <xdr:row>69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E6BFEF-E784-1FA9-78EE-548CC03C8E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4534</xdr:colOff>
      <xdr:row>24</xdr:row>
      <xdr:rowOff>1</xdr:rowOff>
    </xdr:from>
    <xdr:to>
      <xdr:col>38</xdr:col>
      <xdr:colOff>399141</xdr:colOff>
      <xdr:row>44</xdr:row>
      <xdr:rowOff>187779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346727-A062-9794-A541-86A450894F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825499</xdr:colOff>
      <xdr:row>1</xdr:row>
      <xdr:rowOff>9072</xdr:rowOff>
    </xdr:from>
    <xdr:to>
      <xdr:col>38</xdr:col>
      <xdr:colOff>399142</xdr:colOff>
      <xdr:row>21</xdr:row>
      <xdr:rowOff>196851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2E67C32-1988-B004-A422-8C51D82FA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14" Type="http://schemas.openxmlformats.org/officeDocument/2006/relationships/ctrlProp" Target="../ctrlProps/ctrlProp112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nsr.com/space-traffic-data-volumes-increase-14x-over-the-next-ten-years/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1FF8D-DCC3-8549-8FD1-E167ED4DA017}">
  <sheetPr codeName="Sheet1"/>
  <dimension ref="A1:AN175"/>
  <sheetViews>
    <sheetView tabSelected="1" zoomScale="90" zoomScaleNormal="90" workbookViewId="0">
      <selection activeCell="K5" sqref="K5"/>
    </sheetView>
  </sheetViews>
  <sheetFormatPr baseColWidth="10" defaultColWidth="11" defaultRowHeight="21"/>
  <cols>
    <col min="1" max="1" width="3.5" customWidth="1"/>
    <col min="2" max="2" width="13.1640625" customWidth="1"/>
    <col min="4" max="4" width="20" customWidth="1"/>
    <col min="5" max="5" width="14.6640625" customWidth="1"/>
    <col min="6" max="6" width="13" customWidth="1"/>
    <col min="7" max="7" width="19.83203125" customWidth="1"/>
    <col min="8" max="8" width="11.33203125" customWidth="1"/>
    <col min="9" max="9" width="12.6640625" customWidth="1"/>
    <col min="10" max="10" width="15" style="66" customWidth="1"/>
    <col min="11" max="11" width="47" style="66" customWidth="1"/>
    <col min="12" max="12" width="3.33203125" customWidth="1"/>
    <col min="13" max="13" width="9.33203125" customWidth="1"/>
    <col min="14" max="14" width="9.6640625" customWidth="1"/>
    <col min="15" max="15" width="27.83203125" customWidth="1"/>
    <col min="16" max="16" width="19.6640625" customWidth="1"/>
    <col min="17" max="17" width="22.33203125" customWidth="1"/>
    <col min="18" max="18" width="21.33203125" customWidth="1"/>
    <col min="19" max="19" width="18.6640625" customWidth="1"/>
    <col min="20" max="20" width="17.83203125" customWidth="1"/>
    <col min="21" max="21" width="18.6640625" customWidth="1"/>
    <col min="22" max="22" width="15.5" customWidth="1"/>
    <col min="23" max="23" width="14.1640625" customWidth="1"/>
    <col min="24" max="24" width="15" customWidth="1"/>
    <col min="25" max="25" width="15.1640625" customWidth="1"/>
    <col min="27" max="27" width="13.6640625" customWidth="1"/>
    <col min="28" max="28" width="25" customWidth="1"/>
    <col min="29" max="29" width="10.1640625" customWidth="1"/>
    <col min="30" max="30" width="3.6640625" customWidth="1"/>
    <col min="31" max="31" width="37.1640625" customWidth="1"/>
    <col min="32" max="32" width="5.5" customWidth="1"/>
    <col min="33" max="33" width="3.1640625" customWidth="1"/>
    <col min="34" max="34" width="19.5" customWidth="1"/>
    <col min="35" max="35" width="17.5" customWidth="1"/>
    <col min="36" max="36" width="18.5" customWidth="1"/>
    <col min="37" max="37" width="19.83203125" customWidth="1"/>
    <col min="38" max="38" width="2.6640625" customWidth="1"/>
    <col min="40" max="40" width="12.5" customWidth="1"/>
    <col min="41" max="41" width="3.83203125" customWidth="1"/>
    <col min="42" max="42" width="11.83203125" customWidth="1"/>
    <col min="46" max="46" width="11.1640625" customWidth="1"/>
    <col min="47" max="47" width="17.1640625" customWidth="1"/>
    <col min="50" max="50" width="3.1640625" customWidth="1"/>
    <col min="56" max="56" width="12.5" customWidth="1"/>
    <col min="60" max="60" width="3" customWidth="1"/>
  </cols>
  <sheetData>
    <row r="1" spans="1:38" ht="26">
      <c r="B1" s="61" t="s">
        <v>0</v>
      </c>
    </row>
    <row r="2" spans="1:38" ht="24">
      <c r="B2" s="62" t="s">
        <v>1660</v>
      </c>
    </row>
    <row r="3" spans="1:38">
      <c r="B3" t="s">
        <v>1662</v>
      </c>
      <c r="F3" t="s">
        <v>1661</v>
      </c>
      <c r="I3" t="s">
        <v>1664</v>
      </c>
    </row>
    <row r="5" spans="1:38">
      <c r="B5" s="63" t="s">
        <v>1210</v>
      </c>
    </row>
    <row r="8" spans="1:38">
      <c r="K8" s="66">
        <v>1</v>
      </c>
    </row>
    <row r="10" spans="1:38">
      <c r="AD10" s="55"/>
      <c r="AE10" s="55"/>
      <c r="AF10" s="55"/>
      <c r="AG10" s="55"/>
      <c r="AH10" s="55"/>
      <c r="AI10" s="55"/>
      <c r="AJ10" s="55"/>
      <c r="AK10" s="55"/>
      <c r="AL10" s="55"/>
    </row>
    <row r="11" spans="1:38" ht="24">
      <c r="AD11" s="55"/>
      <c r="AE11" s="65" t="s">
        <v>1226</v>
      </c>
      <c r="AL11" s="55"/>
    </row>
    <row r="12" spans="1:38" ht="20" customHeight="1">
      <c r="AD12" s="55"/>
      <c r="AJ12" s="4" t="s">
        <v>3</v>
      </c>
      <c r="AL12" s="55"/>
    </row>
    <row r="13" spans="1:38" ht="20" customHeight="1">
      <c r="AD13" s="55"/>
      <c r="AJ13" s="266" t="s">
        <v>1211</v>
      </c>
      <c r="AL13" s="67"/>
    </row>
    <row r="14" spans="1:38">
      <c r="AD14" s="55"/>
      <c r="AE14" s="69" t="s">
        <v>1164</v>
      </c>
      <c r="AH14" s="241">
        <f>Timeline_Year_this</f>
        <v>2031</v>
      </c>
      <c r="AI14" s="4"/>
      <c r="AJ14" s="191" t="s">
        <v>8</v>
      </c>
      <c r="AL14" s="67"/>
    </row>
    <row r="15" spans="1:38">
      <c r="A15" s="64"/>
      <c r="B15" s="64"/>
      <c r="C15" s="64"/>
      <c r="D15" s="64"/>
      <c r="E15" s="64"/>
      <c r="F15" s="64"/>
      <c r="G15" s="64"/>
      <c r="H15" s="64"/>
      <c r="I15" s="64"/>
      <c r="J15" s="68"/>
      <c r="K15" s="68"/>
      <c r="L15" s="64"/>
      <c r="AD15" s="55"/>
      <c r="AH15" s="240"/>
      <c r="AI15" s="4"/>
      <c r="AJ15" s="191"/>
      <c r="AL15" s="67"/>
    </row>
    <row r="16" spans="1:38" ht="26">
      <c r="A16" s="64"/>
      <c r="B16" s="61" t="s">
        <v>1153</v>
      </c>
      <c r="C16" s="66"/>
      <c r="L16" s="64"/>
      <c r="AD16" s="55"/>
      <c r="AE16" s="69" t="s">
        <v>1163</v>
      </c>
      <c r="AH16" s="247" t="str">
        <f>IF(USECASE=1,"Use-Case 1",IF(USECASE=2, "Use Case 2", IF(USECASE = 3, "Use Case 3",IF(USECASE=4, "User Defined 1", "User Defined 2"))))</f>
        <v>Use-Case 1</v>
      </c>
      <c r="AI16" s="4"/>
      <c r="AJ16" s="191" t="s">
        <v>8</v>
      </c>
      <c r="AL16" s="67"/>
    </row>
    <row r="17" spans="1:40">
      <c r="A17" s="64"/>
      <c r="H17" s="4" t="s">
        <v>1</v>
      </c>
      <c r="I17" s="4" t="s">
        <v>2</v>
      </c>
      <c r="J17" s="4" t="s">
        <v>52</v>
      </c>
      <c r="K17" s="4" t="s">
        <v>1136</v>
      </c>
      <c r="L17" s="64"/>
      <c r="AD17" s="55"/>
      <c r="AH17" s="191"/>
      <c r="AI17" s="4"/>
      <c r="AJ17" s="191"/>
      <c r="AL17" s="67"/>
    </row>
    <row r="18" spans="1:40" ht="24" customHeight="1">
      <c r="A18" s="68"/>
      <c r="B18" s="66" t="s">
        <v>1188</v>
      </c>
      <c r="C18" s="66"/>
      <c r="D18" s="66"/>
      <c r="E18" s="66"/>
      <c r="F18" s="66"/>
      <c r="G18" s="66"/>
      <c r="H18" s="66">
        <v>2031</v>
      </c>
      <c r="I18" s="66">
        <f>'Use-Case Definitions'!G18</f>
        <v>2030</v>
      </c>
      <c r="L18" s="64"/>
      <c r="AD18" s="55"/>
      <c r="AE18" s="69" t="s">
        <v>1162</v>
      </c>
      <c r="AH18" s="245">
        <f>SDC_Compute_Type_of</f>
        <v>2</v>
      </c>
      <c r="AI18" s="4"/>
      <c r="AJ18" s="191" t="s">
        <v>8</v>
      </c>
      <c r="AL18" s="67"/>
    </row>
    <row r="19" spans="1:40">
      <c r="A19" s="68"/>
      <c r="L19" s="64"/>
      <c r="AD19" s="55"/>
      <c r="AH19" s="246"/>
      <c r="AI19" s="4"/>
      <c r="AJ19" s="191"/>
      <c r="AL19" s="67"/>
    </row>
    <row r="20" spans="1:40">
      <c r="A20" s="68"/>
      <c r="B20" s="66" t="s">
        <v>4</v>
      </c>
      <c r="C20" s="66"/>
      <c r="D20" s="66"/>
      <c r="E20" s="66"/>
      <c r="F20" s="66"/>
      <c r="G20" s="66"/>
      <c r="H20" s="66">
        <v>25.2</v>
      </c>
      <c r="I20" s="66">
        <f>'Use-Case Definitions'!G20</f>
        <v>10</v>
      </c>
      <c r="J20" s="66" t="s">
        <v>5</v>
      </c>
      <c r="K20" s="184"/>
      <c r="L20" s="64"/>
      <c r="AD20" s="55"/>
      <c r="AE20" s="66" t="s">
        <v>1161</v>
      </c>
      <c r="AH20" s="281">
        <f>Power_Total_PV_Capacity</f>
        <v>500</v>
      </c>
      <c r="AI20" s="4" t="s">
        <v>17</v>
      </c>
      <c r="AJ20" s="191"/>
      <c r="AL20" s="67"/>
    </row>
    <row r="21" spans="1:40" ht="23" customHeight="1">
      <c r="A21" s="68"/>
      <c r="B21" s="66"/>
      <c r="C21" s="66"/>
      <c r="D21" s="66"/>
      <c r="E21" s="66"/>
      <c r="F21" s="66"/>
      <c r="G21" s="66"/>
      <c r="H21" s="66"/>
      <c r="I21" s="66"/>
      <c r="L21" s="64"/>
      <c r="AD21" s="55"/>
      <c r="AH21" s="246"/>
      <c r="AI21" s="4"/>
      <c r="AJ21" s="191"/>
      <c r="AL21" s="67"/>
    </row>
    <row r="22" spans="1:40">
      <c r="A22" s="68"/>
      <c r="B22" s="66" t="s">
        <v>9</v>
      </c>
      <c r="C22" s="66"/>
      <c r="D22" s="66"/>
      <c r="E22" s="66"/>
      <c r="F22" s="66"/>
      <c r="G22" s="66"/>
      <c r="H22" s="66">
        <v>40</v>
      </c>
      <c r="I22" s="66">
        <f>'Use-Case Definitions'!G22</f>
        <v>20</v>
      </c>
      <c r="J22" s="66" t="s">
        <v>1186</v>
      </c>
      <c r="K22" s="184"/>
      <c r="L22" s="64"/>
      <c r="AD22" s="55"/>
      <c r="AE22" s="66" t="s">
        <v>1160</v>
      </c>
      <c r="AH22" s="281">
        <f>SDC_Weight</f>
        <v>14.987144545362762</v>
      </c>
      <c r="AI22" s="4" t="s">
        <v>57</v>
      </c>
      <c r="AJ22" s="191"/>
      <c r="AL22" s="67"/>
    </row>
    <row r="23" spans="1:40" ht="24" customHeight="1">
      <c r="A23" s="68"/>
      <c r="B23" s="66"/>
      <c r="C23" s="66"/>
      <c r="D23" s="66"/>
      <c r="E23" s="66"/>
      <c r="F23" s="66"/>
      <c r="G23" s="66"/>
      <c r="H23" s="66"/>
      <c r="I23" s="66"/>
      <c r="L23" s="64"/>
      <c r="AD23" s="55"/>
      <c r="AH23" s="246"/>
      <c r="AI23" s="4"/>
      <c r="AJ23" s="191"/>
      <c r="AL23" s="67"/>
    </row>
    <row r="24" spans="1:40" ht="26" customHeight="1">
      <c r="A24" s="68"/>
      <c r="B24" s="66" t="s">
        <v>11</v>
      </c>
      <c r="C24" s="66"/>
      <c r="D24" s="66"/>
      <c r="E24" s="66"/>
      <c r="F24" s="66"/>
      <c r="G24" s="66"/>
      <c r="H24" s="66">
        <v>235</v>
      </c>
      <c r="I24" s="66">
        <f>'Use-Case Definitions'!G24</f>
        <v>50</v>
      </c>
      <c r="J24" s="66" t="s">
        <v>12</v>
      </c>
      <c r="K24" s="66" t="s">
        <v>1187</v>
      </c>
      <c r="L24" s="64"/>
      <c r="AD24" s="55"/>
      <c r="AE24" s="66" t="s">
        <v>1185</v>
      </c>
      <c r="AH24" s="282">
        <f>SDC_Cost_BOM+SDC_Cost_Launch</f>
        <v>1704332.9243059829</v>
      </c>
      <c r="AI24" s="4" t="s">
        <v>584</v>
      </c>
      <c r="AJ24" s="191"/>
      <c r="AL24" s="67"/>
      <c r="AN24">
        <f>AH26*AH37</f>
        <v>60777.514185296204</v>
      </c>
    </row>
    <row r="25" spans="1:40" ht="26" customHeight="1">
      <c r="A25" s="68"/>
      <c r="B25" s="249" t="s">
        <v>58</v>
      </c>
      <c r="C25" s="250"/>
      <c r="D25" s="251"/>
      <c r="E25" s="250"/>
      <c r="F25" s="250"/>
      <c r="G25" s="250"/>
      <c r="H25" s="252">
        <f>Single_Object_Size*Compute_Intensity/Frequency_of_DataObjects</f>
        <v>148.05000000000001</v>
      </c>
      <c r="I25" s="252">
        <f>I20*I24/I22</f>
        <v>25</v>
      </c>
      <c r="J25" s="249" t="s">
        <v>59</v>
      </c>
      <c r="K25" s="253"/>
      <c r="L25" s="64"/>
      <c r="AD25" s="55"/>
      <c r="AH25" s="246"/>
      <c r="AI25" s="4"/>
      <c r="AJ25" s="191"/>
      <c r="AL25" s="67"/>
    </row>
    <row r="26" spans="1:40" ht="26" customHeight="1">
      <c r="A26" s="68"/>
      <c r="B26" s="249" t="s">
        <v>1190</v>
      </c>
      <c r="C26" s="250"/>
      <c r="D26" s="251"/>
      <c r="E26" s="250"/>
      <c r="F26" s="250"/>
      <c r="G26" s="250"/>
      <c r="H26" s="252">
        <f>Workload_Compute_total*SDCs_Numb_Clients</f>
        <v>148.05000000000001</v>
      </c>
      <c r="I26" s="252">
        <f>I25*I73</f>
        <v>125</v>
      </c>
      <c r="J26" s="249" t="s">
        <v>476</v>
      </c>
      <c r="K26" s="253"/>
      <c r="L26" s="64"/>
      <c r="AD26" s="55"/>
      <c r="AE26" s="66" t="s">
        <v>21</v>
      </c>
      <c r="AH26" s="283">
        <f>USR_Cost_per_GOPs*1000</f>
        <v>69859.211707237017</v>
      </c>
      <c r="AI26" s="242" t="s">
        <v>22</v>
      </c>
      <c r="AJ26" s="191"/>
      <c r="AL26" s="67"/>
    </row>
    <row r="27" spans="1:40">
      <c r="A27" s="68"/>
      <c r="L27" s="64"/>
      <c r="AD27" s="55"/>
      <c r="AH27" s="240"/>
      <c r="AI27" s="1"/>
      <c r="AJ27" s="191"/>
      <c r="AL27" s="67"/>
    </row>
    <row r="28" spans="1:40">
      <c r="A28" s="68"/>
      <c r="B28" s="66" t="s">
        <v>1182</v>
      </c>
      <c r="C28" s="66"/>
      <c r="D28" s="66"/>
      <c r="E28" s="66"/>
      <c r="F28" s="66"/>
      <c r="G28" s="66"/>
      <c r="H28" s="66">
        <v>0.1</v>
      </c>
      <c r="I28" s="66">
        <v>3</v>
      </c>
      <c r="J28" s="66" t="s">
        <v>90</v>
      </c>
      <c r="K28" s="66" t="s">
        <v>1194</v>
      </c>
      <c r="L28" s="64"/>
      <c r="AD28" s="55"/>
      <c r="AH28" s="240"/>
      <c r="AI28" s="1"/>
      <c r="AJ28" s="191"/>
      <c r="AL28" s="67"/>
    </row>
    <row r="29" spans="1:40" ht="26" customHeight="1">
      <c r="A29" s="68"/>
      <c r="B29" s="66"/>
      <c r="C29" s="66"/>
      <c r="D29" s="66"/>
      <c r="E29" s="66"/>
      <c r="F29" s="66"/>
      <c r="G29" s="66"/>
      <c r="H29" s="66"/>
      <c r="I29" s="185"/>
      <c r="L29" s="64"/>
      <c r="AD29" s="55"/>
      <c r="AH29" s="240"/>
      <c r="AI29" s="1"/>
      <c r="AJ29" s="191"/>
      <c r="AL29" s="67"/>
    </row>
    <row r="30" spans="1:40" ht="23" customHeight="1">
      <c r="A30" s="68"/>
      <c r="B30" s="249" t="s">
        <v>68</v>
      </c>
      <c r="C30" s="250"/>
      <c r="D30" s="250"/>
      <c r="E30" s="250"/>
      <c r="F30" s="250"/>
      <c r="G30" s="250"/>
      <c r="H30" s="252">
        <f>Single_Object_Size*SDCs_Numb_Clients*SDC_Storage_numb_hours*3600/Frequency_of_DataObjects/1000</f>
        <v>0.2268</v>
      </c>
      <c r="I30" s="252">
        <f>I20*I73*I28*3600/I22/1000</f>
        <v>27</v>
      </c>
      <c r="J30" s="249" t="s">
        <v>69</v>
      </c>
      <c r="K30" s="250"/>
      <c r="L30" s="64"/>
      <c r="AD30" s="55"/>
      <c r="AE30" s="66" t="s">
        <v>23</v>
      </c>
      <c r="AH30" s="284">
        <f>USR_Watt_per_TOPs</f>
        <v>0.65789473684210531</v>
      </c>
      <c r="AI30" s="4" t="s">
        <v>24</v>
      </c>
      <c r="AJ30" s="191"/>
      <c r="AL30" s="67"/>
    </row>
    <row r="31" spans="1:40" ht="23" customHeight="1">
      <c r="A31" s="68"/>
      <c r="B31" s="249" t="s">
        <v>1191</v>
      </c>
      <c r="C31" s="250"/>
      <c r="D31" s="250"/>
      <c r="E31" s="250"/>
      <c r="F31" s="250"/>
      <c r="G31" s="250"/>
      <c r="H31" s="252">
        <f>Workload_Storage_total*SDCs_Numb_Clients</f>
        <v>0.2268</v>
      </c>
      <c r="I31" s="252">
        <f>I30*I73</f>
        <v>135</v>
      </c>
      <c r="J31" s="249" t="s">
        <v>69</v>
      </c>
      <c r="K31" s="250"/>
      <c r="L31" s="64"/>
      <c r="AD31" s="55"/>
      <c r="AH31" s="240"/>
      <c r="AI31" s="1"/>
      <c r="AJ31" s="191"/>
      <c r="AL31" s="67"/>
    </row>
    <row r="32" spans="1:40" ht="31" customHeight="1">
      <c r="A32" s="68"/>
      <c r="L32" s="64"/>
      <c r="AD32" s="55"/>
      <c r="AE32" s="66" t="s">
        <v>25</v>
      </c>
      <c r="AH32" s="285">
        <f>USR_Cost_per_kW</f>
        <v>106186.00179500028</v>
      </c>
      <c r="AI32" s="4" t="s">
        <v>26</v>
      </c>
      <c r="AJ32" s="191"/>
      <c r="AL32" s="55"/>
    </row>
    <row r="33" spans="1:39" ht="24" customHeight="1">
      <c r="A33" s="68"/>
      <c r="B33" s="66" t="s">
        <v>1189</v>
      </c>
      <c r="H33" s="248">
        <v>10</v>
      </c>
      <c r="I33" s="66">
        <v>10</v>
      </c>
      <c r="J33" s="66" t="s">
        <v>428</v>
      </c>
      <c r="K33" s="66" t="s">
        <v>1187</v>
      </c>
      <c r="L33" s="64"/>
      <c r="AD33" s="55"/>
      <c r="AH33" s="243"/>
      <c r="AI33" s="1"/>
      <c r="AJ33" s="191"/>
      <c r="AL33" s="55"/>
    </row>
    <row r="34" spans="1:39">
      <c r="A34" s="68"/>
      <c r="H34" s="66"/>
      <c r="L34" s="64"/>
      <c r="AD34" s="55"/>
      <c r="AH34" s="243"/>
      <c r="AI34" s="1"/>
      <c r="AJ34" s="191"/>
      <c r="AL34" s="55"/>
    </row>
    <row r="35" spans="1:39">
      <c r="A35" s="68"/>
      <c r="B35" s="254" t="s">
        <v>15</v>
      </c>
      <c r="C35" s="66"/>
      <c r="D35" s="66"/>
      <c r="E35" s="66"/>
      <c r="F35" s="66"/>
      <c r="G35" s="66"/>
      <c r="H35" s="254">
        <v>91</v>
      </c>
      <c r="I35" s="254">
        <v>30</v>
      </c>
      <c r="J35" s="254" t="s">
        <v>1137</v>
      </c>
      <c r="K35" s="184" t="s">
        <v>19</v>
      </c>
      <c r="L35" s="64"/>
      <c r="AD35" s="55"/>
      <c r="AE35" s="66" t="s">
        <v>6</v>
      </c>
      <c r="AH35" s="286">
        <f>SDC_Pod_Network_I_BW</f>
        <v>212.6</v>
      </c>
      <c r="AI35" s="4" t="s">
        <v>7</v>
      </c>
      <c r="AJ35" s="191" t="s">
        <v>8</v>
      </c>
      <c r="AL35" s="55"/>
    </row>
    <row r="36" spans="1:39">
      <c r="A36" s="68"/>
      <c r="B36" s="254"/>
      <c r="C36" s="66"/>
      <c r="D36" s="66"/>
      <c r="E36" s="66"/>
      <c r="F36" s="66"/>
      <c r="G36" s="66"/>
      <c r="H36" s="254"/>
      <c r="I36" s="254"/>
      <c r="J36" s="254"/>
      <c r="K36" s="184"/>
      <c r="L36" s="64"/>
      <c r="AD36" s="55"/>
      <c r="AH36" s="243"/>
      <c r="AI36" s="1"/>
      <c r="AJ36" s="191"/>
      <c r="AL36" s="55"/>
    </row>
    <row r="37" spans="1:39">
      <c r="A37" s="68"/>
      <c r="B37" s="254" t="s">
        <v>91</v>
      </c>
      <c r="C37" s="254"/>
      <c r="D37" s="254"/>
      <c r="E37" s="254"/>
      <c r="F37" s="254"/>
      <c r="G37" s="254"/>
      <c r="H37" s="254">
        <v>1</v>
      </c>
      <c r="I37" s="254">
        <v>0</v>
      </c>
      <c r="J37" s="254" t="s">
        <v>62</v>
      </c>
      <c r="K37" s="184" t="s">
        <v>19</v>
      </c>
      <c r="L37" s="64"/>
      <c r="AD37" s="55"/>
      <c r="AE37" s="66" t="s">
        <v>10</v>
      </c>
      <c r="AF37" s="66"/>
      <c r="AH37" s="287">
        <f>SDC_Pod_Compute_Power_Limit/1000</f>
        <v>0.87</v>
      </c>
      <c r="AI37" s="4" t="s">
        <v>1197</v>
      </c>
      <c r="AJ37" s="319">
        <f>AH37-(SDC_Pod_Number_Nodes_Required*SDC_Compute_per_Node/1000)</f>
        <v>0.72</v>
      </c>
      <c r="AK37" s="320"/>
      <c r="AL37" s="55"/>
      <c r="AM37" s="320">
        <f>AH37-AJ37</f>
        <v>0.15000000000000002</v>
      </c>
    </row>
    <row r="38" spans="1:39">
      <c r="A38" s="68"/>
      <c r="B38" s="254"/>
      <c r="C38" s="66"/>
      <c r="D38" s="66"/>
      <c r="E38" s="66"/>
      <c r="F38" s="66"/>
      <c r="G38" s="66"/>
      <c r="H38" s="254"/>
      <c r="I38" s="254"/>
      <c r="J38" s="254"/>
      <c r="K38" s="184"/>
      <c r="L38" s="64"/>
      <c r="AD38" s="55"/>
      <c r="AE38" s="66" t="s">
        <v>1328</v>
      </c>
      <c r="AF38" s="66"/>
      <c r="AH38" s="243"/>
      <c r="AI38" s="4"/>
      <c r="AJ38" s="191"/>
      <c r="AL38" s="55"/>
    </row>
    <row r="39" spans="1:39">
      <c r="A39" s="68"/>
      <c r="B39" s="66" t="s">
        <v>92</v>
      </c>
      <c r="F39" s="66"/>
      <c r="G39" s="66"/>
      <c r="H39" s="66">
        <v>1</v>
      </c>
      <c r="I39" s="66">
        <v>1</v>
      </c>
      <c r="J39" s="66" t="s">
        <v>65</v>
      </c>
      <c r="K39" s="184" t="s">
        <v>19</v>
      </c>
      <c r="L39" s="64"/>
      <c r="AD39" s="55"/>
      <c r="AE39" s="66"/>
      <c r="AF39" s="66"/>
      <c r="AH39" s="243"/>
      <c r="AI39" s="4"/>
      <c r="AJ39" s="191"/>
      <c r="AL39" s="55"/>
    </row>
    <row r="40" spans="1:39">
      <c r="A40" s="68"/>
      <c r="B40" s="66"/>
      <c r="F40" s="66"/>
      <c r="G40" s="66"/>
      <c r="H40" s="66"/>
      <c r="L40" s="64"/>
      <c r="AD40" s="55"/>
      <c r="AE40" s="66"/>
      <c r="AF40" s="66"/>
      <c r="AH40" s="243"/>
      <c r="AI40" s="4"/>
      <c r="AJ40" s="191"/>
      <c r="AL40" s="55"/>
    </row>
    <row r="41" spans="1:39">
      <c r="A41" s="68"/>
      <c r="B41" s="66" t="s">
        <v>93</v>
      </c>
      <c r="F41" s="66"/>
      <c r="G41" s="66"/>
      <c r="H41" s="66">
        <v>10</v>
      </c>
      <c r="I41">
        <v>1</v>
      </c>
      <c r="J41" s="66" t="s">
        <v>31</v>
      </c>
      <c r="K41" s="66" t="s">
        <v>76</v>
      </c>
      <c r="L41" s="64"/>
      <c r="AD41" s="55"/>
      <c r="AE41" s="66" t="s">
        <v>13</v>
      </c>
      <c r="AF41" s="66"/>
      <c r="AH41" s="288">
        <f>SDC_Pod_Memory_P_Limit</f>
        <v>5568</v>
      </c>
      <c r="AI41" s="4" t="s">
        <v>14</v>
      </c>
      <c r="AJ41" s="191">
        <f>AH41-SDC_Pod_Number_Nodes_Required*SDC_Memory_per_Node</f>
        <v>4608</v>
      </c>
      <c r="AL41" s="55"/>
    </row>
    <row r="42" spans="1:39">
      <c r="A42" s="68"/>
      <c r="B42" s="254"/>
      <c r="C42" s="66"/>
      <c r="D42" s="66"/>
      <c r="E42" s="66"/>
      <c r="F42" s="66"/>
      <c r="G42" s="66"/>
      <c r="H42" s="254"/>
      <c r="I42" s="254"/>
      <c r="J42" s="254"/>
      <c r="K42" s="184"/>
      <c r="L42" s="64"/>
      <c r="AD42" s="55"/>
      <c r="AH42" s="243"/>
      <c r="AI42" s="1"/>
      <c r="AJ42" s="191"/>
      <c r="AL42" s="55"/>
    </row>
    <row r="43" spans="1:39">
      <c r="A43" s="68"/>
      <c r="B43" s="254" t="s">
        <v>75</v>
      </c>
      <c r="C43" s="66"/>
      <c r="D43" s="66"/>
      <c r="E43" s="66"/>
      <c r="F43" s="66"/>
      <c r="G43" s="66"/>
      <c r="H43" s="254">
        <v>3</v>
      </c>
      <c r="I43" s="254">
        <v>3</v>
      </c>
      <c r="J43" s="254" t="s">
        <v>31</v>
      </c>
      <c r="K43" s="184" t="s">
        <v>19</v>
      </c>
      <c r="L43" s="64"/>
      <c r="AD43" s="55"/>
      <c r="AE43" s="66" t="s">
        <v>16</v>
      </c>
      <c r="AH43" s="288">
        <f>SDC_Pod_Power</f>
        <v>155.18954174803864</v>
      </c>
      <c r="AI43" s="4" t="s">
        <v>17</v>
      </c>
      <c r="AJ43" s="191" t="s">
        <v>8</v>
      </c>
      <c r="AL43" s="55"/>
    </row>
    <row r="44" spans="1:39">
      <c r="A44" s="68"/>
      <c r="B44" s="254"/>
      <c r="C44" s="66"/>
      <c r="D44" s="66"/>
      <c r="E44" s="66"/>
      <c r="F44" s="66"/>
      <c r="G44" s="66"/>
      <c r="H44" s="254"/>
      <c r="I44" s="254"/>
      <c r="J44" s="254"/>
      <c r="K44" s="254"/>
      <c r="L44" s="64"/>
      <c r="AD44" s="55"/>
      <c r="AH44" s="243"/>
      <c r="AI44" s="1"/>
      <c r="AJ44" s="191"/>
      <c r="AL44" s="55"/>
    </row>
    <row r="45" spans="1:39">
      <c r="A45" s="68"/>
      <c r="B45" s="254" t="s">
        <v>79</v>
      </c>
      <c r="C45" s="66"/>
      <c r="D45" s="66"/>
      <c r="E45" s="66"/>
      <c r="F45" s="66"/>
      <c r="G45" s="66"/>
      <c r="H45" s="254">
        <v>0.5</v>
      </c>
      <c r="I45" s="254">
        <v>0.5</v>
      </c>
      <c r="J45" s="254" t="s">
        <v>31</v>
      </c>
      <c r="K45" s="184" t="s">
        <v>19</v>
      </c>
      <c r="L45" s="64"/>
      <c r="AD45" s="55"/>
      <c r="AE45" s="66" t="s">
        <v>20</v>
      </c>
      <c r="AH45" s="288">
        <f>Optical_Terminals_Power_Total</f>
        <v>0.66050155412329514</v>
      </c>
      <c r="AI45" s="4" t="s">
        <v>17</v>
      </c>
      <c r="AJ45" s="191" t="s">
        <v>8</v>
      </c>
      <c r="AL45" s="55"/>
    </row>
    <row r="46" spans="1:39">
      <c r="A46" s="68"/>
      <c r="B46" s="66"/>
      <c r="C46" s="66"/>
      <c r="D46" s="66"/>
      <c r="E46" s="66"/>
      <c r="F46" s="66"/>
      <c r="G46" s="66"/>
      <c r="H46" s="66"/>
      <c r="I46" s="66"/>
      <c r="L46" s="64"/>
      <c r="AD46" s="55"/>
      <c r="AH46" s="243"/>
      <c r="AI46" s="1"/>
      <c r="AJ46" s="191"/>
      <c r="AL46" s="55"/>
    </row>
    <row r="47" spans="1:39">
      <c r="A47" s="68"/>
      <c r="B47" s="184" t="s">
        <v>18</v>
      </c>
      <c r="C47" s="184"/>
      <c r="D47" s="184"/>
      <c r="E47" s="66"/>
      <c r="F47" s="66"/>
      <c r="G47" s="66"/>
      <c r="H47" s="184">
        <v>1</v>
      </c>
      <c r="I47" s="184">
        <v>1</v>
      </c>
      <c r="K47" s="184" t="s">
        <v>19</v>
      </c>
      <c r="L47" s="64"/>
      <c r="AD47" s="55"/>
      <c r="AE47" s="66" t="s">
        <v>1308</v>
      </c>
      <c r="AH47" s="288">
        <f>Battery_Cycles_Required</f>
        <v>13045.475840811529</v>
      </c>
      <c r="AI47" s="10" t="s">
        <v>65</v>
      </c>
      <c r="AJ47" s="191">
        <f>Battery_Cycle_Number_of-Battery_Cycles_Required</f>
        <v>26539.761482375325</v>
      </c>
      <c r="AL47" s="55"/>
    </row>
    <row r="48" spans="1:39">
      <c r="A48" s="68"/>
      <c r="B48" s="66"/>
      <c r="C48" s="66"/>
      <c r="D48" s="66"/>
      <c r="E48" s="66"/>
      <c r="F48" s="66"/>
      <c r="G48" s="66"/>
      <c r="H48" s="66"/>
      <c r="I48" s="66"/>
      <c r="L48" s="64"/>
      <c r="AD48" s="55"/>
      <c r="AH48" s="244"/>
      <c r="AI48" s="1"/>
      <c r="AJ48" s="191"/>
      <c r="AL48" s="55"/>
    </row>
    <row r="49" spans="1:38">
      <c r="A49" s="68"/>
      <c r="L49" s="64"/>
      <c r="AD49" s="55"/>
      <c r="AL49" s="55"/>
    </row>
    <row r="50" spans="1:38">
      <c r="A50" s="64"/>
      <c r="B50" s="64"/>
      <c r="C50" s="64"/>
      <c r="D50" s="64"/>
      <c r="E50" s="64"/>
      <c r="F50" s="64"/>
      <c r="G50" s="64"/>
      <c r="H50" s="64"/>
      <c r="I50" s="64"/>
      <c r="J50" s="68"/>
      <c r="K50" s="68"/>
      <c r="L50" s="64"/>
      <c r="AD50" s="55"/>
      <c r="AE50" s="55"/>
      <c r="AF50" s="55"/>
      <c r="AG50" s="55"/>
      <c r="AH50" s="55"/>
      <c r="AI50" s="55"/>
      <c r="AJ50" s="55"/>
      <c r="AK50" s="55"/>
      <c r="AL50" s="55"/>
    </row>
    <row r="51" spans="1:38" ht="53" customHeight="1">
      <c r="B51" s="190" t="s">
        <v>1196</v>
      </c>
    </row>
    <row r="52" spans="1:38" ht="23" customHeight="1">
      <c r="A52" s="64"/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AD52" s="64"/>
      <c r="AE52" s="64"/>
      <c r="AF52" s="64"/>
      <c r="AG52" s="64"/>
      <c r="AH52" s="64"/>
      <c r="AI52" s="64"/>
      <c r="AJ52" s="64"/>
      <c r="AK52" s="64"/>
      <c r="AL52" s="64"/>
    </row>
    <row r="53" spans="1:38">
      <c r="A53" s="64"/>
      <c r="B53" s="4" t="s">
        <v>80</v>
      </c>
      <c r="L53" s="64"/>
      <c r="AD53" s="64"/>
      <c r="AK53" s="66"/>
      <c r="AL53" s="64"/>
    </row>
    <row r="54" spans="1:38" ht="24">
      <c r="A54" s="64"/>
      <c r="H54" s="4"/>
      <c r="I54" s="4" t="s">
        <v>2</v>
      </c>
      <c r="J54" s="4" t="s">
        <v>52</v>
      </c>
      <c r="K54" s="4" t="s">
        <v>1136</v>
      </c>
      <c r="L54" s="64"/>
      <c r="AD54" s="64"/>
      <c r="AE54" s="65" t="s">
        <v>54</v>
      </c>
      <c r="AI54" s="66"/>
      <c r="AK54" s="66"/>
      <c r="AL54" s="64"/>
    </row>
    <row r="55" spans="1:38">
      <c r="A55" s="64"/>
      <c r="B55" s="66" t="s">
        <v>27</v>
      </c>
      <c r="C55" s="66"/>
      <c r="D55" s="66"/>
      <c r="E55" s="66"/>
      <c r="F55" s="66"/>
      <c r="G55" s="66"/>
      <c r="H55" s="66">
        <v>1</v>
      </c>
      <c r="I55" s="66" t="s">
        <v>1139</v>
      </c>
      <c r="K55" s="66" t="s">
        <v>1277</v>
      </c>
      <c r="L55" s="68"/>
      <c r="AD55" s="64"/>
      <c r="AE55" s="4"/>
      <c r="AI55" s="66"/>
      <c r="AK55" s="66"/>
      <c r="AL55" s="64"/>
    </row>
    <row r="56" spans="1:38" ht="23" customHeight="1">
      <c r="A56" s="64"/>
      <c r="B56" s="66"/>
      <c r="C56" s="66"/>
      <c r="D56" s="66"/>
      <c r="E56" s="66"/>
      <c r="F56" s="66"/>
      <c r="G56" s="66"/>
      <c r="H56" s="66"/>
      <c r="I56" s="66"/>
      <c r="K56" s="66" t="s">
        <v>1276</v>
      </c>
      <c r="L56" s="68"/>
      <c r="AD56" s="64"/>
      <c r="AE56" s="66" t="s">
        <v>56</v>
      </c>
      <c r="AH56" s="255">
        <f>5.972*10^24</f>
        <v>5.9720000000000003E+24</v>
      </c>
      <c r="AI56" s="66" t="s">
        <v>57</v>
      </c>
      <c r="AK56" s="66"/>
      <c r="AL56" s="64"/>
    </row>
    <row r="57" spans="1:38">
      <c r="A57" s="64"/>
      <c r="B57" s="66" t="s">
        <v>1138</v>
      </c>
      <c r="C57" s="66"/>
      <c r="D57" s="66"/>
      <c r="E57" s="66"/>
      <c r="F57" s="66"/>
      <c r="G57" s="66"/>
      <c r="H57" s="66">
        <v>11</v>
      </c>
      <c r="I57" s="66">
        <v>10</v>
      </c>
      <c r="L57" s="68"/>
      <c r="AD57" s="64"/>
      <c r="AE57" s="66" t="s">
        <v>60</v>
      </c>
      <c r="AH57" s="66">
        <f>6.371*10^6</f>
        <v>6371000</v>
      </c>
      <c r="AI57" s="66" t="s">
        <v>61</v>
      </c>
      <c r="AK57" s="66"/>
      <c r="AL57" s="64"/>
    </row>
    <row r="58" spans="1:38">
      <c r="A58" s="64"/>
      <c r="B58" s="66"/>
      <c r="C58" s="66"/>
      <c r="D58" s="66"/>
      <c r="E58" s="66"/>
      <c r="F58" s="66"/>
      <c r="G58" s="66"/>
      <c r="H58" s="66"/>
      <c r="I58" s="66"/>
      <c r="L58" s="68"/>
      <c r="AD58" s="64"/>
      <c r="AE58" s="66"/>
      <c r="AH58" s="66"/>
      <c r="AI58" s="66"/>
      <c r="AK58" s="66"/>
      <c r="AL58" s="64"/>
    </row>
    <row r="59" spans="1:38" ht="24">
      <c r="A59" s="64"/>
      <c r="B59" s="66" t="s">
        <v>1143</v>
      </c>
      <c r="C59" s="66"/>
      <c r="D59" s="66"/>
      <c r="E59" s="66"/>
      <c r="F59" s="66"/>
      <c r="G59" s="66"/>
      <c r="H59" s="66">
        <v>10</v>
      </c>
      <c r="I59" s="66">
        <v>10</v>
      </c>
      <c r="L59" s="68"/>
      <c r="AD59" s="64"/>
      <c r="AE59" s="66" t="s">
        <v>63</v>
      </c>
      <c r="AH59" s="255">
        <f>6.6743*10^-11</f>
        <v>6.6742999999999994E-11</v>
      </c>
      <c r="AI59" s="66" t="s">
        <v>1192</v>
      </c>
      <c r="AK59" s="66"/>
      <c r="AL59" s="64"/>
    </row>
    <row r="60" spans="1:38">
      <c r="A60" s="64"/>
      <c r="B60" s="66"/>
      <c r="C60" s="66"/>
      <c r="D60" s="66"/>
      <c r="E60" s="66"/>
      <c r="F60" s="66"/>
      <c r="G60" s="66"/>
      <c r="H60" s="66"/>
      <c r="I60" s="66"/>
      <c r="L60" s="68"/>
      <c r="AD60" s="64"/>
      <c r="AE60" s="66"/>
      <c r="AH60" s="255"/>
      <c r="AI60" s="66"/>
      <c r="AK60" s="66"/>
      <c r="AL60" s="64"/>
    </row>
    <row r="61" spans="1:38">
      <c r="A61" s="64"/>
      <c r="B61" s="66" t="s">
        <v>28</v>
      </c>
      <c r="C61" s="66"/>
      <c r="D61" s="66"/>
      <c r="E61" s="66"/>
      <c r="F61" s="66"/>
      <c r="G61" s="66"/>
      <c r="H61" s="66">
        <v>800</v>
      </c>
      <c r="I61" s="66">
        <v>800</v>
      </c>
      <c r="J61" s="66" t="s">
        <v>29</v>
      </c>
      <c r="L61" s="68"/>
      <c r="AD61" s="64"/>
      <c r="AE61" s="66" t="s">
        <v>64</v>
      </c>
      <c r="AH61" s="66">
        <v>365</v>
      </c>
      <c r="AI61" s="66" t="s">
        <v>65</v>
      </c>
      <c r="AK61" s="66"/>
      <c r="AL61" s="64"/>
    </row>
    <row r="62" spans="1:38">
      <c r="A62" s="64"/>
      <c r="B62" s="66"/>
      <c r="C62" s="66"/>
      <c r="D62" s="66"/>
      <c r="E62" s="66"/>
      <c r="F62" s="66"/>
      <c r="G62" s="66"/>
      <c r="H62" s="66"/>
      <c r="I62" s="66"/>
      <c r="L62" s="68"/>
      <c r="AD62" s="64"/>
      <c r="AE62" s="66"/>
      <c r="AH62" s="66"/>
      <c r="AI62" s="66"/>
      <c r="AK62" s="66"/>
      <c r="AL62" s="64"/>
    </row>
    <row r="63" spans="1:38">
      <c r="A63" s="64"/>
      <c r="B63" s="249" t="s">
        <v>81</v>
      </c>
      <c r="C63" s="250"/>
      <c r="D63" s="250"/>
      <c r="E63" s="250"/>
      <c r="F63" s="250"/>
      <c r="G63" s="250"/>
      <c r="H63" s="249">
        <f>LEO_Orbits_number_of*LEO_SDCs_Per_Orbit</f>
        <v>110</v>
      </c>
      <c r="I63" s="249">
        <f>I57*I59</f>
        <v>100</v>
      </c>
      <c r="J63" s="249" t="s">
        <v>65</v>
      </c>
      <c r="K63" s="250"/>
      <c r="L63" s="68"/>
      <c r="AD63" s="64"/>
      <c r="AE63" s="66" t="s">
        <v>67</v>
      </c>
      <c r="AH63" s="66">
        <v>24</v>
      </c>
      <c r="AI63" s="255" t="s">
        <v>65</v>
      </c>
      <c r="AL63" s="64"/>
    </row>
    <row r="64" spans="1:38" ht="22" customHeight="1">
      <c r="A64" s="64"/>
      <c r="B64" s="249" t="s">
        <v>1193</v>
      </c>
      <c r="C64" s="251"/>
      <c r="D64" s="251"/>
      <c r="E64" s="251"/>
      <c r="F64" s="251"/>
      <c r="G64" s="251"/>
      <c r="H64" s="249">
        <f>IF(ToplevelArchitecture = "Lunar", _xlfn.CEILING.MATH((2*(3475+LEO_Orbits_Altitude)*3.141)/LEO_SDCs_Per_Orbit), _xlfn.CEILING.MATH((2*(6378+LEO_Orbits_Altitude)*3.141)/LEO_SDCs_Per_Orbit))</f>
        <v>4510</v>
      </c>
      <c r="I64" s="249">
        <f>_xlfn.CEILING.MATH((2*(6378+I61)*3.141)/I59)</f>
        <v>4510</v>
      </c>
      <c r="J64" s="249" t="s">
        <v>29</v>
      </c>
      <c r="K64" s="249" t="s">
        <v>82</v>
      </c>
      <c r="L64" s="68"/>
      <c r="AD64" s="64"/>
      <c r="AE64" s="66" t="s">
        <v>70</v>
      </c>
      <c r="AH64" s="66">
        <v>273</v>
      </c>
      <c r="AI64" s="66" t="s">
        <v>71</v>
      </c>
      <c r="AL64" s="64"/>
    </row>
    <row r="65" spans="1:38" ht="22" customHeight="1">
      <c r="A65" s="64"/>
      <c r="B65" s="249" t="s">
        <v>83</v>
      </c>
      <c r="C65" s="251"/>
      <c r="D65" s="251"/>
      <c r="E65" s="251"/>
      <c r="F65" s="251"/>
      <c r="G65" s="251"/>
      <c r="H65" s="252">
        <f>(4*PI()*SQRT((Constant_Earth_Radius+LEO_Orbits_Altitude*1000)^3/Constant_Gravitational/Constant_Earth_Mass))/60</f>
        <v>201.44914850699064</v>
      </c>
      <c r="I65" s="252">
        <f>(4*PI()*SQRT((Constant_Earth_Radius+I61*1000)^3/Constant_Gravitational/Constant_Earth_Mass))/60</f>
        <v>201.44914850699064</v>
      </c>
      <c r="J65" s="249" t="s">
        <v>84</v>
      </c>
      <c r="K65" s="249" t="s">
        <v>1325</v>
      </c>
      <c r="L65" s="68"/>
      <c r="AD65" s="64"/>
      <c r="AE65" s="66" t="s">
        <v>72</v>
      </c>
      <c r="AH65" s="66">
        <v>2.7</v>
      </c>
      <c r="AI65" s="66" t="s">
        <v>71</v>
      </c>
      <c r="AL65" s="64"/>
    </row>
    <row r="66" spans="1:38">
      <c r="A66" s="64"/>
      <c r="L66" s="68"/>
      <c r="AD66" s="64"/>
      <c r="AE66" s="66" t="s">
        <v>73</v>
      </c>
      <c r="AH66" s="66">
        <f>5.67*10^(-8)</f>
        <v>5.6699999999999998E-8</v>
      </c>
      <c r="AI66" s="66" t="s">
        <v>74</v>
      </c>
      <c r="AL66" s="64"/>
    </row>
    <row r="67" spans="1:38">
      <c r="A67" s="64"/>
      <c r="B67" s="66" t="s">
        <v>1141</v>
      </c>
      <c r="E67" s="66" t="s">
        <v>1144</v>
      </c>
      <c r="H67" s="66">
        <v>0</v>
      </c>
      <c r="I67" s="66">
        <v>1</v>
      </c>
      <c r="K67" s="66" t="s">
        <v>1142</v>
      </c>
      <c r="L67" s="68"/>
      <c r="AD67" s="64"/>
      <c r="AE67" s="66" t="s">
        <v>77</v>
      </c>
      <c r="AH67" s="66">
        <v>1420</v>
      </c>
      <c r="AI67" s="66" t="s">
        <v>78</v>
      </c>
      <c r="AL67" s="64"/>
    </row>
    <row r="68" spans="1:38">
      <c r="A68" s="64"/>
      <c r="L68" s="68"/>
      <c r="AD68" s="64"/>
      <c r="AL68" s="64"/>
    </row>
    <row r="69" spans="1:38" ht="22" customHeight="1">
      <c r="A69" s="64"/>
      <c r="B69" s="66" t="s">
        <v>1145</v>
      </c>
      <c r="C69" s="66"/>
      <c r="D69" s="66"/>
      <c r="E69" s="66"/>
      <c r="F69" s="66"/>
      <c r="G69" s="66"/>
      <c r="H69" s="66">
        <v>0</v>
      </c>
      <c r="I69" s="66">
        <v>3</v>
      </c>
      <c r="L69" s="68"/>
      <c r="AD69" s="64"/>
      <c r="AE69" s="64"/>
      <c r="AF69" s="64"/>
      <c r="AG69" s="64"/>
      <c r="AH69" s="64"/>
      <c r="AI69" s="64"/>
      <c r="AJ69" s="64"/>
      <c r="AK69" s="64"/>
      <c r="AL69" s="64"/>
    </row>
    <row r="70" spans="1:38" ht="23" customHeight="1">
      <c r="A70" s="64"/>
      <c r="B70" s="66"/>
      <c r="C70" s="66"/>
      <c r="D70" s="66"/>
      <c r="E70" s="66"/>
      <c r="F70" s="66"/>
      <c r="G70" s="66"/>
      <c r="H70" s="66"/>
      <c r="I70" s="66"/>
      <c r="L70" s="68"/>
    </row>
    <row r="71" spans="1:38">
      <c r="A71" s="64"/>
      <c r="B71" s="250" t="s">
        <v>85</v>
      </c>
      <c r="C71" s="250"/>
      <c r="D71" s="250"/>
      <c r="E71" s="250"/>
      <c r="F71" s="250"/>
      <c r="G71" s="250"/>
      <c r="H71" s="250">
        <v>35800</v>
      </c>
      <c r="I71" s="250">
        <f>GEO_Orbits_Altitude</f>
        <v>35800</v>
      </c>
      <c r="J71" s="250" t="s">
        <v>29</v>
      </c>
      <c r="K71" s="250" t="s">
        <v>1142</v>
      </c>
      <c r="L71" s="68"/>
    </row>
    <row r="72" spans="1:38" ht="23" customHeight="1">
      <c r="A72" s="64"/>
      <c r="B72" s="66"/>
      <c r="C72" s="66"/>
      <c r="D72" s="66"/>
      <c r="E72" s="66"/>
      <c r="F72" s="66"/>
      <c r="G72" s="66"/>
      <c r="H72" s="66"/>
      <c r="I72" s="66"/>
      <c r="L72" s="68"/>
      <c r="AE72" s="66" t="s">
        <v>1319</v>
      </c>
    </row>
    <row r="73" spans="1:38" ht="22" customHeight="1">
      <c r="A73" s="64"/>
      <c r="B73" s="66" t="s">
        <v>1195</v>
      </c>
      <c r="C73" s="66"/>
      <c r="D73" s="66"/>
      <c r="E73" s="66"/>
      <c r="F73" s="66"/>
      <c r="G73" s="66"/>
      <c r="H73" s="66">
        <v>1</v>
      </c>
      <c r="I73" s="66">
        <v>5</v>
      </c>
      <c r="K73" s="66" t="s">
        <v>30</v>
      </c>
      <c r="L73" s="68"/>
      <c r="AE73" s="66" t="s">
        <v>1320</v>
      </c>
    </row>
    <row r="74" spans="1:38" ht="22" customHeight="1">
      <c r="A74" s="64"/>
      <c r="B74" s="66"/>
      <c r="C74" s="66"/>
      <c r="D74" s="66"/>
      <c r="E74" s="66"/>
      <c r="F74" s="66"/>
      <c r="G74" s="66"/>
      <c r="H74" s="66"/>
      <c r="I74" s="66"/>
      <c r="L74" s="68"/>
      <c r="AE74" s="66" t="s">
        <v>1321</v>
      </c>
    </row>
    <row r="75" spans="1:38" ht="22" customHeight="1">
      <c r="A75" s="64"/>
      <c r="B75" s="66" t="s">
        <v>99</v>
      </c>
      <c r="C75" s="66"/>
      <c r="D75" s="66"/>
      <c r="E75" s="66"/>
      <c r="F75" s="66"/>
      <c r="G75" s="66"/>
      <c r="H75" s="66">
        <v>1</v>
      </c>
      <c r="I75" s="66">
        <v>1</v>
      </c>
      <c r="J75" s="66" t="s">
        <v>65</v>
      </c>
      <c r="L75" s="68"/>
      <c r="AE75" s="66" t="s">
        <v>1322</v>
      </c>
    </row>
    <row r="76" spans="1:38" ht="22" customHeight="1">
      <c r="A76" s="64"/>
      <c r="B76" s="66"/>
      <c r="C76" s="66"/>
      <c r="D76" s="66"/>
      <c r="E76" s="66"/>
      <c r="F76" s="66"/>
      <c r="G76" s="66"/>
      <c r="H76" s="66"/>
      <c r="I76" s="66"/>
      <c r="L76" s="68"/>
    </row>
    <row r="77" spans="1:38" ht="22" customHeight="1">
      <c r="A77" s="64"/>
      <c r="B77" s="66" t="s">
        <v>100</v>
      </c>
      <c r="C77" s="66"/>
      <c r="D77" s="66"/>
      <c r="E77" s="66"/>
      <c r="F77" s="66"/>
      <c r="G77" s="66"/>
      <c r="H77" s="66">
        <v>0.1</v>
      </c>
      <c r="I77" s="66">
        <v>10</v>
      </c>
      <c r="J77" s="66" t="s">
        <v>31</v>
      </c>
      <c r="K77" s="66" t="s">
        <v>1627</v>
      </c>
      <c r="L77" s="68"/>
      <c r="AE77" s="66" t="s">
        <v>1646</v>
      </c>
    </row>
    <row r="78" spans="1:38" ht="22" customHeight="1">
      <c r="A78" s="64"/>
      <c r="B78" s="66"/>
      <c r="C78" s="66"/>
      <c r="D78" s="66"/>
      <c r="E78" s="66"/>
      <c r="F78" s="66"/>
      <c r="G78" s="66"/>
      <c r="H78" s="66"/>
      <c r="I78" s="66"/>
      <c r="L78" s="68"/>
    </row>
    <row r="79" spans="1:38" ht="22" customHeight="1">
      <c r="A79" s="64"/>
      <c r="B79" s="66" t="s">
        <v>102</v>
      </c>
      <c r="C79" s="66"/>
      <c r="D79" s="66"/>
      <c r="E79" s="66"/>
      <c r="F79" s="66"/>
      <c r="G79" s="66"/>
      <c r="H79" s="66">
        <v>1000</v>
      </c>
      <c r="I79" s="66">
        <v>1000</v>
      </c>
      <c r="J79" s="66" t="s">
        <v>29</v>
      </c>
      <c r="K79" s="66" t="s">
        <v>103</v>
      </c>
      <c r="L79" s="68"/>
    </row>
    <row r="80" spans="1:38" ht="22" customHeight="1">
      <c r="A80" s="64"/>
      <c r="L80" s="68"/>
    </row>
    <row r="81" spans="1:28" ht="22" customHeight="1">
      <c r="A81" s="64"/>
      <c r="B81" s="66"/>
      <c r="C81" s="66"/>
      <c r="D81" s="66"/>
      <c r="E81" s="66"/>
      <c r="F81" s="66"/>
      <c r="G81" s="66"/>
      <c r="H81" s="66"/>
      <c r="I81" s="66"/>
      <c r="L81" s="68"/>
    </row>
    <row r="82" spans="1:28" ht="22" customHeight="1">
      <c r="A82" s="64"/>
      <c r="B82" s="184" t="s">
        <v>33</v>
      </c>
      <c r="C82" s="66"/>
      <c r="D82" s="66"/>
      <c r="E82" s="66"/>
      <c r="F82" s="66"/>
      <c r="G82" s="66"/>
      <c r="H82" s="184">
        <v>1</v>
      </c>
      <c r="I82" s="184">
        <v>1</v>
      </c>
      <c r="K82" s="184" t="s">
        <v>1146</v>
      </c>
      <c r="L82" s="68"/>
    </row>
    <row r="83" spans="1:28" ht="22" customHeight="1">
      <c r="A83" s="64"/>
      <c r="B83" s="66"/>
      <c r="C83" s="66"/>
      <c r="D83" s="66"/>
      <c r="E83" s="66"/>
      <c r="F83" s="66"/>
      <c r="G83" s="66"/>
      <c r="H83" s="66"/>
      <c r="I83" s="66"/>
      <c r="L83" s="68"/>
    </row>
    <row r="84" spans="1:28">
      <c r="A84" s="64"/>
      <c r="B84" s="66"/>
      <c r="C84" s="66"/>
      <c r="D84" s="66"/>
      <c r="E84" s="66"/>
      <c r="F84" s="66"/>
      <c r="G84" s="66"/>
      <c r="H84" s="66"/>
      <c r="I84" s="66"/>
      <c r="L84" s="68"/>
    </row>
    <row r="85" spans="1:28">
      <c r="A85" s="64"/>
      <c r="B85" s="64"/>
      <c r="C85" s="64"/>
      <c r="D85" s="64"/>
      <c r="E85" s="64"/>
      <c r="F85" s="64"/>
      <c r="G85" s="64"/>
      <c r="H85" s="64"/>
      <c r="I85" s="64"/>
      <c r="J85" s="68"/>
      <c r="K85" s="68"/>
      <c r="L85" s="68"/>
    </row>
    <row r="86" spans="1:28">
      <c r="A86" s="64"/>
      <c r="B86" s="4" t="s">
        <v>1147</v>
      </c>
      <c r="L86" s="68"/>
    </row>
    <row r="87" spans="1:28">
      <c r="A87" s="64"/>
      <c r="B87" s="4"/>
      <c r="L87" s="68"/>
    </row>
    <row r="88" spans="1:28">
      <c r="A88" s="64"/>
      <c r="B88" s="4" t="s">
        <v>1151</v>
      </c>
      <c r="H88" s="4" t="s">
        <v>1</v>
      </c>
      <c r="I88" s="4" t="s">
        <v>2</v>
      </c>
      <c r="J88" s="4" t="s">
        <v>52</v>
      </c>
      <c r="K88" s="4" t="s">
        <v>1136</v>
      </c>
      <c r="L88" s="68"/>
    </row>
    <row r="89" spans="1:28">
      <c r="A89" s="64"/>
      <c r="B89" s="309" t="s">
        <v>1148</v>
      </c>
      <c r="C89" s="309"/>
      <c r="D89" s="309"/>
      <c r="E89" s="309"/>
      <c r="F89" s="309"/>
      <c r="G89" s="309"/>
      <c r="H89" s="309">
        <v>500</v>
      </c>
      <c r="I89" s="309">
        <v>3000</v>
      </c>
      <c r="J89" s="309" t="s">
        <v>17</v>
      </c>
      <c r="K89" s="266" t="s">
        <v>1626</v>
      </c>
      <c r="L89" s="68"/>
    </row>
    <row r="90" spans="1:28" ht="22" customHeight="1">
      <c r="A90" s="64"/>
      <c r="B90" s="66"/>
      <c r="C90" s="66"/>
      <c r="D90" s="66"/>
      <c r="E90" s="66"/>
      <c r="F90" s="66"/>
      <c r="G90" s="66"/>
      <c r="H90" s="66"/>
      <c r="I90" s="66"/>
      <c r="L90" s="68"/>
    </row>
    <row r="91" spans="1:28" ht="22" customHeight="1">
      <c r="A91" s="64"/>
      <c r="B91" s="66" t="s">
        <v>1149</v>
      </c>
      <c r="C91" s="66"/>
      <c r="D91" s="66"/>
      <c r="E91" s="66"/>
      <c r="F91" s="66"/>
      <c r="G91" s="66"/>
      <c r="H91" s="66">
        <v>19</v>
      </c>
      <c r="I91" s="66">
        <v>20</v>
      </c>
      <c r="J91" s="66" t="s">
        <v>40</v>
      </c>
      <c r="L91" s="68"/>
      <c r="O91" s="4" t="s">
        <v>35</v>
      </c>
      <c r="T91" t="s">
        <v>1217</v>
      </c>
    </row>
    <row r="92" spans="1:28" ht="22" customHeight="1">
      <c r="A92" s="64"/>
      <c r="B92" s="66"/>
      <c r="C92" s="66"/>
      <c r="D92" s="66"/>
      <c r="E92" s="66"/>
      <c r="F92" s="66"/>
      <c r="G92" s="66"/>
      <c r="H92" s="66"/>
      <c r="I92" s="66"/>
      <c r="L92" s="68"/>
      <c r="AB92" s="66"/>
    </row>
    <row r="93" spans="1:28" ht="22" customHeight="1">
      <c r="A93" s="64"/>
      <c r="B93" s="66" t="s">
        <v>1150</v>
      </c>
      <c r="C93" s="66"/>
      <c r="D93" s="66"/>
      <c r="E93" s="66"/>
      <c r="F93" s="66"/>
      <c r="G93" s="66"/>
      <c r="H93" s="66">
        <v>10</v>
      </c>
      <c r="I93" s="66">
        <v>20</v>
      </c>
      <c r="J93" s="66" t="s">
        <v>40</v>
      </c>
      <c r="L93" s="68"/>
      <c r="O93" s="269" t="s">
        <v>1218</v>
      </c>
    </row>
    <row r="94" spans="1:28" ht="22" customHeight="1">
      <c r="A94" s="64"/>
      <c r="B94" s="66"/>
      <c r="C94" s="66"/>
      <c r="D94" s="66"/>
      <c r="E94" s="66"/>
      <c r="F94" s="66"/>
      <c r="G94" s="66"/>
      <c r="H94" s="66"/>
      <c r="I94" s="66"/>
      <c r="L94" s="68"/>
      <c r="P94" t="b">
        <v>0</v>
      </c>
      <c r="AB94" s="66"/>
    </row>
    <row r="95" spans="1:28" ht="22" customHeight="1">
      <c r="A95" s="64"/>
      <c r="B95" s="257" t="s">
        <v>105</v>
      </c>
      <c r="C95" s="6"/>
      <c r="D95" s="6"/>
      <c r="E95" s="6"/>
      <c r="F95" s="189"/>
      <c r="G95" s="189"/>
      <c r="H95" s="258">
        <f>System_Lifetime*Constant_Days_per_year*(Constant_hours_per_day/(LEO_Orbits_Period/60))</f>
        <v>13045.475840811529</v>
      </c>
      <c r="I95" s="258">
        <f>I134*Constant_Days_per_year*(Constant_hours_per_day/(I65/60))</f>
        <v>13045.475840811529</v>
      </c>
      <c r="J95" s="257" t="s">
        <v>65</v>
      </c>
      <c r="K95" s="257" t="s">
        <v>106</v>
      </c>
      <c r="L95" s="68"/>
      <c r="P95" t="b">
        <v>0</v>
      </c>
    </row>
    <row r="96" spans="1:28" ht="22" customHeight="1">
      <c r="A96" s="64"/>
      <c r="B96" s="66"/>
      <c r="C96" s="66"/>
      <c r="D96" s="66"/>
      <c r="E96" s="66"/>
      <c r="F96" s="66"/>
      <c r="G96" s="66"/>
      <c r="H96" s="66"/>
      <c r="I96" s="66"/>
      <c r="L96" s="68"/>
      <c r="P96" t="b">
        <v>0</v>
      </c>
      <c r="AB96" s="66"/>
    </row>
    <row r="97" spans="1:16" ht="22" customHeight="1">
      <c r="A97" s="64"/>
      <c r="B97" s="66" t="s">
        <v>107</v>
      </c>
      <c r="C97" s="66"/>
      <c r="D97" s="66"/>
      <c r="E97" s="66"/>
      <c r="F97" s="66"/>
      <c r="G97" s="66"/>
      <c r="H97" s="66">
        <v>10</v>
      </c>
      <c r="I97" s="66">
        <v>20</v>
      </c>
      <c r="J97" s="66" t="s">
        <v>40</v>
      </c>
      <c r="L97" s="68"/>
      <c r="P97" t="b">
        <v>0</v>
      </c>
    </row>
    <row r="98" spans="1:16">
      <c r="A98" s="64"/>
      <c r="L98" s="64"/>
      <c r="P98" t="b">
        <v>0</v>
      </c>
    </row>
    <row r="99" spans="1:16">
      <c r="A99" s="64"/>
      <c r="B99" s="66" t="s">
        <v>108</v>
      </c>
      <c r="C99" s="66"/>
      <c r="D99" s="66"/>
      <c r="E99" s="66"/>
      <c r="F99" s="66"/>
      <c r="H99" s="66">
        <v>273</v>
      </c>
      <c r="I99" s="66">
        <v>273</v>
      </c>
      <c r="J99" s="192" t="s">
        <v>1152</v>
      </c>
      <c r="K99" s="66" t="s">
        <v>1199</v>
      </c>
      <c r="L99" s="64"/>
      <c r="P99" t="b">
        <v>1</v>
      </c>
    </row>
    <row r="100" spans="1:16">
      <c r="A100" s="64"/>
      <c r="B100" s="66"/>
      <c r="C100" s="66"/>
      <c r="D100" s="66"/>
      <c r="E100" s="66"/>
      <c r="F100" s="66"/>
      <c r="H100" s="66"/>
      <c r="I100" s="66"/>
      <c r="L100" s="64"/>
      <c r="P100" t="b">
        <v>0</v>
      </c>
    </row>
    <row r="101" spans="1:16">
      <c r="A101" s="64"/>
      <c r="B101" s="66" t="s">
        <v>109</v>
      </c>
      <c r="C101" s="66"/>
      <c r="D101" s="66"/>
      <c r="E101" s="66"/>
      <c r="F101" s="66"/>
      <c r="H101" s="66">
        <v>323</v>
      </c>
      <c r="I101" s="66">
        <v>323</v>
      </c>
      <c r="J101" s="192" t="s">
        <v>1152</v>
      </c>
      <c r="K101" s="66" t="s">
        <v>1200</v>
      </c>
      <c r="L101" s="64"/>
      <c r="P101" t="b">
        <v>0</v>
      </c>
    </row>
    <row r="102" spans="1:16">
      <c r="A102" s="64"/>
      <c r="L102" s="64"/>
      <c r="P102" t="b">
        <v>0</v>
      </c>
    </row>
    <row r="103" spans="1:16">
      <c r="A103" s="64"/>
      <c r="L103" s="64"/>
      <c r="P103" t="b">
        <v>0</v>
      </c>
    </row>
    <row r="104" spans="1:16">
      <c r="A104" s="64"/>
      <c r="B104" s="4" t="s">
        <v>36</v>
      </c>
      <c r="H104" s="4" t="s">
        <v>1</v>
      </c>
      <c r="I104" s="4" t="s">
        <v>2</v>
      </c>
      <c r="J104" s="4" t="s">
        <v>52</v>
      </c>
      <c r="K104" s="4" t="s">
        <v>1136</v>
      </c>
      <c r="L104" s="64"/>
      <c r="P104" t="b">
        <v>0</v>
      </c>
    </row>
    <row r="105" spans="1:16">
      <c r="A105" s="64"/>
      <c r="L105" s="64"/>
      <c r="P105" t="b">
        <v>0</v>
      </c>
    </row>
    <row r="106" spans="1:16" ht="26" customHeight="1">
      <c r="A106" s="64"/>
      <c r="B106" s="66" t="s">
        <v>1155</v>
      </c>
      <c r="H106" s="66">
        <v>10</v>
      </c>
      <c r="I106" s="66">
        <v>10</v>
      </c>
      <c r="J106" s="66" t="s">
        <v>476</v>
      </c>
      <c r="L106" s="64"/>
      <c r="P106" s="3" t="b">
        <v>0</v>
      </c>
    </row>
    <row r="107" spans="1:16" ht="26" customHeight="1">
      <c r="A107" s="64"/>
      <c r="B107" s="66"/>
      <c r="H107" s="66"/>
      <c r="I107" s="66"/>
      <c r="L107" s="64"/>
    </row>
    <row r="108" spans="1:16" ht="26" customHeight="1">
      <c r="A108" s="64"/>
      <c r="B108" s="66" t="s">
        <v>1154</v>
      </c>
      <c r="H108" s="66">
        <v>64</v>
      </c>
      <c r="I108" s="66">
        <v>64</v>
      </c>
      <c r="J108" s="66" t="s">
        <v>14</v>
      </c>
      <c r="L108" s="64"/>
    </row>
    <row r="109" spans="1:16">
      <c r="A109" s="64"/>
      <c r="H109" s="66"/>
      <c r="I109" s="66"/>
      <c r="L109" s="68"/>
      <c r="O109" s="66"/>
    </row>
    <row r="110" spans="1:16">
      <c r="A110" s="64"/>
      <c r="B110" s="66" t="s">
        <v>89</v>
      </c>
      <c r="E110" s="66"/>
      <c r="H110" s="66">
        <v>10</v>
      </c>
      <c r="J110" s="66" t="s">
        <v>69</v>
      </c>
      <c r="L110" s="68"/>
      <c r="O110" s="66"/>
      <c r="P110" s="7"/>
    </row>
    <row r="111" spans="1:16">
      <c r="A111" s="64"/>
      <c r="L111" s="68"/>
      <c r="O111" s="66"/>
    </row>
    <row r="112" spans="1:16">
      <c r="A112" s="64"/>
      <c r="B112" s="66" t="s">
        <v>37</v>
      </c>
      <c r="C112" s="66"/>
      <c r="D112" s="66"/>
      <c r="E112" s="66"/>
      <c r="F112" s="66"/>
      <c r="G112" s="66"/>
      <c r="H112" s="66">
        <v>128</v>
      </c>
      <c r="I112" s="66">
        <v>176</v>
      </c>
      <c r="J112" s="66" t="s">
        <v>38</v>
      </c>
      <c r="K112" s="184" t="s">
        <v>1209</v>
      </c>
      <c r="L112" s="68"/>
      <c r="O112" s="66"/>
      <c r="P112" s="7"/>
    </row>
    <row r="113" spans="1:25">
      <c r="A113" s="64"/>
      <c r="B113" s="66"/>
      <c r="C113" s="66"/>
      <c r="D113" s="66"/>
      <c r="E113" s="66"/>
      <c r="F113" s="66"/>
      <c r="G113" s="66"/>
      <c r="H113" s="66"/>
      <c r="I113" s="66"/>
      <c r="K113" s="184"/>
      <c r="L113" s="68"/>
      <c r="O113" s="66"/>
    </row>
    <row r="114" spans="1:25">
      <c r="A114" s="64"/>
      <c r="B114" s="66"/>
      <c r="C114" s="66"/>
      <c r="D114" s="66"/>
      <c r="E114" s="66"/>
      <c r="F114" s="66"/>
      <c r="G114" s="66"/>
      <c r="H114" s="66"/>
      <c r="I114" s="66"/>
      <c r="K114" s="184"/>
      <c r="L114" s="68"/>
      <c r="P114" s="7"/>
    </row>
    <row r="115" spans="1:25">
      <c r="A115" s="64"/>
      <c r="B115" s="4" t="s">
        <v>1198</v>
      </c>
      <c r="H115" s="4" t="s">
        <v>1</v>
      </c>
      <c r="I115" s="4" t="s">
        <v>2</v>
      </c>
      <c r="J115" s="4" t="s">
        <v>52</v>
      </c>
      <c r="K115" s="4" t="s">
        <v>1136</v>
      </c>
      <c r="L115" s="68"/>
      <c r="O115" s="66"/>
    </row>
    <row r="116" spans="1:25">
      <c r="A116" s="64"/>
      <c r="B116" s="66"/>
      <c r="C116" s="66"/>
      <c r="D116" s="66"/>
      <c r="E116" s="66"/>
      <c r="F116" s="66"/>
      <c r="G116" s="66"/>
      <c r="H116" s="66"/>
      <c r="I116" s="66"/>
      <c r="K116" s="184"/>
      <c r="L116" s="68"/>
      <c r="O116" s="66"/>
      <c r="P116">
        <v>2</v>
      </c>
    </row>
    <row r="117" spans="1:25">
      <c r="A117" s="64"/>
      <c r="B117" s="66" t="s">
        <v>97</v>
      </c>
      <c r="G117" s="66"/>
      <c r="H117" s="66">
        <v>0.5</v>
      </c>
      <c r="I117" s="66">
        <v>5</v>
      </c>
      <c r="J117" s="66" t="s">
        <v>31</v>
      </c>
      <c r="K117" s="66" t="s">
        <v>98</v>
      </c>
      <c r="L117" s="68"/>
    </row>
    <row r="118" spans="1:25">
      <c r="A118" s="64"/>
      <c r="B118" s="66"/>
      <c r="G118" s="66"/>
      <c r="H118" s="66"/>
      <c r="L118" s="68"/>
      <c r="O118" s="66"/>
      <c r="V118" s="171"/>
    </row>
    <row r="119" spans="1:25">
      <c r="A119" s="64"/>
      <c r="B119" s="257" t="s">
        <v>95</v>
      </c>
      <c r="C119" s="6"/>
      <c r="D119" s="6"/>
      <c r="E119" s="6"/>
      <c r="F119" s="6"/>
      <c r="G119" s="189"/>
      <c r="H119" s="257">
        <f>_xlfn.CEILING.MATH(SDCs_Numb_Clients/OTIO_Max_Connection)+4</f>
        <v>5</v>
      </c>
      <c r="I119" s="257">
        <f>_xlfn.CEILING.MATH(I73/OTIO_Max_Connection)+4</f>
        <v>5</v>
      </c>
      <c r="J119" s="257" t="s">
        <v>65</v>
      </c>
      <c r="K119" s="257" t="s">
        <v>96</v>
      </c>
      <c r="L119" s="68"/>
      <c r="O119" s="66"/>
      <c r="R119" s="66"/>
      <c r="S119" s="256"/>
      <c r="T119" s="66"/>
      <c r="U119" s="66"/>
      <c r="W119" s="66"/>
    </row>
    <row r="120" spans="1:25">
      <c r="A120" s="64"/>
      <c r="B120" s="66"/>
      <c r="C120" s="66"/>
      <c r="D120" s="66"/>
      <c r="E120" s="66"/>
      <c r="H120" s="66"/>
      <c r="L120" s="68"/>
    </row>
    <row r="121" spans="1:25">
      <c r="A121" s="64"/>
      <c r="B121" s="64"/>
      <c r="C121" s="64"/>
      <c r="D121" s="64"/>
      <c r="E121" s="64"/>
      <c r="F121" s="64"/>
      <c r="G121" s="64"/>
      <c r="H121" s="64"/>
      <c r="I121" s="64"/>
      <c r="J121" s="68"/>
      <c r="K121" s="68"/>
      <c r="L121" s="68"/>
      <c r="V121" t="s">
        <v>1219</v>
      </c>
      <c r="W121" t="s">
        <v>1220</v>
      </c>
      <c r="X121" t="s">
        <v>1221</v>
      </c>
      <c r="Y121" t="s">
        <v>1222</v>
      </c>
    </row>
    <row r="122" spans="1:25">
      <c r="A122" s="64"/>
      <c r="B122" s="4" t="s">
        <v>1181</v>
      </c>
      <c r="L122" s="68"/>
      <c r="N122" s="4"/>
      <c r="P122">
        <v>4</v>
      </c>
      <c r="V122" s="3" t="s">
        <v>1225</v>
      </c>
      <c r="W122" s="3">
        <v>1000</v>
      </c>
      <c r="X122" s="3">
        <v>5000</v>
      </c>
      <c r="Y122" s="271">
        <f>(X122-W122)/29</f>
        <v>137.93103448275863</v>
      </c>
    </row>
    <row r="123" spans="1:25">
      <c r="A123" s="64"/>
      <c r="L123" s="68"/>
      <c r="V123" s="3" t="s">
        <v>1224</v>
      </c>
    </row>
    <row r="124" spans="1:25">
      <c r="A124" s="64"/>
      <c r="B124" s="66"/>
      <c r="C124" s="66"/>
      <c r="D124" s="66"/>
      <c r="E124" s="66"/>
      <c r="F124" s="66"/>
      <c r="G124" s="66"/>
      <c r="H124" s="66"/>
      <c r="I124" s="66"/>
      <c r="L124" s="68"/>
    </row>
    <row r="125" spans="1:25">
      <c r="A125" s="64"/>
      <c r="B125" s="66" t="s">
        <v>1156</v>
      </c>
      <c r="C125" s="66"/>
      <c r="D125" s="66"/>
      <c r="E125" s="66"/>
      <c r="F125" s="66"/>
      <c r="G125" s="66"/>
      <c r="H125" s="256">
        <v>2</v>
      </c>
      <c r="I125" s="256" t="s">
        <v>86</v>
      </c>
      <c r="K125" s="184"/>
      <c r="L125" s="68"/>
      <c r="Q125" s="66"/>
    </row>
    <row r="126" spans="1:25">
      <c r="A126" s="64"/>
      <c r="B126" s="66"/>
      <c r="C126" s="66"/>
      <c r="D126" s="66"/>
      <c r="E126" s="66"/>
      <c r="F126" s="66"/>
      <c r="G126" s="66"/>
      <c r="H126" s="66"/>
      <c r="I126" s="66"/>
      <c r="L126" s="68"/>
    </row>
    <row r="127" spans="1:25">
      <c r="A127" s="64"/>
      <c r="L127" s="68"/>
    </row>
    <row r="128" spans="1:25">
      <c r="A128" s="64"/>
      <c r="B128" s="66"/>
      <c r="C128" s="66"/>
      <c r="D128" s="66"/>
      <c r="E128" s="66"/>
      <c r="F128" s="66"/>
      <c r="G128" s="66"/>
      <c r="H128" s="66"/>
      <c r="I128" s="66"/>
      <c r="L128" s="68"/>
    </row>
    <row r="129" spans="1:18">
      <c r="A129" s="64"/>
      <c r="B129" s="184" t="s">
        <v>1167</v>
      </c>
      <c r="C129" s="66"/>
      <c r="D129" s="66"/>
      <c r="E129" s="66"/>
      <c r="F129" s="66"/>
      <c r="G129" s="66"/>
      <c r="H129" s="184">
        <v>4</v>
      </c>
      <c r="I129" s="184" t="s">
        <v>1180</v>
      </c>
      <c r="K129" s="184" t="s">
        <v>1209</v>
      </c>
      <c r="L129" s="68"/>
    </row>
    <row r="130" spans="1:18">
      <c r="A130" s="64"/>
      <c r="B130" s="66"/>
      <c r="C130" s="66"/>
      <c r="D130" s="66"/>
      <c r="E130" s="66"/>
      <c r="F130" s="66"/>
      <c r="G130" s="66"/>
      <c r="H130" s="66"/>
      <c r="I130" s="66"/>
      <c r="L130" s="68"/>
    </row>
    <row r="131" spans="1:18">
      <c r="A131" s="64"/>
      <c r="L131" s="68"/>
      <c r="R131" s="270"/>
    </row>
    <row r="132" spans="1:18">
      <c r="A132" s="64"/>
      <c r="B132" s="66" t="s">
        <v>114</v>
      </c>
      <c r="C132" s="66"/>
      <c r="D132" s="66"/>
      <c r="E132" s="66"/>
      <c r="F132" s="66"/>
      <c r="G132" s="66"/>
      <c r="H132" s="66">
        <v>20</v>
      </c>
      <c r="I132" s="66">
        <v>20</v>
      </c>
      <c r="J132" s="66" t="s">
        <v>40</v>
      </c>
      <c r="L132" s="68"/>
      <c r="R132" s="270"/>
    </row>
    <row r="133" spans="1:18">
      <c r="A133" s="64"/>
      <c r="B133" s="66"/>
      <c r="C133" s="66"/>
      <c r="D133" s="66"/>
      <c r="E133" s="66"/>
      <c r="F133" s="66"/>
      <c r="G133" s="66"/>
      <c r="H133" s="66"/>
      <c r="I133" s="66"/>
      <c r="L133" s="64"/>
      <c r="R133" s="270"/>
    </row>
    <row r="134" spans="1:18">
      <c r="A134" s="64"/>
      <c r="B134" s="66" t="s">
        <v>110</v>
      </c>
      <c r="H134" s="66">
        <v>5</v>
      </c>
      <c r="I134" s="66">
        <v>5</v>
      </c>
      <c r="J134" s="66" t="s">
        <v>111</v>
      </c>
      <c r="L134" s="64"/>
      <c r="R134" s="270"/>
    </row>
    <row r="135" spans="1:18">
      <c r="A135" s="64"/>
      <c r="L135" s="64"/>
    </row>
    <row r="136" spans="1:18">
      <c r="A136" s="64"/>
      <c r="B136" s="66" t="s">
        <v>112</v>
      </c>
      <c r="F136" s="66"/>
      <c r="H136" s="66">
        <v>6</v>
      </c>
      <c r="I136" s="66">
        <v>6</v>
      </c>
      <c r="J136" s="66" t="s">
        <v>113</v>
      </c>
      <c r="K136" s="66" t="s">
        <v>1205</v>
      </c>
      <c r="L136" s="68"/>
    </row>
    <row r="137" spans="1:18">
      <c r="A137" s="64"/>
      <c r="L137" s="68"/>
    </row>
    <row r="138" spans="1:18">
      <c r="A138" s="64"/>
      <c r="L138" s="68"/>
    </row>
    <row r="139" spans="1:18">
      <c r="A139" s="64"/>
      <c r="L139" s="68"/>
    </row>
    <row r="140" spans="1:18">
      <c r="A140" s="64"/>
      <c r="B140" s="64"/>
      <c r="C140" s="64"/>
      <c r="D140" s="64"/>
      <c r="E140" s="64"/>
      <c r="F140" s="64"/>
      <c r="G140" s="64"/>
      <c r="H140" s="64"/>
      <c r="I140" s="64"/>
      <c r="J140" s="68"/>
      <c r="K140" s="68"/>
      <c r="L140" s="68"/>
    </row>
    <row r="141" spans="1:18">
      <c r="A141" s="64"/>
      <c r="B141" s="4" t="s">
        <v>41</v>
      </c>
      <c r="H141" s="4" t="s">
        <v>1</v>
      </c>
      <c r="I141" s="4" t="s">
        <v>2</v>
      </c>
      <c r="J141" s="4" t="s">
        <v>52</v>
      </c>
      <c r="K141" s="4" t="s">
        <v>1136</v>
      </c>
      <c r="L141" s="68"/>
    </row>
    <row r="142" spans="1:18">
      <c r="A142" s="64"/>
      <c r="I142" s="4"/>
      <c r="L142" s="68"/>
    </row>
    <row r="143" spans="1:18" ht="34" customHeight="1">
      <c r="A143" s="64"/>
      <c r="B143" s="184" t="s">
        <v>42</v>
      </c>
      <c r="C143" s="66"/>
      <c r="D143" s="66"/>
      <c r="E143" s="66"/>
      <c r="F143" s="66"/>
      <c r="G143" s="66"/>
      <c r="H143" s="184">
        <v>1</v>
      </c>
      <c r="I143" s="184">
        <v>1</v>
      </c>
      <c r="J143" s="184"/>
      <c r="K143" s="184" t="s">
        <v>1209</v>
      </c>
      <c r="L143" s="68"/>
    </row>
    <row r="144" spans="1:18" ht="34" customHeight="1">
      <c r="A144" s="64"/>
      <c r="B144" s="66"/>
      <c r="C144" s="66"/>
      <c r="D144" s="66"/>
      <c r="E144" s="66"/>
      <c r="F144" s="66"/>
      <c r="G144" s="66"/>
      <c r="H144" s="184"/>
      <c r="I144" s="184"/>
      <c r="J144" s="184"/>
      <c r="L144" s="68"/>
    </row>
    <row r="145" spans="1:12" ht="34" customHeight="1">
      <c r="A145" s="64"/>
      <c r="B145" s="184" t="s">
        <v>43</v>
      </c>
      <c r="C145" s="184"/>
      <c r="D145" s="66"/>
      <c r="E145" s="66"/>
      <c r="F145" s="66"/>
      <c r="G145" s="66"/>
      <c r="H145" s="184">
        <v>2</v>
      </c>
      <c r="I145" s="184">
        <v>3</v>
      </c>
      <c r="J145" s="184"/>
      <c r="K145" s="184" t="s">
        <v>1209</v>
      </c>
      <c r="L145" s="68"/>
    </row>
    <row r="146" spans="1:12">
      <c r="A146" s="64"/>
      <c r="B146" s="184"/>
      <c r="C146" s="184"/>
      <c r="D146" s="66"/>
      <c r="E146" s="66"/>
      <c r="F146" s="66"/>
      <c r="G146" s="66"/>
      <c r="H146" s="184"/>
      <c r="I146" s="184"/>
      <c r="J146" s="184"/>
      <c r="L146" s="68"/>
    </row>
    <row r="147" spans="1:12">
      <c r="A147" s="64"/>
      <c r="B147" s="239"/>
      <c r="C147" s="239"/>
      <c r="H147" s="239"/>
      <c r="I147" s="239"/>
      <c r="J147" s="184"/>
      <c r="L147" s="68"/>
    </row>
    <row r="148" spans="1:12">
      <c r="A148" s="64"/>
      <c r="B148" s="184" t="s">
        <v>1184</v>
      </c>
      <c r="C148" s="184"/>
      <c r="D148" s="66"/>
      <c r="E148" s="66"/>
      <c r="F148" s="66"/>
      <c r="G148" s="66"/>
      <c r="H148" s="184">
        <v>20</v>
      </c>
      <c r="I148" s="184">
        <v>20</v>
      </c>
      <c r="J148" s="184" t="s">
        <v>40</v>
      </c>
      <c r="K148" s="184" t="s">
        <v>1209</v>
      </c>
      <c r="L148" s="68"/>
    </row>
    <row r="149" spans="1:12">
      <c r="A149" s="64"/>
      <c r="B149" s="184"/>
      <c r="C149" s="184"/>
      <c r="D149" s="66"/>
      <c r="E149" s="66"/>
      <c r="F149" s="66"/>
      <c r="G149" s="66"/>
      <c r="H149" s="184"/>
      <c r="I149" s="184"/>
      <c r="J149" s="184"/>
      <c r="L149" s="68"/>
    </row>
    <row r="150" spans="1:12">
      <c r="A150" s="64"/>
      <c r="B150" s="239"/>
      <c r="C150" s="239"/>
      <c r="D150" s="66"/>
      <c r="E150" s="66"/>
      <c r="F150" s="66"/>
      <c r="G150" s="66"/>
      <c r="H150" s="239"/>
      <c r="I150" s="239"/>
      <c r="J150" s="184"/>
      <c r="L150" s="68"/>
    </row>
    <row r="151" spans="1:12">
      <c r="A151" s="64"/>
      <c r="B151" s="184" t="s">
        <v>32</v>
      </c>
      <c r="C151" s="239"/>
      <c r="D151" s="66"/>
      <c r="E151" s="66"/>
      <c r="F151" s="66"/>
      <c r="G151" s="66"/>
      <c r="H151" s="184">
        <v>1</v>
      </c>
      <c r="I151" s="184">
        <v>3</v>
      </c>
      <c r="J151" s="184"/>
      <c r="K151" s="184" t="s">
        <v>1209</v>
      </c>
      <c r="L151" s="68"/>
    </row>
    <row r="152" spans="1:12">
      <c r="A152" s="64"/>
      <c r="D152" s="66"/>
      <c r="E152" s="66"/>
      <c r="F152" s="66"/>
      <c r="G152" s="66"/>
      <c r="L152" s="68"/>
    </row>
    <row r="153" spans="1:12">
      <c r="A153" s="64"/>
      <c r="L153" s="68"/>
    </row>
    <row r="154" spans="1:12">
      <c r="A154" s="64"/>
      <c r="B154" s="184" t="s">
        <v>34</v>
      </c>
      <c r="C154" s="66"/>
      <c r="D154" s="66"/>
      <c r="E154" s="66"/>
      <c r="F154" s="66"/>
      <c r="G154" s="66"/>
      <c r="H154" s="184">
        <v>1</v>
      </c>
      <c r="I154" s="184">
        <v>2</v>
      </c>
      <c r="J154" s="184"/>
      <c r="K154" s="184" t="s">
        <v>1209</v>
      </c>
      <c r="L154" s="68"/>
    </row>
    <row r="155" spans="1:12">
      <c r="A155" s="64"/>
      <c r="B155" s="66"/>
      <c r="C155" s="66"/>
      <c r="D155" s="66"/>
      <c r="E155" s="66"/>
      <c r="F155" s="66"/>
      <c r="G155" s="66"/>
      <c r="L155" s="68"/>
    </row>
    <row r="156" spans="1:12">
      <c r="A156" s="64"/>
      <c r="B156" s="66"/>
      <c r="C156" s="66"/>
      <c r="H156" s="66"/>
      <c r="I156" s="66"/>
      <c r="L156" s="68"/>
    </row>
    <row r="157" spans="1:12">
      <c r="A157" s="64"/>
      <c r="B157" s="184" t="s">
        <v>39</v>
      </c>
      <c r="C157" s="66"/>
      <c r="D157" s="66"/>
      <c r="E157" s="66"/>
      <c r="F157" s="66"/>
      <c r="G157" s="66"/>
      <c r="H157" s="184">
        <v>32</v>
      </c>
      <c r="I157" s="184">
        <v>36</v>
      </c>
      <c r="J157" s="184" t="s">
        <v>40</v>
      </c>
      <c r="K157" s="184" t="s">
        <v>1209</v>
      </c>
      <c r="L157" s="68"/>
    </row>
    <row r="158" spans="1:12">
      <c r="A158" s="64"/>
      <c r="B158" s="66"/>
      <c r="C158" s="66"/>
      <c r="H158" s="66"/>
      <c r="I158" s="66"/>
      <c r="L158" s="68"/>
    </row>
    <row r="159" spans="1:12">
      <c r="A159" s="64"/>
      <c r="L159" s="68"/>
    </row>
    <row r="160" spans="1:12">
      <c r="A160" s="64"/>
      <c r="B160" s="64"/>
      <c r="C160" s="64"/>
      <c r="D160" s="64"/>
      <c r="E160" s="64"/>
      <c r="F160" s="64"/>
      <c r="G160" s="64"/>
      <c r="H160" s="64"/>
      <c r="I160" s="64"/>
      <c r="J160" s="68"/>
      <c r="K160" s="68"/>
      <c r="L160" s="68"/>
    </row>
    <row r="161" spans="1:11">
      <c r="A161" s="66"/>
    </row>
    <row r="162" spans="1:11">
      <c r="A162" s="66"/>
    </row>
    <row r="163" spans="1:11">
      <c r="A163" s="66"/>
    </row>
    <row r="164" spans="1:11">
      <c r="A164" s="66"/>
    </row>
    <row r="165" spans="1:11">
      <c r="A165" s="66"/>
    </row>
    <row r="166" spans="1:11">
      <c r="A166" s="66"/>
    </row>
    <row r="167" spans="1:11">
      <c r="A167" s="66"/>
      <c r="B167" s="66"/>
      <c r="C167" s="66"/>
      <c r="D167" s="66"/>
      <c r="E167" s="66"/>
      <c r="F167" s="66"/>
      <c r="G167" s="66"/>
      <c r="H167" s="66"/>
      <c r="I167" s="66"/>
      <c r="K167" s="184"/>
    </row>
    <row r="168" spans="1:11">
      <c r="A168" s="66"/>
      <c r="B168" s="66"/>
      <c r="C168" s="66"/>
      <c r="D168" s="66"/>
      <c r="E168" s="66"/>
      <c r="F168" s="66"/>
      <c r="G168" s="66"/>
      <c r="H168" s="66"/>
      <c r="I168" s="66"/>
      <c r="K168" s="184"/>
    </row>
    <row r="169" spans="1:11">
      <c r="A169" s="66"/>
      <c r="B169" s="66"/>
      <c r="C169" s="66"/>
      <c r="D169" s="66"/>
      <c r="E169" s="66"/>
      <c r="F169" s="66"/>
      <c r="G169" s="66"/>
      <c r="H169" s="66"/>
      <c r="I169" s="66"/>
      <c r="K169" s="184"/>
    </row>
    <row r="170" spans="1:11">
      <c r="A170" s="66"/>
    </row>
    <row r="171" spans="1:11">
      <c r="A171" s="66"/>
    </row>
    <row r="172" spans="1:11">
      <c r="A172" s="66"/>
      <c r="B172" s="66"/>
      <c r="C172" s="66"/>
      <c r="D172" s="66"/>
      <c r="E172" s="66"/>
      <c r="F172" s="66"/>
      <c r="G172" s="66"/>
      <c r="H172" s="66"/>
      <c r="I172" s="66"/>
    </row>
    <row r="173" spans="1:11">
      <c r="A173" s="66"/>
      <c r="B173" s="66"/>
      <c r="C173" s="66"/>
      <c r="D173" s="66"/>
      <c r="E173" s="66"/>
      <c r="F173" s="66"/>
      <c r="G173" s="66"/>
      <c r="H173" s="66"/>
      <c r="I173" s="66"/>
    </row>
    <row r="174" spans="1:11">
      <c r="A174" s="66"/>
      <c r="B174" s="66"/>
      <c r="C174" s="66"/>
      <c r="D174" s="66"/>
      <c r="E174" s="66"/>
      <c r="F174" s="66"/>
      <c r="G174" s="66"/>
      <c r="H174" s="66"/>
      <c r="I174" s="66"/>
    </row>
    <row r="175" spans="1:11">
      <c r="A175" s="66"/>
      <c r="B175" s="66"/>
      <c r="C175" s="66"/>
      <c r="D175" s="66"/>
      <c r="E175" s="66"/>
      <c r="F175" s="66"/>
      <c r="G175" s="66"/>
      <c r="H175" s="66"/>
      <c r="I175" s="66"/>
    </row>
  </sheetData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Scroll Bar 4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56</xdr:row>
                    <xdr:rowOff>12700</xdr:rowOff>
                  </from>
                  <to>
                    <xdr:col>6</xdr:col>
                    <xdr:colOff>495300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4" name="Scroll Bar 5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58</xdr:row>
                    <xdr:rowOff>12700</xdr:rowOff>
                  </from>
                  <to>
                    <xdr:col>6</xdr:col>
                    <xdr:colOff>495300</xdr:colOff>
                    <xdr:row>58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Scroll Bar 6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72</xdr:row>
                    <xdr:rowOff>12700</xdr:rowOff>
                  </from>
                  <to>
                    <xdr:col>6</xdr:col>
                    <xdr:colOff>495300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6" name="Scroll Bar 7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19</xdr:row>
                    <xdr:rowOff>12700</xdr:rowOff>
                  </from>
                  <to>
                    <xdr:col>6</xdr:col>
                    <xdr:colOff>482600</xdr:colOff>
                    <xdr:row>19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7" name="Scroll Bar 8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21</xdr:row>
                    <xdr:rowOff>12700</xdr:rowOff>
                  </from>
                  <to>
                    <xdr:col>6</xdr:col>
                    <xdr:colOff>482600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8" name="Scroll Bar 9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60</xdr:row>
                    <xdr:rowOff>12700</xdr:rowOff>
                  </from>
                  <to>
                    <xdr:col>6</xdr:col>
                    <xdr:colOff>495300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9" name="Scroll Bar 10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23</xdr:row>
                    <xdr:rowOff>12700</xdr:rowOff>
                  </from>
                  <to>
                    <xdr:col>6</xdr:col>
                    <xdr:colOff>482600</xdr:colOff>
                    <xdr:row>23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0" name="Scroll Bar 11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34</xdr:row>
                    <xdr:rowOff>12700</xdr:rowOff>
                  </from>
                  <to>
                    <xdr:col>6</xdr:col>
                    <xdr:colOff>495300</xdr:colOff>
                    <xdr:row>34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11" name="Scroll Bar 13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156</xdr:row>
                    <xdr:rowOff>12700</xdr:rowOff>
                  </from>
                  <to>
                    <xdr:col>6</xdr:col>
                    <xdr:colOff>419100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12" name="Scroll Bar 14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147</xdr:row>
                    <xdr:rowOff>12700</xdr:rowOff>
                  </from>
                  <to>
                    <xdr:col>6</xdr:col>
                    <xdr:colOff>469900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3" name="Scroll Bar 17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111</xdr:row>
                    <xdr:rowOff>12700</xdr:rowOff>
                  </from>
                  <to>
                    <xdr:col>6</xdr:col>
                    <xdr:colOff>482600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4" name="Button 20">
              <controlPr defaultSize="0" print="0" autoFill="0" autoPict="0" macro="[0]!Save_Current_to_UD1">
                <anchor moveWithCells="1" sizeWithCells="1">
                  <from>
                    <xdr:col>3</xdr:col>
                    <xdr:colOff>419100</xdr:colOff>
                    <xdr:row>10</xdr:row>
                    <xdr:rowOff>254000</xdr:rowOff>
                  </from>
                  <to>
                    <xdr:col>5</xdr:col>
                    <xdr:colOff>698500</xdr:colOff>
                    <xdr:row>12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5" name="Button 21">
              <controlPr defaultSize="0" print="0" autoFill="0" autoPict="0" macro="[0]!Save_Current_to_UD2">
                <anchor moveWithCells="1" sizeWithCells="1">
                  <from>
                    <xdr:col>5</xdr:col>
                    <xdr:colOff>800100</xdr:colOff>
                    <xdr:row>10</xdr:row>
                    <xdr:rowOff>177800</xdr:rowOff>
                  </from>
                  <to>
                    <xdr:col>7</xdr:col>
                    <xdr:colOff>774700</xdr:colOff>
                    <xdr:row>12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6" name="Group Box 23">
              <controlPr defaultSize="0" autoFill="0" autoPict="0">
                <anchor moveWithCells="1">
                  <from>
                    <xdr:col>3</xdr:col>
                    <xdr:colOff>1206500</xdr:colOff>
                    <xdr:row>53</xdr:row>
                    <xdr:rowOff>101600</xdr:rowOff>
                  </from>
                  <to>
                    <xdr:col>6</xdr:col>
                    <xdr:colOff>1384300</xdr:colOff>
                    <xdr:row>55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17" name="Option Button 24">
              <controlPr defaultSize="0" autoFill="0" autoLine="0" autoPict="0" macro="[0]!Radio_Top_Level_Architecture">
                <anchor moveWithCells="1">
                  <from>
                    <xdr:col>3</xdr:col>
                    <xdr:colOff>1447800</xdr:colOff>
                    <xdr:row>53</xdr:row>
                    <xdr:rowOff>190500</xdr:rowOff>
                  </from>
                  <to>
                    <xdr:col>4</xdr:col>
                    <xdr:colOff>838200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18" name="Option Button 25">
              <controlPr defaultSize="0" autoFill="0" autoLine="0" autoPict="0" macro="[0]!Radio_Top_Level_Architecture">
                <anchor moveWithCells="1">
                  <from>
                    <xdr:col>4</xdr:col>
                    <xdr:colOff>800100</xdr:colOff>
                    <xdr:row>53</xdr:row>
                    <xdr:rowOff>190500</xdr:rowOff>
                  </from>
                  <to>
                    <xdr:col>5</xdr:col>
                    <xdr:colOff>584200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19" name="Group Box 26">
              <controlPr defaultSize="0" autoFill="0" autoPict="0">
                <anchor moveWithCells="1">
                  <from>
                    <xdr:col>3</xdr:col>
                    <xdr:colOff>482600</xdr:colOff>
                    <xdr:row>149</xdr:row>
                    <xdr:rowOff>152400</xdr:rowOff>
                  </from>
                  <to>
                    <xdr:col>6</xdr:col>
                    <xdr:colOff>152400</xdr:colOff>
                    <xdr:row>151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20" name="Option Button 27">
              <controlPr defaultSize="0" autoFill="0" autoLine="0" autoPict="0">
                <anchor moveWithCells="1">
                  <from>
                    <xdr:col>3</xdr:col>
                    <xdr:colOff>787400</xdr:colOff>
                    <xdr:row>149</xdr:row>
                    <xdr:rowOff>228600</xdr:rowOff>
                  </from>
                  <to>
                    <xdr:col>4</xdr:col>
                    <xdr:colOff>165100</xdr:colOff>
                    <xdr:row>151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21" name="Option Button 28">
              <controlPr defaultSize="0" autoFill="0" autoLine="0" autoPict="0">
                <anchor moveWithCells="1">
                  <from>
                    <xdr:col>5</xdr:col>
                    <xdr:colOff>0</xdr:colOff>
                    <xdr:row>149</xdr:row>
                    <xdr:rowOff>228600</xdr:rowOff>
                  </from>
                  <to>
                    <xdr:col>5</xdr:col>
                    <xdr:colOff>889000</xdr:colOff>
                    <xdr:row>151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22" name="Group Box 30">
              <controlPr defaultSize="0" autoFill="0" autoPict="0" macro="[0]!Radio_Compute_Type">
                <anchor moveWithCells="1">
                  <from>
                    <xdr:col>3</xdr:col>
                    <xdr:colOff>635000</xdr:colOff>
                    <xdr:row>123</xdr:row>
                    <xdr:rowOff>152400</xdr:rowOff>
                  </from>
                  <to>
                    <xdr:col>6</xdr:col>
                    <xdr:colOff>1346200</xdr:colOff>
                    <xdr:row>126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23" name="Option Button 31">
              <controlPr defaultSize="0" autoFill="0" autoLine="0" autoPict="0" macro="[0]!Radio_Compute_Type">
                <anchor moveWithCells="1">
                  <from>
                    <xdr:col>3</xdr:col>
                    <xdr:colOff>711200</xdr:colOff>
                    <xdr:row>124</xdr:row>
                    <xdr:rowOff>25400</xdr:rowOff>
                  </from>
                  <to>
                    <xdr:col>3</xdr:col>
                    <xdr:colOff>1422400</xdr:colOff>
                    <xdr:row>125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6" r:id="rId24" name="Option Button 32">
              <controlPr defaultSize="0" autoFill="0" autoLine="0" autoPict="0" macro="[0]!Radio_Compute_Type">
                <anchor moveWithCells="1">
                  <from>
                    <xdr:col>4</xdr:col>
                    <xdr:colOff>76200</xdr:colOff>
                    <xdr:row>124</xdr:row>
                    <xdr:rowOff>25400</xdr:rowOff>
                  </from>
                  <to>
                    <xdr:col>4</xdr:col>
                    <xdr:colOff>812800</xdr:colOff>
                    <xdr:row>125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8" r:id="rId25" name="Option Button 34">
              <controlPr defaultSize="0" autoFill="0" autoLine="0" autoPict="0" macro="[0]!Radio_Compute_Type">
                <anchor moveWithCells="1">
                  <from>
                    <xdr:col>4</xdr:col>
                    <xdr:colOff>863600</xdr:colOff>
                    <xdr:row>124</xdr:row>
                    <xdr:rowOff>25400</xdr:rowOff>
                  </from>
                  <to>
                    <xdr:col>5</xdr:col>
                    <xdr:colOff>457200</xdr:colOff>
                    <xdr:row>125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9" r:id="rId26" name="Option Button 35">
              <controlPr defaultSize="0" autoFill="0" autoLine="0" autoPict="0" macro="[0]!Radio_Compute_Type">
                <anchor moveWithCells="1">
                  <from>
                    <xdr:col>5</xdr:col>
                    <xdr:colOff>546100</xdr:colOff>
                    <xdr:row>124</xdr:row>
                    <xdr:rowOff>25400</xdr:rowOff>
                  </from>
                  <to>
                    <xdr:col>6</xdr:col>
                    <xdr:colOff>304800</xdr:colOff>
                    <xdr:row>125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27" name="Button 37">
              <controlPr defaultSize="0" print="0" autoFill="0" autoPict="0" macro="[0]!Save_Current_as_Default">
                <anchor moveWithCells="1" sizeWithCells="1">
                  <from>
                    <xdr:col>8</xdr:col>
                    <xdr:colOff>88900</xdr:colOff>
                    <xdr:row>10</xdr:row>
                    <xdr:rowOff>127000</xdr:rowOff>
                  </from>
                  <to>
                    <xdr:col>12</xdr:col>
                    <xdr:colOff>0</xdr:colOff>
                    <xdr:row>12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28" name="Button 38">
              <controlPr defaultSize="0" print="0" autoFill="0" autoPict="0" macro="[0]!Load_Default_Values">
                <anchor moveWithCells="1" sizeWithCells="1">
                  <from>
                    <xdr:col>1</xdr:col>
                    <xdr:colOff>0</xdr:colOff>
                    <xdr:row>10</xdr:row>
                    <xdr:rowOff>190500</xdr:rowOff>
                  </from>
                  <to>
                    <xdr:col>3</xdr:col>
                    <xdr:colOff>190500</xdr:colOff>
                    <xdr:row>12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29" name="Group Box 40">
              <controlPr defaultSize="0" autoFill="0" autoPict="0">
                <anchor moveWithCells="1">
                  <from>
                    <xdr:col>3</xdr:col>
                    <xdr:colOff>1257300</xdr:colOff>
                    <xdr:row>80</xdr:row>
                    <xdr:rowOff>139700</xdr:rowOff>
                  </from>
                  <to>
                    <xdr:col>6</xdr:col>
                    <xdr:colOff>1371600</xdr:colOff>
                    <xdr:row>82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30" name="Option Button 41">
              <controlPr defaultSize="0" autoFill="0" autoLine="0" autoPict="0">
                <anchor moveWithCells="1">
                  <from>
                    <xdr:col>3</xdr:col>
                    <xdr:colOff>1473200</xdr:colOff>
                    <xdr:row>80</xdr:row>
                    <xdr:rowOff>228600</xdr:rowOff>
                  </from>
                  <to>
                    <xdr:col>4</xdr:col>
                    <xdr:colOff>927100</xdr:colOff>
                    <xdr:row>82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31" name="Option Button 42">
              <controlPr defaultSize="0" autoFill="0" autoLine="0" autoPict="0">
                <anchor moveWithCells="1">
                  <from>
                    <xdr:col>4</xdr:col>
                    <xdr:colOff>914400</xdr:colOff>
                    <xdr:row>80</xdr:row>
                    <xdr:rowOff>215900</xdr:rowOff>
                  </from>
                  <to>
                    <xdr:col>5</xdr:col>
                    <xdr:colOff>647700</xdr:colOff>
                    <xdr:row>82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32" name="Group Box 45">
              <controlPr defaultSize="0" autoFill="0" autoPict="0">
                <anchor moveWithCells="1">
                  <from>
                    <xdr:col>3</xdr:col>
                    <xdr:colOff>647700</xdr:colOff>
                    <xdr:row>152</xdr:row>
                    <xdr:rowOff>190500</xdr:rowOff>
                  </from>
                  <to>
                    <xdr:col>6</xdr:col>
                    <xdr:colOff>355600</xdr:colOff>
                    <xdr:row>154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33" name="Option Button 46">
              <controlPr defaultSize="0" autoFill="0" autoLine="0" autoPict="0">
                <anchor moveWithCells="1">
                  <from>
                    <xdr:col>3</xdr:col>
                    <xdr:colOff>800100</xdr:colOff>
                    <xdr:row>153</xdr:row>
                    <xdr:rowOff>25400</xdr:rowOff>
                  </from>
                  <to>
                    <xdr:col>4</xdr:col>
                    <xdr:colOff>228600</xdr:colOff>
                    <xdr:row>154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1" r:id="rId34" name="Option Button 47">
              <controlPr defaultSize="0" autoFill="0" autoLine="0" autoPict="0">
                <anchor moveWithCells="1">
                  <from>
                    <xdr:col>5</xdr:col>
                    <xdr:colOff>88900</xdr:colOff>
                    <xdr:row>152</xdr:row>
                    <xdr:rowOff>266700</xdr:rowOff>
                  </from>
                  <to>
                    <xdr:col>6</xdr:col>
                    <xdr:colOff>25400</xdr:colOff>
                    <xdr:row>154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7" r:id="rId35" name="Group Box 53">
              <controlPr defaultSize="0" autoFill="0" autoPict="0">
                <anchor moveWithCells="1">
                  <from>
                    <xdr:col>3</xdr:col>
                    <xdr:colOff>495300</xdr:colOff>
                    <xdr:row>143</xdr:row>
                    <xdr:rowOff>330200</xdr:rowOff>
                  </from>
                  <to>
                    <xdr:col>5</xdr:col>
                    <xdr:colOff>749300</xdr:colOff>
                    <xdr:row>145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8" r:id="rId36" name="Option Button 54">
              <controlPr defaultSize="0" autoFill="0" autoLine="0" autoPict="0">
                <anchor moveWithCells="1">
                  <from>
                    <xdr:col>3</xdr:col>
                    <xdr:colOff>749300</xdr:colOff>
                    <xdr:row>144</xdr:row>
                    <xdr:rowOff>88900</xdr:rowOff>
                  </from>
                  <to>
                    <xdr:col>4</xdr:col>
                    <xdr:colOff>63500</xdr:colOff>
                    <xdr:row>145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37" name="Group Box 57">
              <controlPr defaultSize="0" autoFill="0" autoPict="0">
                <anchor moveWithCells="1">
                  <from>
                    <xdr:col>3</xdr:col>
                    <xdr:colOff>508000</xdr:colOff>
                    <xdr:row>141</xdr:row>
                    <xdr:rowOff>177800</xdr:rowOff>
                  </from>
                  <to>
                    <xdr:col>5</xdr:col>
                    <xdr:colOff>762000</xdr:colOff>
                    <xdr:row>143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2" r:id="rId38" name="Option Button 58">
              <controlPr defaultSize="0" autoFill="0" autoLine="0" autoPict="0">
                <anchor moveWithCells="1">
                  <from>
                    <xdr:col>3</xdr:col>
                    <xdr:colOff>723900</xdr:colOff>
                    <xdr:row>142</xdr:row>
                    <xdr:rowOff>12700</xdr:rowOff>
                  </from>
                  <to>
                    <xdr:col>4</xdr:col>
                    <xdr:colOff>203200</xdr:colOff>
                    <xdr:row>142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3" r:id="rId39" name="Option Button 59">
              <controlPr defaultSize="0" autoFill="0" autoLine="0" autoPict="0">
                <anchor moveWithCells="1">
                  <from>
                    <xdr:col>4</xdr:col>
                    <xdr:colOff>800100</xdr:colOff>
                    <xdr:row>141</xdr:row>
                    <xdr:rowOff>266700</xdr:rowOff>
                  </from>
                  <to>
                    <xdr:col>5</xdr:col>
                    <xdr:colOff>571500</xdr:colOff>
                    <xdr:row>142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40" name="Group Box 68">
              <controlPr defaultSize="0" autoFill="0" autoPict="0">
                <anchor moveWithCells="1">
                  <from>
                    <xdr:col>3</xdr:col>
                    <xdr:colOff>1371600</xdr:colOff>
                    <xdr:row>45</xdr:row>
                    <xdr:rowOff>177800</xdr:rowOff>
                  </from>
                  <to>
                    <xdr:col>6</xdr:col>
                    <xdr:colOff>1397000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41" name="Option Button 69">
              <controlPr defaultSize="0" autoFill="0" autoLine="0" autoPict="0">
                <anchor moveWithCells="1">
                  <from>
                    <xdr:col>3</xdr:col>
                    <xdr:colOff>1524000</xdr:colOff>
                    <xdr:row>45</xdr:row>
                    <xdr:rowOff>355600</xdr:rowOff>
                  </from>
                  <to>
                    <xdr:col>4</xdr:col>
                    <xdr:colOff>901700</xdr:colOff>
                    <xdr:row>47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42" name="Option Button 70">
              <controlPr defaultSize="0" autoFill="0" autoLine="0" autoPict="0">
                <anchor moveWithCells="1">
                  <from>
                    <xdr:col>5</xdr:col>
                    <xdr:colOff>12700</xdr:colOff>
                    <xdr:row>45</xdr:row>
                    <xdr:rowOff>355600</xdr:rowOff>
                  </from>
                  <to>
                    <xdr:col>5</xdr:col>
                    <xdr:colOff>889000</xdr:colOff>
                    <xdr:row>47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9" r:id="rId43" name="Button 105">
              <controlPr defaultSize="0" print="0" autoFill="0" autoPict="0" macro="[0]!Recompute_Sweep">
                <anchor moveWithCells="1" sizeWithCells="1">
                  <from>
                    <xdr:col>12</xdr:col>
                    <xdr:colOff>520700</xdr:colOff>
                    <xdr:row>8</xdr:row>
                    <xdr:rowOff>38100</xdr:rowOff>
                  </from>
                  <to>
                    <xdr:col>28</xdr:col>
                    <xdr:colOff>596900</xdr:colOff>
                    <xdr:row>12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1" r:id="rId44" name="Scroll Bar 107">
              <controlPr defaultSize="0" autoPict="0" macro="[0]!ScrollBar_Year_Update">
                <anchor moveWithCells="1">
                  <from>
                    <xdr:col>4</xdr:col>
                    <xdr:colOff>38100</xdr:colOff>
                    <xdr:row>17</xdr:row>
                    <xdr:rowOff>25400</xdr:rowOff>
                  </from>
                  <to>
                    <xdr:col>6</xdr:col>
                    <xdr:colOff>495300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" r:id="rId45" name="Option Button 111">
              <controlPr defaultSize="0" autoFill="0" autoLine="0" autoPict="0" macro="[0]!Radio_Top_Level_Architecture">
                <anchor moveWithCells="1">
                  <from>
                    <xdr:col>5</xdr:col>
                    <xdr:colOff>800100</xdr:colOff>
                    <xdr:row>53</xdr:row>
                    <xdr:rowOff>203200</xdr:rowOff>
                  </from>
                  <to>
                    <xdr:col>6</xdr:col>
                    <xdr:colOff>1270000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7" r:id="rId46" name="Scroll Bar 113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68</xdr:row>
                    <xdr:rowOff>12700</xdr:rowOff>
                  </from>
                  <to>
                    <xdr:col>6</xdr:col>
                    <xdr:colOff>495300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" r:id="rId47" name="Scroll Bar 115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88</xdr:row>
                    <xdr:rowOff>12700</xdr:rowOff>
                  </from>
                  <to>
                    <xdr:col>6</xdr:col>
                    <xdr:colOff>508000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0" r:id="rId48" name="Scroll Bar 116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90</xdr:row>
                    <xdr:rowOff>12700</xdr:rowOff>
                  </from>
                  <to>
                    <xdr:col>6</xdr:col>
                    <xdr:colOff>508000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1" r:id="rId49" name="Scroll Bar 117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92</xdr:row>
                    <xdr:rowOff>12700</xdr:rowOff>
                  </from>
                  <to>
                    <xdr:col>6</xdr:col>
                    <xdr:colOff>508000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2" r:id="rId50" name="Scroll Bar 118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96</xdr:row>
                    <xdr:rowOff>12700</xdr:rowOff>
                  </from>
                  <to>
                    <xdr:col>6</xdr:col>
                    <xdr:colOff>508000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4" r:id="rId51" name="Scroll Bar 120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98</xdr:row>
                    <xdr:rowOff>12700</xdr:rowOff>
                  </from>
                  <to>
                    <xdr:col>6</xdr:col>
                    <xdr:colOff>508000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7" r:id="rId52" name="Scroll Bar 123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100</xdr:row>
                    <xdr:rowOff>12700</xdr:rowOff>
                  </from>
                  <to>
                    <xdr:col>6</xdr:col>
                    <xdr:colOff>508000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8" r:id="rId53" name="Option Button 124">
              <controlPr defaultSize="0" autoFill="0" autoLine="0" autoPict="0" macro="[0]!Radio_Compute_Type">
                <anchor moveWithCells="1">
                  <from>
                    <xdr:col>6</xdr:col>
                    <xdr:colOff>304800</xdr:colOff>
                    <xdr:row>124</xdr:row>
                    <xdr:rowOff>0</xdr:rowOff>
                  </from>
                  <to>
                    <xdr:col>6</xdr:col>
                    <xdr:colOff>1270000</xdr:colOff>
                    <xdr:row>125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9" r:id="rId54" name="Option Button 125">
              <controlPr defaultSize="0" autoFill="0" autoLine="0" autoPict="0">
                <anchor moveWithCells="1">
                  <from>
                    <xdr:col>4</xdr:col>
                    <xdr:colOff>165100</xdr:colOff>
                    <xdr:row>144</xdr:row>
                    <xdr:rowOff>101600</xdr:rowOff>
                  </from>
                  <to>
                    <xdr:col>5</xdr:col>
                    <xdr:colOff>241300</xdr:colOff>
                    <xdr:row>145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0" r:id="rId55" name="Scroll Bar 126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107</xdr:row>
                    <xdr:rowOff>12700</xdr:rowOff>
                  </from>
                  <to>
                    <xdr:col>6</xdr:col>
                    <xdr:colOff>508000</xdr:colOff>
                    <xdr:row>107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1" r:id="rId56" name="Scroll Bar 127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105</xdr:row>
                    <xdr:rowOff>12700</xdr:rowOff>
                  </from>
                  <to>
                    <xdr:col>6</xdr:col>
                    <xdr:colOff>482600</xdr:colOff>
                    <xdr:row>105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2" r:id="rId57" name="Group Box 128">
              <controlPr defaultSize="0" autoFill="0" autoPict="0" macro="[0]!Radio_Compute_Type">
                <anchor moveWithCells="1">
                  <from>
                    <xdr:col>3</xdr:col>
                    <xdr:colOff>635000</xdr:colOff>
                    <xdr:row>127</xdr:row>
                    <xdr:rowOff>152400</xdr:rowOff>
                  </from>
                  <to>
                    <xdr:col>6</xdr:col>
                    <xdr:colOff>1346200</xdr:colOff>
                    <xdr:row>130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3" r:id="rId58" name="Option Button 129">
              <controlPr defaultSize="0" autoFill="0" autoLine="0" autoPict="0" macro="[0]!Radio_PV_Type">
                <anchor moveWithCells="1">
                  <from>
                    <xdr:col>3</xdr:col>
                    <xdr:colOff>711200</xdr:colOff>
                    <xdr:row>128</xdr:row>
                    <xdr:rowOff>25400</xdr:rowOff>
                  </from>
                  <to>
                    <xdr:col>3</xdr:col>
                    <xdr:colOff>1422400</xdr:colOff>
                    <xdr:row>129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4" r:id="rId59" name="Option Button 130">
              <controlPr defaultSize="0" autoFill="0" autoLine="0" autoPict="0" macro="[0]!Radio_PV_Type">
                <anchor moveWithCells="1">
                  <from>
                    <xdr:col>4</xdr:col>
                    <xdr:colOff>279400</xdr:colOff>
                    <xdr:row>128</xdr:row>
                    <xdr:rowOff>25400</xdr:rowOff>
                  </from>
                  <to>
                    <xdr:col>4</xdr:col>
                    <xdr:colOff>1016000</xdr:colOff>
                    <xdr:row>129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5" r:id="rId60" name="Option Button 131">
              <controlPr defaultSize="0" autoFill="0" autoLine="0" autoPict="0" macro="[0]!Radio_PV_Type">
                <anchor moveWithCells="1">
                  <from>
                    <xdr:col>5</xdr:col>
                    <xdr:colOff>101600</xdr:colOff>
                    <xdr:row>128</xdr:row>
                    <xdr:rowOff>25400</xdr:rowOff>
                  </from>
                  <to>
                    <xdr:col>5</xdr:col>
                    <xdr:colOff>825500</xdr:colOff>
                    <xdr:row>129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6" r:id="rId61" name="Option Button 132">
              <controlPr defaultSize="0" autoFill="0" autoLine="0" autoPict="0" macro="[0]!Radio_PV_Type">
                <anchor moveWithCells="1">
                  <from>
                    <xdr:col>6</xdr:col>
                    <xdr:colOff>279400</xdr:colOff>
                    <xdr:row>128</xdr:row>
                    <xdr:rowOff>25400</xdr:rowOff>
                  </from>
                  <to>
                    <xdr:col>6</xdr:col>
                    <xdr:colOff>1028700</xdr:colOff>
                    <xdr:row>129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7" r:id="rId62" name="Scroll Bar 133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27</xdr:row>
                    <xdr:rowOff>25400</xdr:rowOff>
                  </from>
                  <to>
                    <xdr:col>6</xdr:col>
                    <xdr:colOff>495300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9" r:id="rId63" name="Scroll Bar 135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131</xdr:row>
                    <xdr:rowOff>12700</xdr:rowOff>
                  </from>
                  <to>
                    <xdr:col>6</xdr:col>
                    <xdr:colOff>495300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0" r:id="rId64" name="Option Button 136">
              <controlPr defaultSize="0" autoFill="0" autoLine="0" autoPict="0" macro="[0]!Radio_Select_UseCase">
                <anchor moveWithCells="1">
                  <from>
                    <xdr:col>1</xdr:col>
                    <xdr:colOff>228600</xdr:colOff>
                    <xdr:row>6</xdr:row>
                    <xdr:rowOff>203200</xdr:rowOff>
                  </from>
                  <to>
                    <xdr:col>3</xdr:col>
                    <xdr:colOff>127000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1" r:id="rId65" name="Group Box 137">
              <controlPr defaultSize="0" autoFill="0" autoPict="0">
                <anchor moveWithCells="1">
                  <from>
                    <xdr:col>1</xdr:col>
                    <xdr:colOff>88900</xdr:colOff>
                    <xdr:row>5</xdr:row>
                    <xdr:rowOff>254000</xdr:rowOff>
                  </from>
                  <to>
                    <xdr:col>10</xdr:col>
                    <xdr:colOff>12700</xdr:colOff>
                    <xdr:row>8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2" r:id="rId66" name="Option Button 138">
              <controlPr defaultSize="0" autoFill="0" autoLine="0" autoPict="0" macro="[0]!Radio_Select_UseCase">
                <anchor moveWithCells="1">
                  <from>
                    <xdr:col>3</xdr:col>
                    <xdr:colOff>254000</xdr:colOff>
                    <xdr:row>6</xdr:row>
                    <xdr:rowOff>203200</xdr:rowOff>
                  </from>
                  <to>
                    <xdr:col>4</xdr:col>
                    <xdr:colOff>444500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3" r:id="rId67" name="Option Button 139">
              <controlPr defaultSize="0" autoFill="0" autoLine="0" autoPict="0" macro="[0]!Radio_Select_UseCase">
                <anchor moveWithCells="1">
                  <from>
                    <xdr:col>4</xdr:col>
                    <xdr:colOff>685800</xdr:colOff>
                    <xdr:row>6</xdr:row>
                    <xdr:rowOff>203200</xdr:rowOff>
                  </from>
                  <to>
                    <xdr:col>6</xdr:col>
                    <xdr:colOff>304800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4" r:id="rId68" name="Option Button 140">
              <controlPr defaultSize="0" autoFill="0" autoLine="0" autoPict="0" macro="[0]!Radio_Select_UseCase">
                <anchor moveWithCells="1">
                  <from>
                    <xdr:col>6</xdr:col>
                    <xdr:colOff>723900</xdr:colOff>
                    <xdr:row>6</xdr:row>
                    <xdr:rowOff>190500</xdr:rowOff>
                  </from>
                  <to>
                    <xdr:col>8</xdr:col>
                    <xdr:colOff>63500</xdr:colOff>
                    <xdr:row>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5" r:id="rId69" name="Option Button 141">
              <controlPr defaultSize="0" autoFill="0" autoLine="0" autoPict="0" macro="[0]!Radio_Select_UseCase">
                <anchor moveWithCells="1">
                  <from>
                    <xdr:col>8</xdr:col>
                    <xdr:colOff>355600</xdr:colOff>
                    <xdr:row>6</xdr:row>
                    <xdr:rowOff>190500</xdr:rowOff>
                  </from>
                  <to>
                    <xdr:col>9</xdr:col>
                    <xdr:colOff>1054100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6" r:id="rId70" name="Scroll Bar 142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32</xdr:row>
                    <xdr:rowOff>12700</xdr:rowOff>
                  </from>
                  <to>
                    <xdr:col>6</xdr:col>
                    <xdr:colOff>495300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7" r:id="rId71" name="Scroll Bar 143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42</xdr:row>
                    <xdr:rowOff>12700</xdr:rowOff>
                  </from>
                  <to>
                    <xdr:col>6</xdr:col>
                    <xdr:colOff>495300</xdr:colOff>
                    <xdr:row>42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8" r:id="rId72" name="Scroll Bar 144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44</xdr:row>
                    <xdr:rowOff>12700</xdr:rowOff>
                  </from>
                  <to>
                    <xdr:col>6</xdr:col>
                    <xdr:colOff>495300</xdr:colOff>
                    <xdr:row>44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9" r:id="rId73" name="Scroll Bar 145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109</xdr:row>
                    <xdr:rowOff>12700</xdr:rowOff>
                  </from>
                  <to>
                    <xdr:col>6</xdr:col>
                    <xdr:colOff>508000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0" r:id="rId74" name="Scroll Bar 146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36</xdr:row>
                    <xdr:rowOff>12700</xdr:rowOff>
                  </from>
                  <to>
                    <xdr:col>6</xdr:col>
                    <xdr:colOff>495300</xdr:colOff>
                    <xdr:row>37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1" r:id="rId75" name="Scroll Bar 147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38</xdr:row>
                    <xdr:rowOff>12700</xdr:rowOff>
                  </from>
                  <to>
                    <xdr:col>6</xdr:col>
                    <xdr:colOff>495300</xdr:colOff>
                    <xdr:row>39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2" r:id="rId76" name="Scroll Bar 148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40</xdr:row>
                    <xdr:rowOff>12700</xdr:rowOff>
                  </from>
                  <to>
                    <xdr:col>6</xdr:col>
                    <xdr:colOff>495300</xdr:colOff>
                    <xdr:row>41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3" r:id="rId77" name="Scroll Bar 149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116</xdr:row>
                    <xdr:rowOff>12700</xdr:rowOff>
                  </from>
                  <to>
                    <xdr:col>6</xdr:col>
                    <xdr:colOff>482600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4" r:id="rId78" name="Scroll Bar 150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133</xdr:row>
                    <xdr:rowOff>12700</xdr:rowOff>
                  </from>
                  <to>
                    <xdr:col>6</xdr:col>
                    <xdr:colOff>495300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5" r:id="rId79" name="Scroll Bar 151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135</xdr:row>
                    <xdr:rowOff>12700</xdr:rowOff>
                  </from>
                  <to>
                    <xdr:col>6</xdr:col>
                    <xdr:colOff>495300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6" r:id="rId80" name="Scroll Bar 152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74</xdr:row>
                    <xdr:rowOff>12700</xdr:rowOff>
                  </from>
                  <to>
                    <xdr:col>6</xdr:col>
                    <xdr:colOff>495300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7" r:id="rId81" name="Scroll Bar 153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76</xdr:row>
                    <xdr:rowOff>12700</xdr:rowOff>
                  </from>
                  <to>
                    <xdr:col>6</xdr:col>
                    <xdr:colOff>495300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8" r:id="rId82" name="Scroll Bar 154">
              <controlPr defaultSize="0" autoPict="0" macro="[0]!Recompute_FOMs_for_USR_Scenario">
                <anchor moveWithCells="1">
                  <from>
                    <xdr:col>4</xdr:col>
                    <xdr:colOff>38100</xdr:colOff>
                    <xdr:row>78</xdr:row>
                    <xdr:rowOff>12700</xdr:rowOff>
                  </from>
                  <to>
                    <xdr:col>6</xdr:col>
                    <xdr:colOff>495300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4" r:id="rId83" name="Check Box 180">
              <controlPr defaultSize="0" autoFill="0" autoLine="0" autoPict="0" altText="SDC Pod Cost">
                <anchor moveWithCells="1">
                  <from>
                    <xdr:col>14</xdr:col>
                    <xdr:colOff>76200</xdr:colOff>
                    <xdr:row>92</xdr:row>
                    <xdr:rowOff>266700</xdr:rowOff>
                  </from>
                  <to>
                    <xdr:col>14</xdr:col>
                    <xdr:colOff>2019300</xdr:colOff>
                    <xdr:row>94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5" r:id="rId84" name="Check Box 181">
              <controlPr defaultSize="0" autoFill="0" autoLine="0" autoPict="0" altText="SDC Pod Cost">
                <anchor moveWithCells="1">
                  <from>
                    <xdr:col>14</xdr:col>
                    <xdr:colOff>76200</xdr:colOff>
                    <xdr:row>93</xdr:row>
                    <xdr:rowOff>279400</xdr:rowOff>
                  </from>
                  <to>
                    <xdr:col>14</xdr:col>
                    <xdr:colOff>2019300</xdr:colOff>
                    <xdr:row>95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6" r:id="rId85" name="Check Box 182">
              <controlPr defaultSize="0" autoFill="0" autoLine="0" autoPict="0" altText="SDC Pod Cost">
                <anchor moveWithCells="1">
                  <from>
                    <xdr:col>14</xdr:col>
                    <xdr:colOff>76200</xdr:colOff>
                    <xdr:row>95</xdr:row>
                    <xdr:rowOff>0</xdr:rowOff>
                  </from>
                  <to>
                    <xdr:col>14</xdr:col>
                    <xdr:colOff>2019300</xdr:colOff>
                    <xdr:row>96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7" r:id="rId86" name="Check Box 183">
              <controlPr defaultSize="0" autoFill="0" autoLine="0" autoPict="0" altText="SDC Pod Cost">
                <anchor moveWithCells="1">
                  <from>
                    <xdr:col>14</xdr:col>
                    <xdr:colOff>76200</xdr:colOff>
                    <xdr:row>95</xdr:row>
                    <xdr:rowOff>266700</xdr:rowOff>
                  </from>
                  <to>
                    <xdr:col>14</xdr:col>
                    <xdr:colOff>2019300</xdr:colOff>
                    <xdr:row>97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9" r:id="rId87" name="Check Box 185">
              <controlPr defaultSize="0" autoFill="0" autoLine="0" autoPict="0" altText="SDC Pod Cost">
                <anchor moveWithCells="1">
                  <from>
                    <xdr:col>14</xdr:col>
                    <xdr:colOff>76200</xdr:colOff>
                    <xdr:row>96</xdr:row>
                    <xdr:rowOff>254000</xdr:rowOff>
                  </from>
                  <to>
                    <xdr:col>14</xdr:col>
                    <xdr:colOff>2019300</xdr:colOff>
                    <xdr:row>98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0" r:id="rId88" name="Check Box 186">
              <controlPr defaultSize="0" autoFill="0" autoLine="0" autoPict="0" altText="SDC Pod Cost">
                <anchor moveWithCells="1">
                  <from>
                    <xdr:col>14</xdr:col>
                    <xdr:colOff>76200</xdr:colOff>
                    <xdr:row>97</xdr:row>
                    <xdr:rowOff>241300</xdr:rowOff>
                  </from>
                  <to>
                    <xdr:col>14</xdr:col>
                    <xdr:colOff>2019300</xdr:colOff>
                    <xdr:row>99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1" r:id="rId89" name="Check Box 187">
              <controlPr defaultSize="0" autoFill="0" autoLine="0" autoPict="0" altText="SDC Pod Cost">
                <anchor moveWithCells="1">
                  <from>
                    <xdr:col>14</xdr:col>
                    <xdr:colOff>76200</xdr:colOff>
                    <xdr:row>98</xdr:row>
                    <xdr:rowOff>254000</xdr:rowOff>
                  </from>
                  <to>
                    <xdr:col>14</xdr:col>
                    <xdr:colOff>2019300</xdr:colOff>
                    <xdr:row>100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2" r:id="rId90" name="Check Box 188">
              <controlPr defaultSize="0" autoFill="0" autoLine="0" autoPict="0" altText="SDC Pod Cost">
                <anchor moveWithCells="1">
                  <from>
                    <xdr:col>14</xdr:col>
                    <xdr:colOff>76200</xdr:colOff>
                    <xdr:row>99</xdr:row>
                    <xdr:rowOff>254000</xdr:rowOff>
                  </from>
                  <to>
                    <xdr:col>14</xdr:col>
                    <xdr:colOff>2019300</xdr:colOff>
                    <xdr:row>101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3" r:id="rId91" name="Check Box 189">
              <controlPr defaultSize="0" autoFill="0" autoLine="0" autoPict="0" altText="SDC Pod Cost">
                <anchor moveWithCells="1">
                  <from>
                    <xdr:col>14</xdr:col>
                    <xdr:colOff>76200</xdr:colOff>
                    <xdr:row>100</xdr:row>
                    <xdr:rowOff>254000</xdr:rowOff>
                  </from>
                  <to>
                    <xdr:col>14</xdr:col>
                    <xdr:colOff>2019300</xdr:colOff>
                    <xdr:row>102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4" r:id="rId92" name="Check Box 190">
              <controlPr defaultSize="0" autoFill="0" autoLine="0" autoPict="0" altText="SDC Pod Cost">
                <anchor moveWithCells="1">
                  <from>
                    <xdr:col>14</xdr:col>
                    <xdr:colOff>76200</xdr:colOff>
                    <xdr:row>101</xdr:row>
                    <xdr:rowOff>241300</xdr:rowOff>
                  </from>
                  <to>
                    <xdr:col>14</xdr:col>
                    <xdr:colOff>2019300</xdr:colOff>
                    <xdr:row>103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5" r:id="rId93" name="Check Box 191">
              <controlPr defaultSize="0" autoFill="0" autoLine="0" autoPict="0" altText="SDC Pod Cost">
                <anchor moveWithCells="1">
                  <from>
                    <xdr:col>14</xdr:col>
                    <xdr:colOff>76200</xdr:colOff>
                    <xdr:row>102</xdr:row>
                    <xdr:rowOff>254000</xdr:rowOff>
                  </from>
                  <to>
                    <xdr:col>14</xdr:col>
                    <xdr:colOff>2019300</xdr:colOff>
                    <xdr:row>104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6" r:id="rId94" name="Check Box 192">
              <controlPr defaultSize="0" autoFill="0" autoLine="0" autoPict="0" altText="SDC Pod Cost">
                <anchor moveWithCells="1">
                  <from>
                    <xdr:col>14</xdr:col>
                    <xdr:colOff>76200</xdr:colOff>
                    <xdr:row>103</xdr:row>
                    <xdr:rowOff>254000</xdr:rowOff>
                  </from>
                  <to>
                    <xdr:col>14</xdr:col>
                    <xdr:colOff>2019300</xdr:colOff>
                    <xdr:row>105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7" r:id="rId95" name="Option Button 193">
              <controlPr defaultSize="0" autoFill="0" autoLine="0" autoPict="0" macro="[0]!Create_User_Plot">
                <anchor moveWithCells="1">
                  <from>
                    <xdr:col>16</xdr:col>
                    <xdr:colOff>241300</xdr:colOff>
                    <xdr:row>114</xdr:row>
                    <xdr:rowOff>228600</xdr:rowOff>
                  </from>
                  <to>
                    <xdr:col>17</xdr:col>
                    <xdr:colOff>63500</xdr:colOff>
                    <xdr:row>116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9" r:id="rId96" name="Option Button 195">
              <controlPr defaultSize="0" autoFill="0" autoLine="0" autoPict="0" macro="[0]!Create_User_Plot">
                <anchor moveWithCells="1">
                  <from>
                    <xdr:col>17</xdr:col>
                    <xdr:colOff>88900</xdr:colOff>
                    <xdr:row>114</xdr:row>
                    <xdr:rowOff>228600</xdr:rowOff>
                  </from>
                  <to>
                    <xdr:col>17</xdr:col>
                    <xdr:colOff>1612900</xdr:colOff>
                    <xdr:row>116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0" r:id="rId97" name="Option Button 196">
              <controlPr defaultSize="0" autoFill="0" autoLine="0" autoPict="0" macro="[0]!Create_User_Plot">
                <anchor moveWithCells="1">
                  <from>
                    <xdr:col>18</xdr:col>
                    <xdr:colOff>88900</xdr:colOff>
                    <xdr:row>114</xdr:row>
                    <xdr:rowOff>215900</xdr:rowOff>
                  </from>
                  <to>
                    <xdr:col>19</xdr:col>
                    <xdr:colOff>190500</xdr:colOff>
                    <xdr:row>116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1" r:id="rId98" name="Option Button 197">
              <controlPr defaultSize="0" autoFill="0" autoLine="0" autoPict="0" macro="[0]!Create_User_Plot">
                <anchor moveWithCells="1">
                  <from>
                    <xdr:col>19</xdr:col>
                    <xdr:colOff>25400</xdr:colOff>
                    <xdr:row>114</xdr:row>
                    <xdr:rowOff>228600</xdr:rowOff>
                  </from>
                  <to>
                    <xdr:col>20</xdr:col>
                    <xdr:colOff>190500</xdr:colOff>
                    <xdr:row>116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2" r:id="rId99" name="Option Button 198">
              <controlPr defaultSize="0" autoFill="0" autoLine="0" autoPict="0" macro="[0]!Create_User_Plot">
                <anchor moveWithCells="1">
                  <from>
                    <xdr:col>20</xdr:col>
                    <xdr:colOff>25400</xdr:colOff>
                    <xdr:row>114</xdr:row>
                    <xdr:rowOff>228600</xdr:rowOff>
                  </from>
                  <to>
                    <xdr:col>21</xdr:col>
                    <xdr:colOff>127000</xdr:colOff>
                    <xdr:row>116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3" r:id="rId100" name="Option Button 199">
              <controlPr defaultSize="0" autoFill="0" autoLine="0" autoPict="0" macro="[0]!Create_User_Plot">
                <anchor moveWithCells="1">
                  <from>
                    <xdr:col>21</xdr:col>
                    <xdr:colOff>12700</xdr:colOff>
                    <xdr:row>114</xdr:row>
                    <xdr:rowOff>215900</xdr:rowOff>
                  </from>
                  <to>
                    <xdr:col>22</xdr:col>
                    <xdr:colOff>355600</xdr:colOff>
                    <xdr:row>116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4" r:id="rId101" name="Option Button 200">
              <controlPr defaultSize="0" autoFill="0" autoLine="0" autoPict="0" macro="[0]!Create_User_Plot">
                <anchor moveWithCells="1">
                  <from>
                    <xdr:col>22</xdr:col>
                    <xdr:colOff>368300</xdr:colOff>
                    <xdr:row>114</xdr:row>
                    <xdr:rowOff>228600</xdr:rowOff>
                  </from>
                  <to>
                    <xdr:col>23</xdr:col>
                    <xdr:colOff>800100</xdr:colOff>
                    <xdr:row>116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5" r:id="rId102" name="Option Button 201">
              <controlPr defaultSize="0" autoFill="0" autoLine="0" autoPict="0" macro="[0]!Create_User_Plot">
                <anchor moveWithCells="1">
                  <from>
                    <xdr:col>23</xdr:col>
                    <xdr:colOff>723900</xdr:colOff>
                    <xdr:row>114</xdr:row>
                    <xdr:rowOff>215900</xdr:rowOff>
                  </from>
                  <to>
                    <xdr:col>24</xdr:col>
                    <xdr:colOff>1104900</xdr:colOff>
                    <xdr:row>116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6" r:id="rId103" name="Option Button 202">
              <controlPr defaultSize="0" autoFill="0" autoLine="0" autoPict="0" macro="[0]!Create_User_Plot">
                <anchor moveWithCells="1">
                  <from>
                    <xdr:col>16</xdr:col>
                    <xdr:colOff>241300</xdr:colOff>
                    <xdr:row>116</xdr:row>
                    <xdr:rowOff>228600</xdr:rowOff>
                  </from>
                  <to>
                    <xdr:col>17</xdr:col>
                    <xdr:colOff>63500</xdr:colOff>
                    <xdr:row>118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7" r:id="rId104" name="Option Button 203">
              <controlPr defaultSize="0" autoFill="0" autoLine="0" autoPict="0" macro="[0]!Create_User_Plot">
                <anchor moveWithCells="1">
                  <from>
                    <xdr:col>17</xdr:col>
                    <xdr:colOff>88900</xdr:colOff>
                    <xdr:row>116</xdr:row>
                    <xdr:rowOff>215900</xdr:rowOff>
                  </from>
                  <to>
                    <xdr:col>17</xdr:col>
                    <xdr:colOff>1612900</xdr:colOff>
                    <xdr:row>118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8" r:id="rId105" name="Option Button 204">
              <controlPr defaultSize="0" autoFill="0" autoLine="0" autoPict="0" macro="[0]!Create_User_Plot">
                <anchor moveWithCells="1">
                  <from>
                    <xdr:col>18</xdr:col>
                    <xdr:colOff>101600</xdr:colOff>
                    <xdr:row>116</xdr:row>
                    <xdr:rowOff>215900</xdr:rowOff>
                  </from>
                  <to>
                    <xdr:col>19</xdr:col>
                    <xdr:colOff>203200</xdr:colOff>
                    <xdr:row>118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" r:id="rId106" name="Option Button 205">
              <controlPr defaultSize="0" autoFill="0" autoLine="0" autoPict="0" macro="[0]!Create_User_Plot">
                <anchor moveWithCells="1">
                  <from>
                    <xdr:col>19</xdr:col>
                    <xdr:colOff>25400</xdr:colOff>
                    <xdr:row>116</xdr:row>
                    <xdr:rowOff>228600</xdr:rowOff>
                  </from>
                  <to>
                    <xdr:col>20</xdr:col>
                    <xdr:colOff>190500</xdr:colOff>
                    <xdr:row>118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0" r:id="rId107" name="Group Box 86">
              <controlPr defaultSize="0" autoFill="0" autoPict="0" macro="[0]!Create_User_Plot">
                <anchor moveWithCells="1">
                  <from>
                    <xdr:col>16</xdr:col>
                    <xdr:colOff>127000</xdr:colOff>
                    <xdr:row>113</xdr:row>
                    <xdr:rowOff>203200</xdr:rowOff>
                  </from>
                  <to>
                    <xdr:col>25</xdr:col>
                    <xdr:colOff>482600</xdr:colOff>
                    <xdr:row>119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" r:id="rId108" name="Option Button 206">
              <controlPr defaultSize="0" autoFill="0" autoLine="0" autoPict="0" macro="[0]!Create_User_Plot">
                <anchor moveWithCells="1">
                  <from>
                    <xdr:col>20</xdr:col>
                    <xdr:colOff>25400</xdr:colOff>
                    <xdr:row>116</xdr:row>
                    <xdr:rowOff>228600</xdr:rowOff>
                  </from>
                  <to>
                    <xdr:col>21</xdr:col>
                    <xdr:colOff>127000</xdr:colOff>
                    <xdr:row>118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" r:id="rId109" name="Option Button 208">
              <controlPr defaultSize="0" autoFill="0" autoLine="0" autoPict="0" macro="[0]!Create_User_Plot">
                <anchor moveWithCells="1">
                  <from>
                    <xdr:col>21</xdr:col>
                    <xdr:colOff>12700</xdr:colOff>
                    <xdr:row>116</xdr:row>
                    <xdr:rowOff>228600</xdr:rowOff>
                  </from>
                  <to>
                    <xdr:col>22</xdr:col>
                    <xdr:colOff>355600</xdr:colOff>
                    <xdr:row>118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" r:id="rId110" name="Group Box 210">
              <controlPr defaultSize="0" autoFill="0" autoPict="0">
                <anchor moveWithCells="1">
                  <from>
                    <xdr:col>16</xdr:col>
                    <xdr:colOff>25400</xdr:colOff>
                    <xdr:row>120</xdr:row>
                    <xdr:rowOff>101600</xdr:rowOff>
                  </from>
                  <to>
                    <xdr:col>20</xdr:col>
                    <xdr:colOff>0</xdr:colOff>
                    <xdr:row>122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" r:id="rId111" name="Option Button 211">
              <controlPr defaultSize="0" autoFill="0" autoLine="0" autoPict="0" macro="[0]!Create_User_Plot">
                <anchor moveWithCells="1">
                  <from>
                    <xdr:col>16</xdr:col>
                    <xdr:colOff>139700</xdr:colOff>
                    <xdr:row>120</xdr:row>
                    <xdr:rowOff>203200</xdr:rowOff>
                  </from>
                  <to>
                    <xdr:col>16</xdr:col>
                    <xdr:colOff>977900</xdr:colOff>
                    <xdr:row>122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7" r:id="rId112" name="Option Button 213">
              <controlPr defaultSize="0" autoFill="0" autoLine="0" autoPict="0" macro="[0]!Create_User_Plot">
                <anchor moveWithCells="1">
                  <from>
                    <xdr:col>16</xdr:col>
                    <xdr:colOff>977900</xdr:colOff>
                    <xdr:row>120</xdr:row>
                    <xdr:rowOff>215900</xdr:rowOff>
                  </from>
                  <to>
                    <xdr:col>17</xdr:col>
                    <xdr:colOff>50800</xdr:colOff>
                    <xdr:row>122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8" r:id="rId113" name="Option Button 214">
              <controlPr defaultSize="0" autoFill="0" autoLine="0" autoPict="0" macro="[0]!Create_User_Plot">
                <anchor moveWithCells="1">
                  <from>
                    <xdr:col>17</xdr:col>
                    <xdr:colOff>38100</xdr:colOff>
                    <xdr:row>120</xdr:row>
                    <xdr:rowOff>203200</xdr:rowOff>
                  </from>
                  <to>
                    <xdr:col>17</xdr:col>
                    <xdr:colOff>1574800</xdr:colOff>
                    <xdr:row>122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9" r:id="rId114" name="Option Button 215">
              <controlPr defaultSize="0" autoFill="0" autoLine="0" autoPict="0" macro="[0]!Create_User_Plot">
                <anchor moveWithCells="1">
                  <from>
                    <xdr:col>18</xdr:col>
                    <xdr:colOff>25400</xdr:colOff>
                    <xdr:row>120</xdr:row>
                    <xdr:rowOff>203200</xdr:rowOff>
                  </from>
                  <to>
                    <xdr:col>19</xdr:col>
                    <xdr:colOff>139700</xdr:colOff>
                    <xdr:row>122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" r:id="rId115" name="Check Box 217">
              <controlPr defaultSize="0" autoFill="0" autoLine="0" autoPict="0" altText="SDC Pod Cost">
                <anchor moveWithCells="1">
                  <from>
                    <xdr:col>14</xdr:col>
                    <xdr:colOff>76200</xdr:colOff>
                    <xdr:row>105</xdr:row>
                    <xdr:rowOff>25400</xdr:rowOff>
                  </from>
                  <to>
                    <xdr:col>14</xdr:col>
                    <xdr:colOff>2019300</xdr:colOff>
                    <xdr:row>106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" r:id="rId116" name="Option Button 218">
              <controlPr defaultSize="0" autoFill="0" autoLine="0" autoPict="0" macro="[0]!Create_User_Plot">
                <anchor moveWithCells="1">
                  <from>
                    <xdr:col>18</xdr:col>
                    <xdr:colOff>1244600</xdr:colOff>
                    <xdr:row>120</xdr:row>
                    <xdr:rowOff>203200</xdr:rowOff>
                  </from>
                  <to>
                    <xdr:col>19</xdr:col>
                    <xdr:colOff>876300</xdr:colOff>
                    <xdr:row>122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3D564-C53F-A243-A1FF-3653F999BA1C}">
  <sheetPr codeName="Sheet8"/>
  <dimension ref="A1:T160"/>
  <sheetViews>
    <sheetView topLeftCell="A114" zoomScale="70" zoomScaleNormal="70" workbookViewId="0">
      <selection activeCell="O9" sqref="O9"/>
    </sheetView>
  </sheetViews>
  <sheetFormatPr baseColWidth="10" defaultColWidth="10.83203125" defaultRowHeight="21"/>
  <cols>
    <col min="1" max="1" width="52.1640625" style="66" customWidth="1"/>
    <col min="2" max="2" width="19" style="66" customWidth="1"/>
    <col min="3" max="3" width="18.83203125" style="66" customWidth="1"/>
    <col min="4" max="4" width="19" style="66" customWidth="1"/>
    <col min="5" max="6" width="17.33203125" style="66" customWidth="1"/>
    <col min="7" max="7" width="22" style="66" customWidth="1"/>
    <col min="8" max="8" width="11.83203125" style="66" customWidth="1"/>
    <col min="9" max="9" width="42" style="66" customWidth="1"/>
    <col min="10" max="10" width="4.5" style="66" customWidth="1"/>
    <col min="11" max="11" width="46.1640625" style="66" customWidth="1"/>
    <col min="12" max="12" width="128.5" style="66" customWidth="1"/>
    <col min="13" max="13" width="119.1640625" style="66" customWidth="1"/>
    <col min="14" max="14" width="117" style="66" customWidth="1"/>
    <col min="15" max="15" width="106.6640625" style="66" customWidth="1"/>
    <col min="16" max="16" width="98.6640625" style="66" customWidth="1"/>
    <col min="17" max="17" width="23.1640625" style="66" customWidth="1"/>
    <col min="18" max="18" width="21" style="66" customWidth="1"/>
    <col min="19" max="19" width="10.83203125" style="66"/>
    <col min="20" max="20" width="48.1640625" style="66" customWidth="1"/>
    <col min="21" max="16384" width="10.83203125" style="66"/>
  </cols>
  <sheetData>
    <row r="1" spans="1:20" customFormat="1" ht="46" customHeight="1">
      <c r="B1" s="66"/>
      <c r="C1" s="66"/>
      <c r="D1" s="66"/>
      <c r="E1" s="66"/>
      <c r="F1" s="66"/>
      <c r="G1" s="66"/>
      <c r="H1" s="66"/>
      <c r="I1" s="66"/>
      <c r="J1" s="66"/>
      <c r="K1" s="65"/>
      <c r="L1" s="272" t="s">
        <v>1228</v>
      </c>
      <c r="M1" s="65"/>
      <c r="N1" s="65"/>
      <c r="O1" s="65"/>
      <c r="P1" s="65"/>
      <c r="Q1" s="65"/>
      <c r="R1" s="65"/>
      <c r="S1" s="65"/>
      <c r="T1" s="65"/>
    </row>
    <row r="3" spans="1:20">
      <c r="K3" s="4"/>
    </row>
    <row r="4" spans="1:20">
      <c r="L4" s="4" t="s">
        <v>1229</v>
      </c>
    </row>
    <row r="5" spans="1:20">
      <c r="L5" s="66" t="s">
        <v>1230</v>
      </c>
    </row>
    <row r="6" spans="1:20">
      <c r="L6" s="66" t="s">
        <v>1233</v>
      </c>
    </row>
    <row r="7" spans="1:20">
      <c r="C7" s="66" t="s">
        <v>1202</v>
      </c>
      <c r="L7" s="66" t="s">
        <v>1231</v>
      </c>
    </row>
    <row r="8" spans="1:20">
      <c r="C8" s="66" t="s">
        <v>1203</v>
      </c>
      <c r="L8" s="66" t="s">
        <v>1232</v>
      </c>
    </row>
    <row r="9" spans="1:20">
      <c r="C9" s="66" t="s">
        <v>1204</v>
      </c>
    </row>
    <row r="15" spans="1:20">
      <c r="K15" s="4"/>
      <c r="O15"/>
      <c r="P15"/>
    </row>
    <row r="16" spans="1:20" ht="26">
      <c r="A16" s="61" t="s">
        <v>1153</v>
      </c>
      <c r="B16" s="65" t="s">
        <v>44</v>
      </c>
      <c r="C16" s="65" t="s">
        <v>45</v>
      </c>
      <c r="D16" s="65" t="s">
        <v>46</v>
      </c>
      <c r="E16" s="65" t="s">
        <v>47</v>
      </c>
      <c r="F16" s="65" t="s">
        <v>48</v>
      </c>
      <c r="G16" s="65" t="s">
        <v>49</v>
      </c>
      <c r="H16" s="65" t="s">
        <v>326</v>
      </c>
      <c r="I16" s="65" t="s">
        <v>53</v>
      </c>
      <c r="L16" s="61" t="s">
        <v>1255</v>
      </c>
      <c r="M16" s="61" t="s">
        <v>1256</v>
      </c>
      <c r="N16" s="61" t="s">
        <v>1282</v>
      </c>
      <c r="O16" s="61" t="s">
        <v>1329</v>
      </c>
      <c r="P16" s="61" t="s">
        <v>1330</v>
      </c>
    </row>
    <row r="17" spans="1:16">
      <c r="A17" s="251"/>
      <c r="B17" s="259"/>
      <c r="C17" s="250"/>
      <c r="D17" s="250"/>
      <c r="E17" s="250"/>
      <c r="F17" s="251"/>
      <c r="G17" s="259"/>
      <c r="H17" s="259"/>
      <c r="I17" s="259"/>
      <c r="J17" s="259"/>
      <c r="N17" s="66" t="s">
        <v>1307</v>
      </c>
    </row>
    <row r="18" spans="1:16">
      <c r="A18" s="66" t="s">
        <v>1188</v>
      </c>
      <c r="B18" s="250">
        <v>2032</v>
      </c>
      <c r="C18" s="66">
        <v>2034</v>
      </c>
      <c r="D18" s="250">
        <v>2040</v>
      </c>
      <c r="E18" s="66">
        <v>2032</v>
      </c>
      <c r="F18" s="250">
        <v>2030</v>
      </c>
      <c r="G18" s="66">
        <v>2030</v>
      </c>
      <c r="J18" s="259"/>
      <c r="L18" s="66" t="s">
        <v>1234</v>
      </c>
      <c r="M18" s="66" t="s">
        <v>1257</v>
      </c>
      <c r="N18" s="66" t="s">
        <v>1283</v>
      </c>
      <c r="O18" s="66" t="s">
        <v>1663</v>
      </c>
    </row>
    <row r="19" spans="1:16">
      <c r="A19"/>
      <c r="B19" s="251"/>
      <c r="C19"/>
      <c r="D19" s="251"/>
      <c r="E19"/>
      <c r="F19" s="251"/>
      <c r="G19"/>
      <c r="J19" s="259"/>
    </row>
    <row r="20" spans="1:16" s="68" customFormat="1">
      <c r="A20" s="68" t="s">
        <v>4</v>
      </c>
      <c r="B20" s="68">
        <v>25.2</v>
      </c>
      <c r="C20" s="68">
        <v>25.2</v>
      </c>
      <c r="D20" s="68">
        <v>3</v>
      </c>
      <c r="E20" s="68">
        <v>50</v>
      </c>
      <c r="F20" s="68">
        <v>100</v>
      </c>
      <c r="G20" s="68">
        <v>10</v>
      </c>
      <c r="H20" s="68" t="s">
        <v>5</v>
      </c>
      <c r="I20" s="274"/>
      <c r="J20" s="275"/>
      <c r="L20" s="68" t="s">
        <v>1254</v>
      </c>
      <c r="M20" s="68" t="s">
        <v>1259</v>
      </c>
      <c r="N20" s="68" t="s">
        <v>1284</v>
      </c>
    </row>
    <row r="21" spans="1:16">
      <c r="B21" s="250"/>
      <c r="D21" s="250"/>
      <c r="F21" s="250"/>
      <c r="J21" s="259"/>
      <c r="L21" s="66" t="s">
        <v>1235</v>
      </c>
      <c r="M21" s="66" t="s">
        <v>1258</v>
      </c>
      <c r="O21"/>
      <c r="P21"/>
    </row>
    <row r="22" spans="1:16" s="68" customFormat="1">
      <c r="A22" s="68" t="s">
        <v>9</v>
      </c>
      <c r="B22" s="68">
        <v>40</v>
      </c>
      <c r="C22" s="68">
        <v>40</v>
      </c>
      <c r="D22" s="68">
        <v>60</v>
      </c>
      <c r="E22" s="68">
        <v>20</v>
      </c>
      <c r="F22" s="68">
        <v>20</v>
      </c>
      <c r="G22" s="68">
        <v>20</v>
      </c>
      <c r="H22" s="68" t="s">
        <v>1186</v>
      </c>
      <c r="I22" s="274"/>
      <c r="J22" s="275"/>
      <c r="N22" s="68" t="s">
        <v>1285</v>
      </c>
    </row>
    <row r="23" spans="1:16">
      <c r="B23" s="250"/>
      <c r="D23" s="250"/>
      <c r="F23" s="250"/>
      <c r="J23" s="259"/>
    </row>
    <row r="24" spans="1:16" s="68" customFormat="1" ht="23" customHeight="1">
      <c r="A24" s="68" t="s">
        <v>11</v>
      </c>
      <c r="B24" s="68">
        <v>235</v>
      </c>
      <c r="C24" s="68">
        <v>235</v>
      </c>
      <c r="D24" s="68">
        <v>235</v>
      </c>
      <c r="E24" s="68">
        <v>235</v>
      </c>
      <c r="F24" s="68">
        <v>1000</v>
      </c>
      <c r="G24" s="68">
        <v>50</v>
      </c>
      <c r="H24" s="68" t="s">
        <v>12</v>
      </c>
      <c r="I24" s="68" t="s">
        <v>1187</v>
      </c>
      <c r="J24" s="275"/>
      <c r="L24" s="68" t="s">
        <v>1236</v>
      </c>
      <c r="M24" s="68" t="s">
        <v>1260</v>
      </c>
      <c r="N24" s="68" t="s">
        <v>1286</v>
      </c>
    </row>
    <row r="25" spans="1:16">
      <c r="A25" s="186"/>
      <c r="B25" s="252"/>
      <c r="C25" s="187"/>
      <c r="D25" s="252"/>
      <c r="E25" s="187"/>
      <c r="F25" s="252"/>
      <c r="G25" s="187"/>
      <c r="H25" s="186"/>
      <c r="I25" s="184"/>
      <c r="J25" s="259"/>
      <c r="K25" s="4"/>
      <c r="M25" s="66" t="s">
        <v>1261</v>
      </c>
      <c r="O25"/>
      <c r="P25"/>
    </row>
    <row r="26" spans="1:16">
      <c r="A26" s="186"/>
      <c r="B26" s="252"/>
      <c r="C26" s="187"/>
      <c r="D26" s="252"/>
      <c r="E26" s="187"/>
      <c r="F26" s="252"/>
      <c r="G26" s="187"/>
      <c r="H26" s="186"/>
      <c r="I26" s="184"/>
      <c r="J26" s="259"/>
    </row>
    <row r="27" spans="1:16">
      <c r="A27"/>
      <c r="B27" s="251"/>
      <c r="C27"/>
      <c r="D27" s="251"/>
      <c r="E27"/>
      <c r="F27" s="251"/>
      <c r="G27"/>
      <c r="J27" s="259"/>
    </row>
    <row r="28" spans="1:16" s="68" customFormat="1">
      <c r="A28" s="68" t="s">
        <v>1182</v>
      </c>
      <c r="B28" s="68">
        <v>0.1</v>
      </c>
      <c r="C28" s="68">
        <v>100</v>
      </c>
      <c r="D28" s="68">
        <v>100</v>
      </c>
      <c r="E28" s="68">
        <v>0.1</v>
      </c>
      <c r="F28" s="68">
        <v>3</v>
      </c>
      <c r="G28" s="68">
        <v>3</v>
      </c>
      <c r="H28" s="68" t="s">
        <v>90</v>
      </c>
      <c r="I28" s="68" t="s">
        <v>1194</v>
      </c>
      <c r="J28" s="275"/>
      <c r="L28" s="68" t="s">
        <v>1237</v>
      </c>
      <c r="M28" s="68" t="s">
        <v>1327</v>
      </c>
      <c r="N28" s="68" t="s">
        <v>1287</v>
      </c>
      <c r="O28" s="68" t="s">
        <v>1331</v>
      </c>
    </row>
    <row r="29" spans="1:16">
      <c r="B29" s="250"/>
      <c r="D29" s="250"/>
      <c r="F29" s="250"/>
      <c r="G29" s="185"/>
      <c r="J29" s="259"/>
    </row>
    <row r="30" spans="1:16">
      <c r="A30" s="186"/>
      <c r="B30" s="252"/>
      <c r="C30" s="187"/>
      <c r="D30" s="252"/>
      <c r="E30" s="187"/>
      <c r="F30" s="252"/>
      <c r="G30" s="187"/>
      <c r="H30" s="186"/>
      <c r="J30" s="259"/>
      <c r="O30"/>
      <c r="P30"/>
    </row>
    <row r="31" spans="1:16" ht="22" customHeight="1">
      <c r="A31" s="186"/>
      <c r="B31" s="252"/>
      <c r="C31" s="187"/>
      <c r="D31" s="252"/>
      <c r="E31" s="187"/>
      <c r="F31" s="252"/>
      <c r="G31" s="187"/>
      <c r="H31" s="186"/>
      <c r="J31" s="259"/>
    </row>
    <row r="32" spans="1:16">
      <c r="A32"/>
      <c r="B32" s="251"/>
      <c r="C32"/>
      <c r="D32" s="251"/>
      <c r="E32"/>
      <c r="F32" s="251"/>
      <c r="G32"/>
      <c r="J32" s="259"/>
    </row>
    <row r="33" spans="1:14" s="68" customFormat="1">
      <c r="A33" s="68" t="s">
        <v>1189</v>
      </c>
      <c r="B33" s="276">
        <v>10</v>
      </c>
      <c r="C33" s="276">
        <v>10</v>
      </c>
      <c r="D33" s="276">
        <v>10</v>
      </c>
      <c r="E33" s="276">
        <v>10</v>
      </c>
      <c r="F33" s="276">
        <v>100</v>
      </c>
      <c r="G33" s="68">
        <v>10</v>
      </c>
      <c r="H33" s="68" t="s">
        <v>428</v>
      </c>
      <c r="I33" s="68" t="s">
        <v>1187</v>
      </c>
      <c r="J33" s="275"/>
      <c r="L33" s="68" t="s">
        <v>1238</v>
      </c>
      <c r="M33" s="68" t="s">
        <v>1262</v>
      </c>
      <c r="N33" s="68" t="s">
        <v>1288</v>
      </c>
    </row>
    <row r="34" spans="1:14">
      <c r="A34"/>
      <c r="B34" s="250"/>
      <c r="D34" s="250"/>
      <c r="F34" s="250"/>
      <c r="G34"/>
      <c r="J34" s="259"/>
    </row>
    <row r="35" spans="1:14">
      <c r="A35" s="254" t="s">
        <v>15</v>
      </c>
      <c r="B35" s="260">
        <v>91</v>
      </c>
      <c r="C35" s="254">
        <v>91</v>
      </c>
      <c r="D35" s="260">
        <v>91</v>
      </c>
      <c r="E35" s="254">
        <v>91</v>
      </c>
      <c r="F35" s="260">
        <v>91</v>
      </c>
      <c r="G35" s="254">
        <v>30</v>
      </c>
      <c r="H35" s="254" t="s">
        <v>1137</v>
      </c>
      <c r="I35" s="184" t="s">
        <v>19</v>
      </c>
      <c r="J35" s="259"/>
      <c r="K35" s="4"/>
    </row>
    <row r="36" spans="1:14">
      <c r="A36" s="254"/>
      <c r="B36" s="260"/>
      <c r="C36" s="254"/>
      <c r="D36" s="260"/>
      <c r="E36" s="254"/>
      <c r="F36" s="260"/>
      <c r="G36" s="254"/>
      <c r="H36" s="254"/>
      <c r="I36" s="184"/>
      <c r="J36" s="259"/>
    </row>
    <row r="37" spans="1:14">
      <c r="A37" s="254" t="s">
        <v>91</v>
      </c>
      <c r="B37" s="260">
        <v>1</v>
      </c>
      <c r="C37" s="254">
        <v>1</v>
      </c>
      <c r="D37" s="260">
        <v>1</v>
      </c>
      <c r="E37" s="254">
        <v>1</v>
      </c>
      <c r="F37" s="260">
        <v>1</v>
      </c>
      <c r="G37" s="254">
        <v>0</v>
      </c>
      <c r="H37" s="254" t="s">
        <v>62</v>
      </c>
      <c r="I37" s="184" t="s">
        <v>19</v>
      </c>
      <c r="J37" s="259"/>
    </row>
    <row r="38" spans="1:14">
      <c r="A38" s="254"/>
      <c r="B38" s="260"/>
      <c r="C38" s="254"/>
      <c r="D38" s="260"/>
      <c r="E38" s="254"/>
      <c r="F38" s="260"/>
      <c r="G38" s="254"/>
      <c r="H38" s="254"/>
      <c r="I38" s="184"/>
      <c r="J38" s="259"/>
    </row>
    <row r="39" spans="1:14">
      <c r="A39" s="66" t="s">
        <v>92</v>
      </c>
      <c r="B39" s="250">
        <v>1</v>
      </c>
      <c r="C39" s="66">
        <v>1</v>
      </c>
      <c r="D39" s="250">
        <v>1</v>
      </c>
      <c r="E39" s="66">
        <v>1</v>
      </c>
      <c r="F39" s="250">
        <v>1</v>
      </c>
      <c r="G39" s="66">
        <v>1</v>
      </c>
      <c r="H39" s="66" t="s">
        <v>65</v>
      </c>
      <c r="I39" s="184" t="s">
        <v>19</v>
      </c>
      <c r="J39" s="259"/>
    </row>
    <row r="40" spans="1:14" ht="23" customHeight="1">
      <c r="B40" s="250"/>
      <c r="D40" s="250"/>
      <c r="F40" s="250"/>
      <c r="G40"/>
      <c r="J40" s="259"/>
    </row>
    <row r="41" spans="1:14" s="68" customFormat="1">
      <c r="A41" s="68" t="s">
        <v>93</v>
      </c>
      <c r="B41" s="68">
        <v>10</v>
      </c>
      <c r="C41" s="68">
        <v>10</v>
      </c>
      <c r="D41" s="68">
        <v>10</v>
      </c>
      <c r="E41" s="68">
        <v>10</v>
      </c>
      <c r="F41" s="68">
        <v>5</v>
      </c>
      <c r="G41" s="68">
        <v>1</v>
      </c>
      <c r="H41" s="68" t="s">
        <v>31</v>
      </c>
      <c r="I41" s="68" t="s">
        <v>76</v>
      </c>
      <c r="J41" s="275"/>
      <c r="M41" s="68" t="s">
        <v>1263</v>
      </c>
      <c r="N41" s="68" t="s">
        <v>1289</v>
      </c>
    </row>
    <row r="42" spans="1:14">
      <c r="A42" s="254"/>
      <c r="B42" s="260"/>
      <c r="C42" s="254"/>
      <c r="D42" s="260"/>
      <c r="E42" s="254"/>
      <c r="F42" s="260"/>
      <c r="G42" s="254"/>
      <c r="H42" s="254"/>
      <c r="I42" s="184"/>
      <c r="J42" s="259"/>
    </row>
    <row r="43" spans="1:14">
      <c r="A43" s="254" t="s">
        <v>75</v>
      </c>
      <c r="B43" s="260">
        <v>3</v>
      </c>
      <c r="C43" s="254">
        <v>3</v>
      </c>
      <c r="D43" s="260">
        <v>3</v>
      </c>
      <c r="E43" s="254">
        <v>3</v>
      </c>
      <c r="F43" s="260">
        <v>3</v>
      </c>
      <c r="G43" s="254">
        <v>3</v>
      </c>
      <c r="H43" s="254" t="s">
        <v>31</v>
      </c>
      <c r="I43" s="184" t="s">
        <v>19</v>
      </c>
      <c r="J43" s="259"/>
    </row>
    <row r="44" spans="1:14">
      <c r="A44" s="254"/>
      <c r="B44" s="260"/>
      <c r="C44" s="254"/>
      <c r="D44" s="260"/>
      <c r="E44" s="254"/>
      <c r="F44" s="260"/>
      <c r="G44" s="254"/>
      <c r="H44" s="254"/>
      <c r="I44" s="254"/>
      <c r="J44" s="259"/>
    </row>
    <row r="45" spans="1:14">
      <c r="A45" s="254" t="s">
        <v>79</v>
      </c>
      <c r="B45" s="260">
        <v>0.5</v>
      </c>
      <c r="C45" s="254">
        <v>0.5</v>
      </c>
      <c r="D45" s="260">
        <v>0.5</v>
      </c>
      <c r="E45" s="254">
        <v>0.5</v>
      </c>
      <c r="F45" s="260">
        <v>0.5</v>
      </c>
      <c r="G45" s="254">
        <v>0.5</v>
      </c>
      <c r="H45" s="254" t="s">
        <v>31</v>
      </c>
      <c r="I45" s="184" t="s">
        <v>19</v>
      </c>
      <c r="J45" s="259"/>
    </row>
    <row r="46" spans="1:14">
      <c r="B46" s="250"/>
      <c r="D46" s="250"/>
      <c r="F46" s="250"/>
      <c r="J46" s="259"/>
    </row>
    <row r="47" spans="1:14">
      <c r="A47" s="184" t="s">
        <v>18</v>
      </c>
      <c r="B47" s="253">
        <v>1</v>
      </c>
      <c r="C47" s="184">
        <v>1</v>
      </c>
      <c r="D47" s="253">
        <v>1</v>
      </c>
      <c r="E47" s="184">
        <v>1</v>
      </c>
      <c r="F47" s="253">
        <v>2</v>
      </c>
      <c r="G47" s="184">
        <v>1</v>
      </c>
      <c r="I47" s="184" t="s">
        <v>19</v>
      </c>
      <c r="J47" s="259"/>
    </row>
    <row r="48" spans="1:14">
      <c r="B48" s="250"/>
      <c r="D48" s="250"/>
      <c r="F48" s="250"/>
      <c r="J48" s="259"/>
      <c r="K48" s="4"/>
    </row>
    <row r="49" spans="1:18">
      <c r="A49"/>
      <c r="B49" s="251"/>
      <c r="C49"/>
      <c r="D49" s="251"/>
      <c r="E49"/>
      <c r="F49" s="251"/>
      <c r="G49"/>
      <c r="J49" s="259"/>
    </row>
    <row r="50" spans="1:18">
      <c r="A50"/>
      <c r="B50" s="251"/>
      <c r="C50"/>
      <c r="D50" s="251"/>
      <c r="E50"/>
      <c r="F50" s="251"/>
      <c r="G50"/>
      <c r="J50" s="259"/>
    </row>
    <row r="51" spans="1:18" ht="29">
      <c r="A51" s="190" t="s">
        <v>1196</v>
      </c>
      <c r="B51" s="251"/>
      <c r="C51"/>
      <c r="D51" s="251"/>
      <c r="E51"/>
      <c r="F51" s="251"/>
      <c r="G51"/>
      <c r="J51" s="259"/>
    </row>
    <row r="52" spans="1:18">
      <c r="A52"/>
      <c r="B52" s="251"/>
      <c r="C52"/>
      <c r="D52" s="251"/>
      <c r="E52"/>
      <c r="F52" s="251"/>
      <c r="G52"/>
      <c r="H52"/>
      <c r="I52"/>
      <c r="J52" s="259"/>
    </row>
    <row r="53" spans="1:18">
      <c r="A53" s="4" t="s">
        <v>80</v>
      </c>
      <c r="B53" s="251"/>
      <c r="C53"/>
      <c r="D53" s="251"/>
      <c r="E53"/>
      <c r="F53" s="251"/>
      <c r="G53"/>
      <c r="J53" s="259"/>
    </row>
    <row r="54" spans="1:18">
      <c r="A54"/>
      <c r="B54" s="259"/>
      <c r="C54" s="4"/>
      <c r="D54" s="259"/>
      <c r="E54" s="4"/>
      <c r="F54" s="259"/>
      <c r="G54" s="4"/>
      <c r="H54" s="4"/>
      <c r="I54" s="4"/>
      <c r="J54" s="259"/>
      <c r="K54" s="4"/>
      <c r="L54" s="1"/>
      <c r="M54" s="1"/>
    </row>
    <row r="55" spans="1:18" s="68" customFormat="1">
      <c r="A55" s="68" t="s">
        <v>27</v>
      </c>
      <c r="B55" s="277" t="s">
        <v>1207</v>
      </c>
      <c r="C55" s="277" t="s">
        <v>1139</v>
      </c>
      <c r="D55" s="277" t="s">
        <v>1208</v>
      </c>
      <c r="E55" s="277" t="s">
        <v>1207</v>
      </c>
      <c r="F55" s="277" t="s">
        <v>1207</v>
      </c>
      <c r="G55" s="277" t="s">
        <v>1207</v>
      </c>
      <c r="I55" s="274" t="s">
        <v>1146</v>
      </c>
      <c r="J55" s="275"/>
      <c r="K55" s="275"/>
      <c r="L55" s="68" t="s">
        <v>1239</v>
      </c>
      <c r="M55" s="68" t="s">
        <v>1264</v>
      </c>
      <c r="N55" s="68" t="s">
        <v>1290</v>
      </c>
      <c r="O55" s="68" t="s">
        <v>1332</v>
      </c>
    </row>
    <row r="56" spans="1:18">
      <c r="B56" s="250"/>
      <c r="D56" s="250"/>
      <c r="F56" s="250"/>
      <c r="J56" s="259"/>
      <c r="Q56" s="185"/>
      <c r="R56" s="185"/>
    </row>
    <row r="57" spans="1:18" s="68" customFormat="1">
      <c r="A57" s="68" t="s">
        <v>1138</v>
      </c>
      <c r="B57" s="68">
        <v>11</v>
      </c>
      <c r="C57" s="68">
        <v>0</v>
      </c>
      <c r="D57" s="68">
        <v>1</v>
      </c>
      <c r="E57" s="68">
        <v>11</v>
      </c>
      <c r="F57" s="68">
        <v>11</v>
      </c>
      <c r="G57" s="68">
        <v>11</v>
      </c>
      <c r="J57" s="275"/>
      <c r="L57" s="68" t="s">
        <v>1240</v>
      </c>
      <c r="M57" s="68" t="s">
        <v>1264</v>
      </c>
      <c r="N57" s="68" t="s">
        <v>1291</v>
      </c>
      <c r="O57" s="68" t="s">
        <v>1333</v>
      </c>
      <c r="Q57" s="273"/>
      <c r="R57" s="273"/>
    </row>
    <row r="58" spans="1:18">
      <c r="B58" s="250"/>
      <c r="D58" s="250"/>
      <c r="F58" s="250"/>
      <c r="J58" s="259"/>
      <c r="Q58" s="185"/>
      <c r="R58" s="185"/>
    </row>
    <row r="59" spans="1:18" s="68" customFormat="1">
      <c r="A59" s="68" t="s">
        <v>1143</v>
      </c>
      <c r="B59" s="68">
        <v>10</v>
      </c>
      <c r="C59" s="68">
        <v>0</v>
      </c>
      <c r="D59" s="68">
        <v>1</v>
      </c>
      <c r="E59" s="68">
        <v>10</v>
      </c>
      <c r="F59" s="68">
        <v>10</v>
      </c>
      <c r="G59" s="68">
        <v>10</v>
      </c>
      <c r="J59" s="275"/>
      <c r="K59" s="275"/>
      <c r="L59" s="68" t="s">
        <v>1240</v>
      </c>
      <c r="M59" s="68" t="s">
        <v>1264</v>
      </c>
      <c r="N59" s="68" t="s">
        <v>1292</v>
      </c>
      <c r="O59" s="68" t="s">
        <v>1333</v>
      </c>
      <c r="Q59" s="273"/>
      <c r="R59" s="273"/>
    </row>
    <row r="60" spans="1:18">
      <c r="B60" s="250"/>
      <c r="D60" s="250"/>
      <c r="F60" s="250"/>
      <c r="J60" s="259"/>
      <c r="Q60" s="185"/>
      <c r="R60" s="185"/>
    </row>
    <row r="61" spans="1:18" s="68" customFormat="1">
      <c r="A61" s="68" t="s">
        <v>28</v>
      </c>
      <c r="B61" s="68">
        <v>800</v>
      </c>
      <c r="C61" s="68">
        <v>800</v>
      </c>
      <c r="D61" s="68">
        <v>0</v>
      </c>
      <c r="E61" s="68">
        <v>800</v>
      </c>
      <c r="F61" s="68">
        <v>800</v>
      </c>
      <c r="G61" s="68">
        <v>800</v>
      </c>
      <c r="H61" s="68" t="s">
        <v>29</v>
      </c>
      <c r="J61" s="275"/>
      <c r="L61" s="68" t="s">
        <v>1241</v>
      </c>
      <c r="M61" s="68" t="s">
        <v>1275</v>
      </c>
      <c r="N61" s="68" t="s">
        <v>1293</v>
      </c>
      <c r="Q61" s="273"/>
      <c r="R61" s="273"/>
    </row>
    <row r="62" spans="1:18">
      <c r="B62" s="250"/>
      <c r="D62" s="250"/>
      <c r="F62" s="250"/>
      <c r="J62" s="259"/>
      <c r="K62" s="4"/>
      <c r="Q62" s="185"/>
      <c r="R62" s="185"/>
    </row>
    <row r="63" spans="1:18">
      <c r="A63" s="186"/>
      <c r="B63" s="249"/>
      <c r="C63" s="186"/>
      <c r="D63" s="249"/>
      <c r="E63" s="186"/>
      <c r="F63" s="249"/>
      <c r="G63" s="186"/>
      <c r="H63" s="186"/>
      <c r="J63" s="259"/>
      <c r="Q63" s="185"/>
      <c r="R63" s="185"/>
    </row>
    <row r="64" spans="1:18" ht="22" customHeight="1">
      <c r="A64" s="186"/>
      <c r="B64" s="249"/>
      <c r="C64" s="186"/>
      <c r="D64" s="249"/>
      <c r="E64" s="186"/>
      <c r="F64" s="249"/>
      <c r="G64" s="186"/>
      <c r="H64" s="186"/>
      <c r="I64" s="186"/>
      <c r="J64" s="259"/>
      <c r="Q64" s="185"/>
      <c r="R64" s="185"/>
    </row>
    <row r="65" spans="1:19">
      <c r="A65" s="186"/>
      <c r="B65" s="252"/>
      <c r="C65" s="187"/>
      <c r="D65" s="252"/>
      <c r="E65" s="187"/>
      <c r="F65" s="252"/>
      <c r="G65" s="187"/>
      <c r="H65" s="186"/>
      <c r="I65" s="186"/>
      <c r="J65" s="259"/>
    </row>
    <row r="66" spans="1:19">
      <c r="A66"/>
      <c r="B66" s="251"/>
      <c r="C66"/>
      <c r="D66" s="251"/>
      <c r="E66"/>
      <c r="F66" s="251"/>
      <c r="G66"/>
      <c r="J66" s="259"/>
      <c r="Q66" s="185"/>
      <c r="R66" s="185"/>
    </row>
    <row r="67" spans="1:19" s="68" customFormat="1">
      <c r="A67" s="68" t="s">
        <v>1141</v>
      </c>
      <c r="B67" s="68">
        <v>0</v>
      </c>
      <c r="C67" s="68">
        <v>1</v>
      </c>
      <c r="D67" s="68">
        <v>1</v>
      </c>
      <c r="E67" s="68">
        <v>0</v>
      </c>
      <c r="F67" s="68">
        <v>0</v>
      </c>
      <c r="G67" s="68">
        <v>0</v>
      </c>
      <c r="I67" s="68" t="s">
        <v>1142</v>
      </c>
      <c r="J67" s="275"/>
      <c r="L67" s="68" t="s">
        <v>1242</v>
      </c>
      <c r="N67" s="68" t="s">
        <v>1294</v>
      </c>
    </row>
    <row r="68" spans="1:19">
      <c r="A68"/>
      <c r="B68" s="251"/>
      <c r="C68"/>
      <c r="D68" s="251"/>
      <c r="E68"/>
      <c r="F68" s="251"/>
      <c r="G68"/>
      <c r="J68" s="259"/>
      <c r="K68" s="4"/>
      <c r="L68" s="4"/>
      <c r="M68" s="4"/>
      <c r="N68" s="4"/>
      <c r="O68" s="4"/>
      <c r="P68" s="4"/>
      <c r="Q68" s="4"/>
      <c r="R68" s="4"/>
      <c r="S68" s="4"/>
    </row>
    <row r="69" spans="1:19" s="68" customFormat="1">
      <c r="A69" s="68" t="s">
        <v>1145</v>
      </c>
      <c r="B69" s="68">
        <v>0</v>
      </c>
      <c r="C69" s="68">
        <v>3</v>
      </c>
      <c r="D69" s="68">
        <v>1</v>
      </c>
      <c r="E69" s="68">
        <v>0</v>
      </c>
      <c r="F69" s="68">
        <v>0</v>
      </c>
      <c r="G69" s="68">
        <v>0</v>
      </c>
      <c r="J69" s="275"/>
      <c r="K69" s="275"/>
      <c r="L69" s="68" t="s">
        <v>1243</v>
      </c>
      <c r="M69" s="68" t="s">
        <v>1265</v>
      </c>
      <c r="N69" s="68" t="s">
        <v>1295</v>
      </c>
    </row>
    <row r="70" spans="1:19">
      <c r="B70" s="250"/>
      <c r="D70" s="250"/>
      <c r="F70" s="250"/>
      <c r="J70" s="259"/>
      <c r="K70" s="4"/>
    </row>
    <row r="71" spans="1:19">
      <c r="A71" s="66" t="s">
        <v>85</v>
      </c>
      <c r="B71" s="250">
        <v>35800</v>
      </c>
      <c r="C71" s="66">
        <v>35800</v>
      </c>
      <c r="D71" s="68">
        <v>61347</v>
      </c>
      <c r="E71" s="66">
        <v>35800</v>
      </c>
      <c r="F71" s="250">
        <v>35800</v>
      </c>
      <c r="G71" s="66">
        <v>35800</v>
      </c>
      <c r="H71" s="66" t="s">
        <v>29</v>
      </c>
      <c r="I71" s="66" t="s">
        <v>1142</v>
      </c>
      <c r="J71" s="259"/>
      <c r="Q71" s="185"/>
      <c r="R71" s="185"/>
    </row>
    <row r="72" spans="1:19">
      <c r="B72" s="250"/>
      <c r="D72" s="250"/>
      <c r="F72" s="250"/>
      <c r="J72" s="259"/>
      <c r="Q72" s="185"/>
      <c r="R72" s="185"/>
    </row>
    <row r="73" spans="1:19" s="68" customFormat="1">
      <c r="A73" s="68" t="s">
        <v>1195</v>
      </c>
      <c r="B73" s="68">
        <v>1</v>
      </c>
      <c r="C73" s="68">
        <v>5</v>
      </c>
      <c r="D73" s="68">
        <v>20</v>
      </c>
      <c r="E73" s="68">
        <v>5</v>
      </c>
      <c r="F73" s="68">
        <v>6</v>
      </c>
      <c r="G73" s="68">
        <v>5</v>
      </c>
      <c r="I73" s="68" t="s">
        <v>30</v>
      </c>
      <c r="J73" s="275"/>
      <c r="K73" s="278"/>
      <c r="L73" s="68" t="s">
        <v>1244</v>
      </c>
      <c r="M73" s="68" t="s">
        <v>1266</v>
      </c>
      <c r="N73" s="68" t="s">
        <v>1296</v>
      </c>
      <c r="Q73" s="278"/>
      <c r="R73" s="278"/>
      <c r="S73" s="278"/>
    </row>
    <row r="74" spans="1:19">
      <c r="B74" s="250"/>
      <c r="D74" s="250"/>
      <c r="F74" s="250"/>
      <c r="J74" s="259"/>
      <c r="M74" s="66" t="s">
        <v>1281</v>
      </c>
      <c r="Q74" s="185"/>
      <c r="R74" s="185"/>
    </row>
    <row r="75" spans="1:19" s="68" customFormat="1">
      <c r="A75" s="68" t="s">
        <v>99</v>
      </c>
      <c r="B75" s="68">
        <v>1</v>
      </c>
      <c r="C75" s="68">
        <v>1</v>
      </c>
      <c r="D75" s="68">
        <v>1</v>
      </c>
      <c r="E75" s="68">
        <v>1</v>
      </c>
      <c r="F75" s="68">
        <v>1</v>
      </c>
      <c r="G75" s="68">
        <v>1</v>
      </c>
      <c r="H75" s="68" t="s">
        <v>65</v>
      </c>
      <c r="J75" s="275"/>
      <c r="K75" s="278"/>
      <c r="L75" s="68" t="s">
        <v>1245</v>
      </c>
      <c r="M75" s="68" t="s">
        <v>1267</v>
      </c>
      <c r="N75" s="68" t="s">
        <v>1297</v>
      </c>
      <c r="Q75" s="278"/>
      <c r="R75" s="278"/>
      <c r="S75" s="278"/>
    </row>
    <row r="76" spans="1:19">
      <c r="B76" s="250"/>
      <c r="D76" s="250"/>
      <c r="F76" s="250"/>
      <c r="J76" s="259"/>
      <c r="K76" s="186"/>
      <c r="L76" s="248"/>
      <c r="M76" s="248"/>
      <c r="N76" s="248"/>
      <c r="O76" s="248"/>
      <c r="P76" s="248"/>
      <c r="Q76" s="187"/>
      <c r="R76" s="187"/>
      <c r="S76" s="186"/>
    </row>
    <row r="77" spans="1:19" s="68" customFormat="1">
      <c r="A77" s="68" t="s">
        <v>100</v>
      </c>
      <c r="B77" s="68">
        <v>0.1</v>
      </c>
      <c r="C77" s="68">
        <v>1</v>
      </c>
      <c r="D77" s="68">
        <v>0.05</v>
      </c>
      <c r="E77" s="68">
        <v>0.1</v>
      </c>
      <c r="F77" s="68">
        <v>10</v>
      </c>
      <c r="G77" s="68">
        <v>10</v>
      </c>
      <c r="H77" s="68" t="s">
        <v>31</v>
      </c>
      <c r="I77" s="68" t="s">
        <v>101</v>
      </c>
      <c r="J77" s="275"/>
      <c r="L77" s="68" t="s">
        <v>1246</v>
      </c>
      <c r="M77" s="68" t="s">
        <v>1279</v>
      </c>
      <c r="N77" s="68" t="s">
        <v>1298</v>
      </c>
      <c r="Q77" s="273"/>
      <c r="R77" s="273"/>
    </row>
    <row r="78" spans="1:19">
      <c r="B78" s="250"/>
      <c r="D78" s="250"/>
      <c r="F78" s="250"/>
      <c r="J78" s="259"/>
      <c r="K78" s="4"/>
      <c r="Q78" s="185"/>
      <c r="R78" s="185"/>
    </row>
    <row r="79" spans="1:19" s="68" customFormat="1">
      <c r="A79" s="68" t="s">
        <v>102</v>
      </c>
      <c r="B79" s="68">
        <v>1000</v>
      </c>
      <c r="C79" s="68">
        <v>35800</v>
      </c>
      <c r="D79" s="68">
        <v>35800</v>
      </c>
      <c r="E79" s="68">
        <v>1000</v>
      </c>
      <c r="F79" s="68">
        <v>1000</v>
      </c>
      <c r="G79" s="68">
        <v>1000</v>
      </c>
      <c r="H79" s="68" t="s">
        <v>29</v>
      </c>
      <c r="I79" s="68" t="s">
        <v>103</v>
      </c>
      <c r="J79" s="275"/>
      <c r="L79" s="68" t="s">
        <v>1247</v>
      </c>
      <c r="M79" s="68" t="s">
        <v>1268</v>
      </c>
      <c r="N79" s="68" t="s">
        <v>1306</v>
      </c>
      <c r="Q79" s="273"/>
      <c r="R79" s="273"/>
    </row>
    <row r="80" spans="1:19">
      <c r="A80"/>
      <c r="B80" s="251"/>
      <c r="C80"/>
      <c r="D80" s="251"/>
      <c r="E80"/>
      <c r="F80" s="251"/>
      <c r="G80"/>
      <c r="J80" s="259"/>
      <c r="Q80" s="185"/>
      <c r="R80" s="185"/>
    </row>
    <row r="81" spans="1:18">
      <c r="B81" s="250"/>
      <c r="D81" s="250"/>
      <c r="F81" s="250"/>
      <c r="J81" s="259"/>
      <c r="Q81" s="185"/>
      <c r="R81" s="185"/>
    </row>
    <row r="82" spans="1:18">
      <c r="A82" s="184" t="s">
        <v>33</v>
      </c>
      <c r="B82" s="253">
        <v>1</v>
      </c>
      <c r="C82" s="184">
        <v>1</v>
      </c>
      <c r="D82" s="253">
        <v>1</v>
      </c>
      <c r="E82" s="184">
        <v>1</v>
      </c>
      <c r="F82" s="253">
        <v>2</v>
      </c>
      <c r="G82" s="184">
        <v>1</v>
      </c>
      <c r="I82" s="184" t="s">
        <v>1146</v>
      </c>
      <c r="J82" s="259"/>
      <c r="Q82" s="185"/>
      <c r="R82" s="185"/>
    </row>
    <row r="83" spans="1:18">
      <c r="B83" s="250"/>
      <c r="D83" s="250"/>
      <c r="F83" s="250"/>
      <c r="J83" s="259"/>
      <c r="K83" s="4"/>
      <c r="Q83" s="185"/>
      <c r="R83" s="185"/>
    </row>
    <row r="84" spans="1:18">
      <c r="B84" s="250"/>
      <c r="D84" s="250"/>
      <c r="F84" s="250"/>
      <c r="J84" s="259"/>
      <c r="L84" s="256"/>
      <c r="M84" s="256"/>
      <c r="N84" s="256"/>
      <c r="O84" s="256"/>
      <c r="P84" s="256"/>
      <c r="Q84" s="188"/>
      <c r="R84" s="188"/>
    </row>
    <row r="85" spans="1:18">
      <c r="A85"/>
      <c r="B85" s="251"/>
      <c r="C85"/>
      <c r="D85" s="251"/>
      <c r="E85"/>
      <c r="F85" s="251"/>
      <c r="G85"/>
      <c r="J85" s="259"/>
      <c r="Q85" s="185"/>
      <c r="R85" s="185"/>
    </row>
    <row r="86" spans="1:18">
      <c r="A86" s="4" t="s">
        <v>1147</v>
      </c>
      <c r="B86" s="251"/>
      <c r="C86"/>
      <c r="D86" s="251"/>
      <c r="E86"/>
      <c r="F86" s="251"/>
      <c r="G86"/>
      <c r="J86" s="259"/>
      <c r="Q86" s="185"/>
      <c r="R86" s="185"/>
    </row>
    <row r="87" spans="1:18">
      <c r="A87" s="4"/>
      <c r="B87" s="251"/>
      <c r="C87"/>
      <c r="D87" s="251"/>
      <c r="E87"/>
      <c r="F87" s="251"/>
      <c r="G87"/>
      <c r="J87" s="259"/>
      <c r="Q87" s="185"/>
      <c r="R87" s="185"/>
    </row>
    <row r="88" spans="1:18">
      <c r="A88" s="4" t="s">
        <v>1151</v>
      </c>
      <c r="B88" s="259"/>
      <c r="C88" s="4"/>
      <c r="D88" s="259"/>
      <c r="E88" s="4" t="s">
        <v>1</v>
      </c>
      <c r="F88" s="259" t="s">
        <v>1</v>
      </c>
      <c r="G88" s="4" t="s">
        <v>1</v>
      </c>
      <c r="H88" s="4"/>
      <c r="I88" s="4"/>
      <c r="J88" s="259"/>
      <c r="Q88" s="185"/>
      <c r="R88" s="185"/>
    </row>
    <row r="89" spans="1:18" s="68" customFormat="1">
      <c r="A89" s="68" t="s">
        <v>1148</v>
      </c>
      <c r="B89" s="68">
        <v>500</v>
      </c>
      <c r="C89" s="68">
        <v>1000</v>
      </c>
      <c r="D89" s="68">
        <v>300</v>
      </c>
      <c r="E89" s="68">
        <v>2000</v>
      </c>
      <c r="F89" s="68">
        <v>3000</v>
      </c>
      <c r="G89" s="68">
        <v>3000</v>
      </c>
      <c r="H89" s="68" t="s">
        <v>17</v>
      </c>
      <c r="J89" s="275"/>
      <c r="L89" s="68" t="s">
        <v>1269</v>
      </c>
      <c r="M89" s="68" t="s">
        <v>1270</v>
      </c>
      <c r="N89" s="68" t="s">
        <v>1299</v>
      </c>
      <c r="O89" s="68" t="s">
        <v>1334</v>
      </c>
      <c r="Q89" s="273"/>
      <c r="R89" s="273"/>
    </row>
    <row r="90" spans="1:18">
      <c r="B90" s="250"/>
      <c r="D90" s="250"/>
      <c r="F90" s="250"/>
      <c r="J90" s="259"/>
      <c r="K90" s="4"/>
      <c r="Q90" s="185"/>
      <c r="R90" s="185"/>
    </row>
    <row r="91" spans="1:18" s="68" customFormat="1">
      <c r="A91" s="68" t="s">
        <v>1149</v>
      </c>
      <c r="B91" s="68">
        <v>19</v>
      </c>
      <c r="C91" s="68">
        <v>19</v>
      </c>
      <c r="D91" s="68">
        <v>19</v>
      </c>
      <c r="E91" s="68">
        <v>19</v>
      </c>
      <c r="F91" s="68">
        <v>19</v>
      </c>
      <c r="G91" s="68">
        <v>20</v>
      </c>
      <c r="H91" s="68" t="s">
        <v>40</v>
      </c>
      <c r="J91" s="275"/>
      <c r="L91" s="68" t="s">
        <v>1247</v>
      </c>
      <c r="M91" s="68" t="s">
        <v>1271</v>
      </c>
      <c r="N91" s="68" t="s">
        <v>1271</v>
      </c>
      <c r="Q91" s="273"/>
      <c r="R91" s="273"/>
    </row>
    <row r="92" spans="1:18">
      <c r="B92" s="250"/>
      <c r="D92" s="250"/>
      <c r="F92" s="250"/>
      <c r="J92" s="259"/>
      <c r="Q92" s="185"/>
      <c r="R92" s="185"/>
    </row>
    <row r="93" spans="1:18" s="68" customFormat="1">
      <c r="A93" s="68" t="s">
        <v>1150</v>
      </c>
      <c r="B93" s="68">
        <v>10</v>
      </c>
      <c r="C93" s="68">
        <v>20</v>
      </c>
      <c r="D93" s="68">
        <v>20</v>
      </c>
      <c r="E93" s="68">
        <v>10</v>
      </c>
      <c r="F93" s="68">
        <v>20</v>
      </c>
      <c r="G93" s="68">
        <v>20</v>
      </c>
      <c r="H93" s="68" t="s">
        <v>40</v>
      </c>
      <c r="J93" s="275"/>
      <c r="L93" s="68" t="s">
        <v>1247</v>
      </c>
      <c r="M93" s="68" t="s">
        <v>1271</v>
      </c>
      <c r="N93" s="68" t="s">
        <v>1271</v>
      </c>
      <c r="Q93" s="273"/>
      <c r="R93" s="273"/>
    </row>
    <row r="94" spans="1:18">
      <c r="B94" s="250"/>
      <c r="D94" s="250"/>
      <c r="F94" s="250"/>
      <c r="J94" s="259"/>
      <c r="Q94" s="185"/>
      <c r="R94" s="185"/>
    </row>
    <row r="95" spans="1:18">
      <c r="A95" s="186"/>
      <c r="B95" s="252"/>
      <c r="C95" s="187"/>
      <c r="D95" s="252"/>
      <c r="E95" s="187"/>
      <c r="F95" s="252"/>
      <c r="G95" s="187"/>
      <c r="H95" s="186"/>
      <c r="I95" s="186"/>
      <c r="J95" s="259"/>
      <c r="K95" s="4"/>
      <c r="Q95" s="185"/>
      <c r="R95" s="185"/>
    </row>
    <row r="96" spans="1:18">
      <c r="B96" s="250"/>
      <c r="D96" s="250"/>
      <c r="F96" s="250"/>
      <c r="J96" s="259"/>
      <c r="Q96" s="185"/>
      <c r="R96" s="185"/>
    </row>
    <row r="97" spans="1:19" s="68" customFormat="1">
      <c r="A97" s="68" t="s">
        <v>107</v>
      </c>
      <c r="B97" s="68">
        <v>10</v>
      </c>
      <c r="C97" s="68">
        <v>20</v>
      </c>
      <c r="D97" s="68">
        <v>20</v>
      </c>
      <c r="E97" s="68">
        <v>10</v>
      </c>
      <c r="F97" s="68">
        <v>20</v>
      </c>
      <c r="G97" s="68">
        <v>20</v>
      </c>
      <c r="H97" s="68" t="s">
        <v>40</v>
      </c>
      <c r="J97" s="275"/>
      <c r="L97" s="68" t="s">
        <v>1247</v>
      </c>
      <c r="M97" s="68" t="s">
        <v>1271</v>
      </c>
      <c r="N97" s="68" t="s">
        <v>1271</v>
      </c>
      <c r="Q97" s="273"/>
      <c r="R97" s="273"/>
    </row>
    <row r="98" spans="1:19">
      <c r="A98"/>
      <c r="B98" s="251"/>
      <c r="C98"/>
      <c r="D98" s="251"/>
      <c r="E98"/>
      <c r="F98" s="251"/>
      <c r="G98"/>
      <c r="J98" s="259"/>
      <c r="Q98" s="185"/>
      <c r="R98" s="185"/>
    </row>
    <row r="99" spans="1:19" s="68" customFormat="1">
      <c r="A99" s="68" t="s">
        <v>108</v>
      </c>
      <c r="B99" s="68">
        <v>273</v>
      </c>
      <c r="C99" s="68">
        <v>273</v>
      </c>
      <c r="D99" s="68">
        <v>273</v>
      </c>
      <c r="E99" s="68">
        <v>273</v>
      </c>
      <c r="F99" s="68">
        <v>273</v>
      </c>
      <c r="G99" s="68">
        <v>273</v>
      </c>
      <c r="H99" s="279" t="s">
        <v>1152</v>
      </c>
      <c r="I99" s="68" t="s">
        <v>1199</v>
      </c>
      <c r="J99" s="275"/>
      <c r="L99" s="68" t="s">
        <v>1247</v>
      </c>
      <c r="M99" s="68" t="s">
        <v>1271</v>
      </c>
      <c r="N99" s="68" t="s">
        <v>1271</v>
      </c>
    </row>
    <row r="100" spans="1:19">
      <c r="B100" s="250"/>
      <c r="D100" s="250"/>
      <c r="F100" s="250"/>
      <c r="J100" s="259"/>
    </row>
    <row r="101" spans="1:19" s="68" customFormat="1">
      <c r="A101" s="68" t="s">
        <v>109</v>
      </c>
      <c r="B101" s="68">
        <v>323</v>
      </c>
      <c r="C101" s="68">
        <v>323</v>
      </c>
      <c r="D101" s="68">
        <v>323</v>
      </c>
      <c r="E101" s="68">
        <v>323</v>
      </c>
      <c r="F101" s="68">
        <v>323</v>
      </c>
      <c r="G101" s="68">
        <v>323</v>
      </c>
      <c r="H101" s="279" t="s">
        <v>1152</v>
      </c>
      <c r="I101" s="68" t="s">
        <v>1200</v>
      </c>
      <c r="J101" s="275"/>
      <c r="K101" s="275"/>
      <c r="L101" s="68" t="s">
        <v>1247</v>
      </c>
      <c r="M101" s="68" t="s">
        <v>1271</v>
      </c>
      <c r="N101" s="68" t="s">
        <v>1271</v>
      </c>
    </row>
    <row r="102" spans="1:19">
      <c r="A102"/>
      <c r="B102" s="251"/>
      <c r="C102"/>
      <c r="D102" s="251"/>
      <c r="E102"/>
      <c r="F102" s="251"/>
      <c r="G102"/>
      <c r="J102" s="259"/>
      <c r="K102" s="186"/>
      <c r="Q102" s="186"/>
      <c r="R102" s="186"/>
      <c r="S102" s="186"/>
    </row>
    <row r="103" spans="1:19">
      <c r="A103"/>
      <c r="B103" s="251"/>
      <c r="C103"/>
      <c r="D103" s="251"/>
      <c r="E103"/>
      <c r="F103" s="251"/>
      <c r="G103"/>
      <c r="J103" s="259"/>
      <c r="Q103" s="185"/>
      <c r="R103" s="185"/>
    </row>
    <row r="104" spans="1:19">
      <c r="A104" s="4" t="s">
        <v>36</v>
      </c>
      <c r="B104" s="259"/>
      <c r="C104" s="4"/>
      <c r="D104" s="259"/>
      <c r="E104" s="4" t="s">
        <v>1</v>
      </c>
      <c r="F104" s="259" t="s">
        <v>1</v>
      </c>
      <c r="G104" s="4" t="s">
        <v>1</v>
      </c>
      <c r="H104" s="4"/>
      <c r="I104" s="4"/>
      <c r="J104" s="259"/>
      <c r="Q104" s="185"/>
      <c r="R104" s="185"/>
    </row>
    <row r="105" spans="1:19">
      <c r="A105"/>
      <c r="B105" s="251"/>
      <c r="C105"/>
      <c r="D105" s="251"/>
      <c r="E105"/>
      <c r="F105" s="251"/>
      <c r="G105"/>
      <c r="J105" s="259"/>
      <c r="Q105" s="185"/>
      <c r="R105" s="185"/>
    </row>
    <row r="106" spans="1:19" s="68" customFormat="1">
      <c r="A106" s="68" t="s">
        <v>1155</v>
      </c>
      <c r="B106" s="68">
        <v>10</v>
      </c>
      <c r="C106" s="68">
        <v>50</v>
      </c>
      <c r="D106" s="68">
        <v>100</v>
      </c>
      <c r="E106" s="68">
        <v>10</v>
      </c>
      <c r="F106" s="68">
        <v>100</v>
      </c>
      <c r="G106" s="68">
        <v>10</v>
      </c>
      <c r="H106" s="68" t="s">
        <v>476</v>
      </c>
      <c r="J106" s="275"/>
      <c r="L106" s="68" t="s">
        <v>1248</v>
      </c>
      <c r="M106" s="68" t="s">
        <v>1272</v>
      </c>
      <c r="N106" s="68" t="s">
        <v>1300</v>
      </c>
      <c r="Q106" s="273"/>
      <c r="R106" s="273"/>
    </row>
    <row r="107" spans="1:19">
      <c r="B107" s="250"/>
      <c r="D107" s="250"/>
      <c r="F107" s="250"/>
      <c r="J107" s="259"/>
      <c r="Q107" s="185"/>
      <c r="R107" s="185"/>
    </row>
    <row r="108" spans="1:19" s="68" customFormat="1">
      <c r="A108" s="68" t="s">
        <v>1154</v>
      </c>
      <c r="B108" s="68">
        <v>64</v>
      </c>
      <c r="C108" s="68">
        <v>128</v>
      </c>
      <c r="D108" s="68">
        <v>256</v>
      </c>
      <c r="E108" s="68">
        <v>64</v>
      </c>
      <c r="F108" s="68">
        <v>128</v>
      </c>
      <c r="G108" s="68">
        <v>64</v>
      </c>
      <c r="H108" s="68" t="s">
        <v>14</v>
      </c>
      <c r="J108" s="275"/>
      <c r="L108" s="68" t="s">
        <v>1248</v>
      </c>
      <c r="M108" s="68" t="s">
        <v>1272</v>
      </c>
      <c r="N108" s="68" t="s">
        <v>1300</v>
      </c>
    </row>
    <row r="109" spans="1:19">
      <c r="A109"/>
      <c r="B109" s="250"/>
      <c r="D109" s="250"/>
      <c r="F109" s="250"/>
      <c r="J109" s="259"/>
    </row>
    <row r="110" spans="1:19" s="68" customFormat="1">
      <c r="A110" s="68" t="s">
        <v>89</v>
      </c>
      <c r="B110" s="68">
        <v>10</v>
      </c>
      <c r="C110" s="68">
        <v>100</v>
      </c>
      <c r="D110" s="68">
        <v>100</v>
      </c>
      <c r="E110" s="68">
        <v>10</v>
      </c>
      <c r="F110" s="68">
        <v>10</v>
      </c>
      <c r="G110" s="68">
        <v>10</v>
      </c>
      <c r="H110" s="68" t="s">
        <v>69</v>
      </c>
      <c r="J110" s="275"/>
      <c r="K110" s="275"/>
      <c r="L110" s="68" t="s">
        <v>1248</v>
      </c>
      <c r="M110" s="68" t="s">
        <v>1326</v>
      </c>
      <c r="N110" s="68" t="s">
        <v>1301</v>
      </c>
      <c r="O110" s="68" t="s">
        <v>1336</v>
      </c>
    </row>
    <row r="111" spans="1:19">
      <c r="A111"/>
      <c r="B111" s="251"/>
      <c r="C111"/>
      <c r="D111" s="251"/>
      <c r="E111"/>
      <c r="F111" s="251"/>
      <c r="G111"/>
      <c r="J111" s="259"/>
      <c r="Q111" s="185"/>
      <c r="R111" s="185"/>
    </row>
    <row r="112" spans="1:19" s="68" customFormat="1">
      <c r="A112" s="68" t="s">
        <v>37</v>
      </c>
      <c r="B112" s="68">
        <v>128</v>
      </c>
      <c r="C112" s="68">
        <v>512</v>
      </c>
      <c r="D112" s="68">
        <v>512</v>
      </c>
      <c r="E112" s="68">
        <v>128</v>
      </c>
      <c r="F112" s="68">
        <v>176</v>
      </c>
      <c r="G112" s="68">
        <v>176</v>
      </c>
      <c r="H112" s="68" t="s">
        <v>38</v>
      </c>
      <c r="I112" s="274" t="s">
        <v>19</v>
      </c>
      <c r="J112" s="275"/>
      <c r="L112" s="68" t="s">
        <v>1249</v>
      </c>
      <c r="M112" s="68" t="s">
        <v>1273</v>
      </c>
      <c r="N112" s="68" t="s">
        <v>1302</v>
      </c>
      <c r="O112" s="68" t="s">
        <v>1335</v>
      </c>
      <c r="Q112" s="273"/>
      <c r="R112" s="273"/>
    </row>
    <row r="113" spans="1:19">
      <c r="B113" s="250"/>
      <c r="D113" s="250"/>
      <c r="F113" s="250"/>
      <c r="I113" s="184"/>
      <c r="J113" s="259"/>
      <c r="K113" s="186"/>
      <c r="L113" s="248"/>
      <c r="M113" s="248"/>
      <c r="N113" s="248"/>
      <c r="O113" s="248"/>
      <c r="P113" s="248"/>
      <c r="Q113" s="187"/>
      <c r="R113" s="187"/>
      <c r="S113" s="186"/>
    </row>
    <row r="114" spans="1:19">
      <c r="B114" s="250"/>
      <c r="D114" s="250"/>
      <c r="F114" s="250"/>
      <c r="I114" s="184"/>
      <c r="J114" s="259"/>
      <c r="Q114" s="185"/>
      <c r="R114" s="185"/>
    </row>
    <row r="115" spans="1:19">
      <c r="A115" s="4" t="s">
        <v>1198</v>
      </c>
      <c r="B115" s="259"/>
      <c r="C115" s="4"/>
      <c r="D115" s="259"/>
      <c r="E115" s="4" t="s">
        <v>1</v>
      </c>
      <c r="F115" s="259" t="s">
        <v>1</v>
      </c>
      <c r="G115" s="4" t="s">
        <v>1</v>
      </c>
      <c r="H115" s="4"/>
      <c r="I115" s="4"/>
      <c r="J115" s="259"/>
    </row>
    <row r="116" spans="1:19">
      <c r="B116" s="250"/>
      <c r="D116" s="250"/>
      <c r="F116" s="250"/>
      <c r="I116" s="184"/>
      <c r="J116" s="259"/>
    </row>
    <row r="117" spans="1:19" s="68" customFormat="1">
      <c r="A117" s="68" t="s">
        <v>97</v>
      </c>
      <c r="B117" s="68">
        <v>0.5</v>
      </c>
      <c r="C117" s="68">
        <v>0.5</v>
      </c>
      <c r="D117" s="68">
        <v>0.01</v>
      </c>
      <c r="E117" s="68">
        <v>0.5</v>
      </c>
      <c r="F117" s="68">
        <v>5</v>
      </c>
      <c r="G117" s="68">
        <v>5</v>
      </c>
      <c r="H117" s="68" t="s">
        <v>31</v>
      </c>
      <c r="I117" s="68" t="s">
        <v>98</v>
      </c>
      <c r="J117" s="275"/>
      <c r="L117" s="68" t="s">
        <v>1250</v>
      </c>
      <c r="M117" s="68" t="s">
        <v>1280</v>
      </c>
      <c r="N117" s="68" t="s">
        <v>1303</v>
      </c>
      <c r="O117" s="68" t="s">
        <v>1337</v>
      </c>
    </row>
    <row r="118" spans="1:19">
      <c r="B118" s="250"/>
      <c r="D118" s="250"/>
      <c r="F118" s="250"/>
      <c r="G118"/>
      <c r="J118" s="259"/>
      <c r="K118" s="4"/>
    </row>
    <row r="119" spans="1:19">
      <c r="A119" s="186"/>
      <c r="B119" s="249"/>
      <c r="C119" s="186"/>
      <c r="D119" s="249"/>
      <c r="E119" s="186"/>
      <c r="F119" s="249"/>
      <c r="G119" s="186"/>
      <c r="H119" s="186"/>
      <c r="I119" s="186"/>
      <c r="J119" s="259"/>
      <c r="Q119" s="185"/>
      <c r="R119" s="185"/>
    </row>
    <row r="120" spans="1:19">
      <c r="B120" s="250"/>
      <c r="D120" s="250"/>
      <c r="F120" s="250"/>
      <c r="G120"/>
      <c r="J120" s="259"/>
      <c r="Q120" s="185"/>
      <c r="R120" s="185"/>
    </row>
    <row r="121" spans="1:19">
      <c r="A121"/>
      <c r="B121" s="251"/>
      <c r="C121"/>
      <c r="D121" s="251"/>
      <c r="E121"/>
      <c r="F121" s="251"/>
      <c r="G121"/>
      <c r="J121" s="259"/>
    </row>
    <row r="122" spans="1:19">
      <c r="A122" s="4" t="s">
        <v>1181</v>
      </c>
      <c r="B122" s="251"/>
      <c r="C122"/>
      <c r="D122" s="251"/>
      <c r="E122"/>
      <c r="F122" s="251"/>
      <c r="G122"/>
      <c r="J122" s="259"/>
    </row>
    <row r="123" spans="1:19">
      <c r="A123"/>
      <c r="B123" s="251"/>
      <c r="C123"/>
      <c r="D123" s="251"/>
      <c r="E123"/>
      <c r="F123" s="251"/>
      <c r="G123"/>
      <c r="J123" s="259"/>
    </row>
    <row r="124" spans="1:19">
      <c r="B124" s="250"/>
      <c r="D124" s="250"/>
      <c r="F124" s="250"/>
      <c r="J124" s="259"/>
      <c r="K124" s="4"/>
    </row>
    <row r="125" spans="1:19" s="68" customFormat="1">
      <c r="A125" s="68" t="s">
        <v>1156</v>
      </c>
      <c r="B125" s="277" t="s">
        <v>86</v>
      </c>
      <c r="C125" s="277" t="s">
        <v>86</v>
      </c>
      <c r="D125" s="277" t="s">
        <v>86</v>
      </c>
      <c r="E125" s="277" t="s">
        <v>86</v>
      </c>
      <c r="F125" s="277" t="s">
        <v>86</v>
      </c>
      <c r="G125" s="277" t="s">
        <v>86</v>
      </c>
      <c r="I125" s="274"/>
      <c r="J125" s="275"/>
      <c r="L125" s="68" t="s">
        <v>1251</v>
      </c>
      <c r="M125" s="68" t="s">
        <v>1274</v>
      </c>
      <c r="N125" s="68" t="s">
        <v>1304</v>
      </c>
      <c r="O125" s="68" t="s">
        <v>1338</v>
      </c>
      <c r="Q125" s="273"/>
      <c r="R125" s="273"/>
    </row>
    <row r="126" spans="1:19">
      <c r="B126" s="261"/>
      <c r="C126" s="256"/>
      <c r="D126" s="261"/>
      <c r="E126" s="256"/>
      <c r="F126" s="261"/>
      <c r="G126" s="256"/>
      <c r="J126" s="259"/>
      <c r="Q126" s="185"/>
      <c r="R126" s="185"/>
    </row>
    <row r="127" spans="1:19">
      <c r="A127"/>
      <c r="B127" s="262"/>
      <c r="C127" s="263"/>
      <c r="D127" s="262"/>
      <c r="E127" s="263"/>
      <c r="F127" s="262"/>
      <c r="G127" s="263"/>
      <c r="J127" s="259"/>
      <c r="Q127" s="185"/>
      <c r="R127" s="185"/>
    </row>
    <row r="128" spans="1:19">
      <c r="B128" s="261"/>
      <c r="C128" s="256"/>
      <c r="D128" s="261"/>
      <c r="E128" s="256"/>
      <c r="F128" s="261"/>
      <c r="G128" s="256"/>
      <c r="J128" s="259"/>
    </row>
    <row r="129" spans="1:15">
      <c r="A129" s="184" t="s">
        <v>1167</v>
      </c>
      <c r="B129" s="264" t="s">
        <v>1180</v>
      </c>
      <c r="C129" s="265" t="s">
        <v>1180</v>
      </c>
      <c r="D129" s="264" t="s">
        <v>1180</v>
      </c>
      <c r="E129" s="265" t="s">
        <v>1180</v>
      </c>
      <c r="F129" s="264" t="s">
        <v>1215</v>
      </c>
      <c r="G129" s="265" t="s">
        <v>1180</v>
      </c>
      <c r="I129" s="184" t="s">
        <v>19</v>
      </c>
      <c r="J129" s="259"/>
    </row>
    <row r="130" spans="1:15">
      <c r="B130" s="250"/>
      <c r="D130" s="250"/>
      <c r="F130" s="250"/>
      <c r="J130" s="259"/>
    </row>
    <row r="131" spans="1:15">
      <c r="A131"/>
      <c r="B131" s="251"/>
      <c r="C131"/>
      <c r="D131" s="251"/>
      <c r="E131"/>
      <c r="F131" s="251"/>
      <c r="G131"/>
      <c r="J131" s="259"/>
    </row>
    <row r="132" spans="1:15" s="68" customFormat="1">
      <c r="A132" s="68" t="s">
        <v>114</v>
      </c>
      <c r="B132" s="68">
        <v>20</v>
      </c>
      <c r="C132" s="68">
        <v>20</v>
      </c>
      <c r="D132" s="68">
        <v>20</v>
      </c>
      <c r="E132" s="68">
        <v>20</v>
      </c>
      <c r="F132" s="68">
        <v>20</v>
      </c>
      <c r="G132" s="68">
        <v>20</v>
      </c>
      <c r="H132" s="68" t="s">
        <v>40</v>
      </c>
      <c r="J132" s="275"/>
      <c r="L132" s="68" t="s">
        <v>1247</v>
      </c>
      <c r="M132" s="68" t="s">
        <v>1247</v>
      </c>
      <c r="N132" s="68" t="s">
        <v>1247</v>
      </c>
    </row>
    <row r="133" spans="1:15">
      <c r="B133" s="250"/>
      <c r="D133" s="250"/>
      <c r="F133" s="250"/>
      <c r="J133" s="259"/>
    </row>
    <row r="134" spans="1:15" s="68" customFormat="1">
      <c r="A134" s="68" t="s">
        <v>110</v>
      </c>
      <c r="B134" s="68">
        <v>5</v>
      </c>
      <c r="C134" s="68">
        <v>5</v>
      </c>
      <c r="D134" s="68">
        <v>5</v>
      </c>
      <c r="E134" s="68">
        <v>5</v>
      </c>
      <c r="F134" s="68">
        <v>6</v>
      </c>
      <c r="G134" s="68">
        <v>5</v>
      </c>
      <c r="H134" s="68" t="s">
        <v>111</v>
      </c>
      <c r="J134" s="275"/>
      <c r="L134" s="68" t="s">
        <v>1252</v>
      </c>
      <c r="M134" s="68" t="s">
        <v>1252</v>
      </c>
      <c r="N134" s="68" t="s">
        <v>1305</v>
      </c>
      <c r="O134" s="68" t="s">
        <v>1339</v>
      </c>
    </row>
    <row r="135" spans="1:15">
      <c r="A135"/>
      <c r="B135" s="251"/>
      <c r="C135"/>
      <c r="D135" s="251"/>
      <c r="E135"/>
      <c r="F135" s="251"/>
      <c r="G135"/>
      <c r="J135" s="259"/>
    </row>
    <row r="136" spans="1:15" s="68" customFormat="1">
      <c r="A136" s="68" t="s">
        <v>112</v>
      </c>
      <c r="B136" s="68">
        <v>6</v>
      </c>
      <c r="C136" s="68">
        <v>6</v>
      </c>
      <c r="D136" s="68">
        <v>6</v>
      </c>
      <c r="E136" s="68">
        <v>6</v>
      </c>
      <c r="F136" s="68">
        <v>6</v>
      </c>
      <c r="G136" s="68">
        <v>6</v>
      </c>
      <c r="H136" s="68" t="s">
        <v>113</v>
      </c>
      <c r="I136" s="68" t="s">
        <v>1206</v>
      </c>
      <c r="J136" s="275"/>
      <c r="L136" s="68" t="s">
        <v>1253</v>
      </c>
      <c r="M136" s="68" t="s">
        <v>1253</v>
      </c>
      <c r="N136" s="68" t="s">
        <v>1253</v>
      </c>
    </row>
    <row r="137" spans="1:15">
      <c r="A137"/>
      <c r="B137" s="251"/>
      <c r="C137"/>
      <c r="D137" s="251"/>
      <c r="E137"/>
      <c r="F137" s="251"/>
      <c r="G137"/>
      <c r="J137" s="259"/>
    </row>
    <row r="138" spans="1:15">
      <c r="A138"/>
      <c r="B138" s="251"/>
      <c r="C138"/>
      <c r="D138" s="251"/>
      <c r="E138"/>
      <c r="F138" s="251"/>
      <c r="G138"/>
      <c r="J138" s="259"/>
    </row>
    <row r="139" spans="1:15">
      <c r="A139"/>
      <c r="B139" s="251"/>
      <c r="C139"/>
      <c r="D139" s="251"/>
      <c r="E139"/>
      <c r="F139" s="251"/>
      <c r="G139"/>
      <c r="J139" s="259"/>
    </row>
    <row r="140" spans="1:15">
      <c r="A140"/>
      <c r="B140" s="251"/>
      <c r="C140"/>
      <c r="D140" s="251"/>
      <c r="E140"/>
      <c r="F140" s="251"/>
      <c r="G140"/>
      <c r="J140" s="259"/>
    </row>
    <row r="141" spans="1:15">
      <c r="A141" s="4" t="s">
        <v>41</v>
      </c>
      <c r="B141" s="259"/>
      <c r="C141" s="4"/>
      <c r="D141" s="259"/>
      <c r="E141" s="4" t="s">
        <v>1</v>
      </c>
      <c r="F141" s="259" t="s">
        <v>1</v>
      </c>
      <c r="G141" s="4" t="s">
        <v>1</v>
      </c>
      <c r="H141" s="4"/>
      <c r="I141" s="4"/>
      <c r="J141" s="259"/>
    </row>
    <row r="142" spans="1:15">
      <c r="A142"/>
      <c r="B142" s="251"/>
      <c r="C142"/>
      <c r="D142" s="251"/>
      <c r="E142"/>
      <c r="F142" s="251"/>
      <c r="G142" s="4"/>
      <c r="J142" s="259"/>
    </row>
    <row r="143" spans="1:15">
      <c r="A143" s="184" t="s">
        <v>42</v>
      </c>
      <c r="B143" s="264" t="s">
        <v>1212</v>
      </c>
      <c r="C143" s="265" t="s">
        <v>1212</v>
      </c>
      <c r="D143" s="264" t="s">
        <v>1212</v>
      </c>
      <c r="E143" s="265" t="s">
        <v>1212</v>
      </c>
      <c r="F143" s="264" t="s">
        <v>1213</v>
      </c>
      <c r="G143" s="265" t="s">
        <v>1212</v>
      </c>
      <c r="H143" s="184"/>
      <c r="I143" s="184" t="s">
        <v>19</v>
      </c>
      <c r="J143" s="259"/>
    </row>
    <row r="144" spans="1:15">
      <c r="B144" s="264"/>
      <c r="C144" s="265"/>
      <c r="D144" s="264"/>
      <c r="E144" s="265"/>
      <c r="F144" s="264"/>
      <c r="G144" s="265"/>
      <c r="H144" s="184"/>
      <c r="J144" s="259"/>
    </row>
    <row r="145" spans="1:10">
      <c r="A145" s="184" t="s">
        <v>43</v>
      </c>
      <c r="B145" s="264" t="s">
        <v>1214</v>
      </c>
      <c r="C145" s="265" t="s">
        <v>1214</v>
      </c>
      <c r="D145" s="264" t="s">
        <v>1214</v>
      </c>
      <c r="E145" s="265" t="s">
        <v>1214</v>
      </c>
      <c r="F145" s="264" t="s">
        <v>1214</v>
      </c>
      <c r="G145" s="265" t="s">
        <v>1214</v>
      </c>
      <c r="H145" s="184"/>
      <c r="I145" s="184" t="s">
        <v>19</v>
      </c>
      <c r="J145" s="259"/>
    </row>
    <row r="146" spans="1:10">
      <c r="A146" s="184"/>
      <c r="B146" s="264"/>
      <c r="C146" s="265"/>
      <c r="D146" s="264"/>
      <c r="E146" s="265"/>
      <c r="F146" s="264"/>
      <c r="G146" s="265"/>
      <c r="H146" s="184"/>
      <c r="J146" s="259"/>
    </row>
    <row r="147" spans="1:10">
      <c r="A147" s="239"/>
      <c r="B147" s="267"/>
      <c r="C147" s="268"/>
      <c r="D147" s="267"/>
      <c r="E147" s="268"/>
      <c r="F147" s="267"/>
      <c r="G147" s="268"/>
      <c r="H147" s="184"/>
      <c r="J147" s="259"/>
    </row>
    <row r="148" spans="1:10">
      <c r="A148" s="184" t="s">
        <v>1184</v>
      </c>
      <c r="B148" s="264">
        <v>20</v>
      </c>
      <c r="C148" s="265">
        <v>20</v>
      </c>
      <c r="D148" s="264">
        <v>20</v>
      </c>
      <c r="E148" s="265">
        <v>20</v>
      </c>
      <c r="F148" s="264">
        <v>20</v>
      </c>
      <c r="G148" s="265">
        <v>20</v>
      </c>
      <c r="H148" s="184" t="s">
        <v>40</v>
      </c>
      <c r="I148" s="184" t="s">
        <v>19</v>
      </c>
      <c r="J148" s="259"/>
    </row>
    <row r="149" spans="1:10">
      <c r="A149" s="184"/>
      <c r="B149" s="264"/>
      <c r="C149" s="265"/>
      <c r="D149" s="264"/>
      <c r="E149" s="265"/>
      <c r="F149" s="264"/>
      <c r="G149" s="265"/>
      <c r="H149" s="184"/>
      <c r="J149" s="259"/>
    </row>
    <row r="150" spans="1:10">
      <c r="A150" s="239"/>
      <c r="B150" s="267"/>
      <c r="C150" s="268"/>
      <c r="D150" s="267"/>
      <c r="E150" s="268"/>
      <c r="F150" s="267"/>
      <c r="G150" s="268"/>
      <c r="H150" s="184"/>
      <c r="J150" s="259"/>
    </row>
    <row r="151" spans="1:10">
      <c r="A151" s="184" t="s">
        <v>32</v>
      </c>
      <c r="B151" s="264">
        <v>1</v>
      </c>
      <c r="C151" s="265">
        <v>1</v>
      </c>
      <c r="D151" s="264">
        <v>1</v>
      </c>
      <c r="E151" s="265">
        <v>1</v>
      </c>
      <c r="F151" s="264">
        <v>1</v>
      </c>
      <c r="G151" s="265">
        <v>3</v>
      </c>
      <c r="H151" s="184"/>
      <c r="I151" s="184" t="s">
        <v>19</v>
      </c>
      <c r="J151" s="259"/>
    </row>
    <row r="152" spans="1:10">
      <c r="A152"/>
      <c r="B152" s="262"/>
      <c r="C152" s="263"/>
      <c r="D152" s="262"/>
      <c r="E152" s="263"/>
      <c r="F152" s="262"/>
      <c r="G152" s="263"/>
      <c r="J152" s="259"/>
    </row>
    <row r="153" spans="1:10">
      <c r="A153"/>
      <c r="B153" s="262"/>
      <c r="C153" s="263"/>
      <c r="D153" s="262"/>
      <c r="E153" s="263"/>
      <c r="F153" s="262"/>
      <c r="G153" s="263"/>
      <c r="J153" s="259"/>
    </row>
    <row r="154" spans="1:10">
      <c r="A154" s="184" t="s">
        <v>34</v>
      </c>
      <c r="B154" s="264">
        <v>1</v>
      </c>
      <c r="C154" s="265">
        <v>1</v>
      </c>
      <c r="D154" s="264">
        <v>1</v>
      </c>
      <c r="E154" s="265">
        <v>1</v>
      </c>
      <c r="F154" s="264">
        <v>1</v>
      </c>
      <c r="G154" s="265">
        <v>2</v>
      </c>
      <c r="H154" s="184"/>
      <c r="I154" s="184" t="s">
        <v>19</v>
      </c>
      <c r="J154" s="259"/>
    </row>
    <row r="155" spans="1:10">
      <c r="B155" s="262"/>
      <c r="C155" s="263"/>
      <c r="D155" s="262"/>
      <c r="E155" s="263"/>
      <c r="F155" s="262"/>
      <c r="G155" s="263"/>
      <c r="J155" s="259"/>
    </row>
    <row r="156" spans="1:10">
      <c r="B156" s="261"/>
      <c r="C156" s="256"/>
      <c r="D156" s="261"/>
      <c r="E156" s="256"/>
      <c r="F156" s="261"/>
      <c r="G156" s="256"/>
      <c r="J156" s="259"/>
    </row>
    <row r="157" spans="1:10">
      <c r="A157" s="184" t="s">
        <v>39</v>
      </c>
      <c r="B157" s="264">
        <v>32</v>
      </c>
      <c r="C157" s="265">
        <v>32</v>
      </c>
      <c r="D157" s="264">
        <v>32</v>
      </c>
      <c r="E157" s="265">
        <v>32</v>
      </c>
      <c r="F157" s="264">
        <v>32</v>
      </c>
      <c r="G157" s="265">
        <v>36</v>
      </c>
      <c r="H157" s="184" t="s">
        <v>40</v>
      </c>
      <c r="I157" s="184" t="s">
        <v>19</v>
      </c>
      <c r="J157" s="259"/>
    </row>
    <row r="158" spans="1:10">
      <c r="B158" s="250"/>
      <c r="D158" s="250"/>
      <c r="F158" s="250"/>
      <c r="J158" s="259"/>
    </row>
    <row r="159" spans="1:10">
      <c r="A159"/>
      <c r="B159" s="251"/>
      <c r="C159"/>
      <c r="D159" s="251"/>
      <c r="E159"/>
      <c r="F159" s="251"/>
      <c r="G159"/>
      <c r="J159" s="259"/>
    </row>
    <row r="160" spans="1:10">
      <c r="A160" s="259"/>
      <c r="B160" s="259"/>
      <c r="C160" s="259"/>
      <c r="D160" s="259"/>
      <c r="E160" s="259"/>
      <c r="F160" s="259"/>
      <c r="G160" s="259"/>
      <c r="H160" s="259"/>
      <c r="I160" s="259"/>
      <c r="J160" s="259"/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DFCAE-02EB-FB45-A32B-5885B948DB61}">
  <sheetPr codeName="Sheet2"/>
  <dimension ref="A1:EG206"/>
  <sheetViews>
    <sheetView workbookViewId="0">
      <selection activeCell="B4" sqref="B4:B150"/>
    </sheetView>
  </sheetViews>
  <sheetFormatPr baseColWidth="10" defaultColWidth="11" defaultRowHeight="16" outlineLevelRow="1"/>
  <cols>
    <col min="1" max="1" width="44.5" customWidth="1"/>
    <col min="2" max="2" width="16.33203125" customWidth="1"/>
    <col min="3" max="3" width="13" customWidth="1"/>
    <col min="4" max="4" width="21" customWidth="1"/>
    <col min="5" max="5" width="29.6640625" customWidth="1"/>
    <col min="6" max="6" width="12.1640625" customWidth="1"/>
    <col min="7" max="7" width="9.1640625" style="55" customWidth="1"/>
    <col min="8" max="8" width="13.6640625" bestFit="1" customWidth="1"/>
    <col min="9" max="12" width="11.33203125" customWidth="1"/>
    <col min="13" max="13" width="11.83203125" customWidth="1"/>
    <col min="14" max="14" width="11.5" customWidth="1"/>
    <col min="15" max="30" width="13.6640625" bestFit="1" customWidth="1"/>
    <col min="31" max="33" width="13.83203125" bestFit="1" customWidth="1"/>
    <col min="34" max="34" width="12.1640625" bestFit="1" customWidth="1"/>
    <col min="35" max="35" width="13.83203125" bestFit="1" customWidth="1"/>
    <col min="36" max="36" width="30.1640625" customWidth="1"/>
    <col min="37" max="37" width="21.6640625" customWidth="1"/>
    <col min="39" max="39" width="12.1640625" bestFit="1" customWidth="1"/>
    <col min="42" max="122" width="11.1640625" bestFit="1" customWidth="1"/>
    <col min="123" max="126" width="11.6640625" bestFit="1" customWidth="1"/>
    <col min="127" max="129" width="12.6640625" bestFit="1" customWidth="1"/>
  </cols>
  <sheetData>
    <row r="1" spans="1:35" ht="41" thickTop="1">
      <c r="A1" s="205" t="s">
        <v>115</v>
      </c>
      <c r="B1" s="206"/>
      <c r="C1" s="206"/>
      <c r="D1" s="206"/>
      <c r="E1" s="206"/>
      <c r="F1" s="206"/>
      <c r="G1" s="290" t="s">
        <v>116</v>
      </c>
      <c r="H1" s="206">
        <v>2023</v>
      </c>
      <c r="I1" s="206">
        <v>2024</v>
      </c>
      <c r="J1" s="206">
        <v>2025</v>
      </c>
      <c r="K1" s="206">
        <v>2026</v>
      </c>
      <c r="L1" s="206">
        <v>2027</v>
      </c>
      <c r="M1" s="206">
        <v>2028</v>
      </c>
      <c r="N1" s="206">
        <v>2029</v>
      </c>
      <c r="O1" s="206">
        <v>2030</v>
      </c>
      <c r="P1" s="206">
        <v>2031</v>
      </c>
      <c r="Q1" s="206">
        <v>2032</v>
      </c>
      <c r="R1" s="206">
        <v>2033</v>
      </c>
      <c r="S1" s="206">
        <v>2034</v>
      </c>
      <c r="T1" s="206">
        <v>2035</v>
      </c>
      <c r="U1" s="206">
        <v>2036</v>
      </c>
      <c r="V1" s="206">
        <v>2037</v>
      </c>
      <c r="W1" s="206">
        <v>2038</v>
      </c>
      <c r="X1" s="206">
        <v>2039</v>
      </c>
      <c r="Y1" s="206">
        <v>2040</v>
      </c>
      <c r="Z1" s="206">
        <v>2041</v>
      </c>
      <c r="AA1" s="206">
        <v>2042</v>
      </c>
      <c r="AB1" s="206">
        <v>2043</v>
      </c>
      <c r="AC1" s="206">
        <v>2044</v>
      </c>
      <c r="AD1" s="206">
        <v>2045</v>
      </c>
      <c r="AE1" s="206">
        <v>2046</v>
      </c>
      <c r="AF1" s="206">
        <v>2047</v>
      </c>
      <c r="AG1" s="206">
        <v>2048</v>
      </c>
      <c r="AH1" s="206">
        <v>2049</v>
      </c>
      <c r="AI1" s="207">
        <v>2050</v>
      </c>
    </row>
    <row r="2" spans="1:35" ht="20" customHeight="1">
      <c r="A2" s="208"/>
      <c r="B2" s="1" t="s">
        <v>1</v>
      </c>
      <c r="C2" s="1" t="s">
        <v>2</v>
      </c>
      <c r="D2" s="1" t="s">
        <v>52</v>
      </c>
      <c r="F2" s="1" t="s">
        <v>117</v>
      </c>
      <c r="G2" s="291"/>
      <c r="AI2" s="209"/>
    </row>
    <row r="3" spans="1:35">
      <c r="A3" s="1" t="s">
        <v>116</v>
      </c>
      <c r="B3">
        <v>2031</v>
      </c>
      <c r="C3">
        <v>2023</v>
      </c>
      <c r="F3" t="s">
        <v>1166</v>
      </c>
    </row>
    <row r="4" spans="1:35" ht="17" customHeight="1">
      <c r="A4" s="210" t="s">
        <v>118</v>
      </c>
      <c r="B4" s="176">
        <v>0.16204160499030101</v>
      </c>
      <c r="C4">
        <v>3</v>
      </c>
      <c r="D4" t="s">
        <v>120</v>
      </c>
      <c r="F4" s="177">
        <v>1.9</v>
      </c>
      <c r="G4" s="55" t="s">
        <v>86</v>
      </c>
      <c r="H4" s="194">
        <v>3</v>
      </c>
      <c r="I4" s="194">
        <v>2.0829767139219841</v>
      </c>
      <c r="J4" s="194">
        <v>1.4462639969137425</v>
      </c>
      <c r="K4" s="194">
        <v>1.0041780759183541</v>
      </c>
      <c r="L4" s="194">
        <v>0.69722651625630461</v>
      </c>
      <c r="M4" s="194">
        <v>0.48410219923027675</v>
      </c>
      <c r="N4" s="194">
        <v>0.33612453605169584</v>
      </c>
      <c r="O4" s="194">
        <v>0.23337986052450432</v>
      </c>
      <c r="P4" s="194">
        <v>0.16204160499030101</v>
      </c>
      <c r="Q4" s="194">
        <v>0.11250962996044714</v>
      </c>
      <c r="R4" s="194">
        <v>7.8118313099863529E-2</v>
      </c>
      <c r="S4" s="194">
        <v>5.4239542372627479E-2</v>
      </c>
      <c r="T4" s="194">
        <v>3.7659901245322605E-2</v>
      </c>
      <c r="U4" s="194">
        <v>2.6148232447536175E-2</v>
      </c>
      <c r="V4" s="194">
        <v>1.8155386432812368E-2</v>
      </c>
      <c r="W4" s="194">
        <v>1.2605749057267761E-2</v>
      </c>
      <c r="X4" s="194">
        <v>8.7524939159442511E-3</v>
      </c>
      <c r="Y4" s="194">
        <v>6.0770803385519056E-3</v>
      </c>
      <c r="Z4" s="194">
        <v>4.2194722779455825E-3</v>
      </c>
      <c r="AA4" s="194">
        <v>2.9296874999999996E-3</v>
      </c>
      <c r="AB4" s="194">
        <v>2.0341569471894376E-3</v>
      </c>
      <c r="AC4" s="194">
        <v>1.4123671844860767E-3</v>
      </c>
      <c r="AD4" s="194">
        <v>9.8064265226401764E-4</v>
      </c>
      <c r="AE4" s="194">
        <v>6.8088526978154747E-4</v>
      </c>
      <c r="AF4" s="194">
        <v>4.7275605393581714E-4</v>
      </c>
      <c r="AG4" s="194">
        <v>3.2824661723798422E-4</v>
      </c>
      <c r="AH4" s="194">
        <v>2.2791002004346125E-4</v>
      </c>
      <c r="AI4" s="214">
        <v>1.5824375487334083E-4</v>
      </c>
    </row>
    <row r="5" spans="1:35" s="6" customFormat="1">
      <c r="A5" s="237" t="s">
        <v>131</v>
      </c>
      <c r="B5" s="308">
        <v>1.2727511769638475</v>
      </c>
      <c r="C5" s="59">
        <v>10</v>
      </c>
      <c r="D5" s="59" t="s">
        <v>133</v>
      </c>
      <c r="E5" s="59"/>
      <c r="F5" s="58">
        <v>2.69</v>
      </c>
      <c r="G5" s="196" t="s">
        <v>86</v>
      </c>
      <c r="H5" s="59">
        <v>10</v>
      </c>
      <c r="I5" s="59">
        <v>7.7284595535972498</v>
      </c>
      <c r="J5" s="59">
        <v>5.9729087071588607</v>
      </c>
      <c r="K5" s="59">
        <v>4.6161383360606099</v>
      </c>
      <c r="L5" s="59">
        <v>3.5675638424054132</v>
      </c>
      <c r="M5" s="59">
        <v>2.7571772860906232</v>
      </c>
      <c r="N5" s="59">
        <v>2.1308733137648415</v>
      </c>
      <c r="O5" s="59">
        <v>1.6468368219271319</v>
      </c>
      <c r="P5" s="59">
        <v>1.2727511769638475</v>
      </c>
      <c r="Q5" s="59">
        <v>0.98364059929583914</v>
      </c>
      <c r="R5" s="59">
        <v>0.7602026586934052</v>
      </c>
      <c r="S5" s="59">
        <v>0.58751955002490774</v>
      </c>
      <c r="T5" s="59">
        <v>0.45406210793151558</v>
      </c>
      <c r="U5" s="59">
        <v>0.35092006359698275</v>
      </c>
      <c r="V5" s="59">
        <v>0.27120715180550559</v>
      </c>
      <c r="W5" s="59">
        <v>0.20960135033751592</v>
      </c>
      <c r="X5" s="59">
        <v>0.16198955584628591</v>
      </c>
      <c r="Y5" s="59">
        <v>0.12519297304632035</v>
      </c>
      <c r="Z5" s="59">
        <v>9.6754882858307759E-2</v>
      </c>
      <c r="AA5" s="59">
        <v>7.4776619878347134E-2</v>
      </c>
      <c r="AB5" s="59">
        <v>5.7790808228452194E-2</v>
      </c>
      <c r="AC5" s="59">
        <v>4.4663392396328792E-2</v>
      </c>
      <c r="AD5" s="59">
        <v>3.4517922166147005E-2</v>
      </c>
      <c r="AE5" s="59">
        <v>2.6677036533528511E-2</v>
      </c>
      <c r="AF5" s="59">
        <v>2.0617239785921129E-2</v>
      </c>
      <c r="AG5" s="59">
        <v>1.5933950379230746E-2</v>
      </c>
      <c r="AH5" s="59">
        <v>1.2314489103491038E-2</v>
      </c>
      <c r="AI5" s="216">
        <v>9.5172030959544546E-3</v>
      </c>
    </row>
    <row r="6" spans="1:35">
      <c r="A6" s="210" t="s">
        <v>139</v>
      </c>
      <c r="B6" s="176">
        <v>7.6365070617830849E-2</v>
      </c>
      <c r="C6" s="60">
        <v>0.6</v>
      </c>
      <c r="D6" s="60" t="s">
        <v>141</v>
      </c>
      <c r="E6" s="60"/>
      <c r="F6" s="177">
        <v>2.69</v>
      </c>
      <c r="G6" s="196" t="s">
        <v>86</v>
      </c>
      <c r="H6" s="60">
        <v>0.6</v>
      </c>
      <c r="I6" s="60">
        <v>0.463707573215835</v>
      </c>
      <c r="J6" s="60">
        <v>0.35837452242953161</v>
      </c>
      <c r="K6" s="60">
        <v>0.27696830016363655</v>
      </c>
      <c r="L6" s="60">
        <v>0.21405383054432478</v>
      </c>
      <c r="M6" s="60">
        <v>0.16543063716543738</v>
      </c>
      <c r="N6" s="60">
        <v>0.12785239882589047</v>
      </c>
      <c r="O6" s="60">
        <v>9.8810209315627909E-2</v>
      </c>
      <c r="P6" s="60">
        <v>7.6365070617830849E-2</v>
      </c>
      <c r="Q6" s="60">
        <v>5.9018435957750345E-2</v>
      </c>
      <c r="R6" s="60">
        <v>4.5612159521604315E-2</v>
      </c>
      <c r="S6" s="60">
        <v>3.5251173001494461E-2</v>
      </c>
      <c r="T6" s="60">
        <v>2.724372647589093E-2</v>
      </c>
      <c r="U6" s="60">
        <v>2.1055203815818959E-2</v>
      </c>
      <c r="V6" s="60">
        <v>1.6272429108330332E-2</v>
      </c>
      <c r="W6" s="60">
        <v>1.2576081020250953E-2</v>
      </c>
      <c r="X6" s="60">
        <v>9.7193733507771538E-3</v>
      </c>
      <c r="Y6" s="60">
        <v>7.5115783827792212E-3</v>
      </c>
      <c r="Z6" s="60">
        <v>5.8052929714984651E-3</v>
      </c>
      <c r="AA6" s="60">
        <v>4.4865971927008277E-3</v>
      </c>
      <c r="AB6" s="60">
        <v>3.4674484937071313E-3</v>
      </c>
      <c r="AC6" s="60">
        <v>2.6798035437797271E-3</v>
      </c>
      <c r="AD6" s="60">
        <v>2.07107532996882E-3</v>
      </c>
      <c r="AE6" s="60">
        <v>1.6006221920117105E-3</v>
      </c>
      <c r="AF6" s="60">
        <v>1.2370343871552676E-3</v>
      </c>
      <c r="AG6" s="60">
        <v>9.5603702275384478E-4</v>
      </c>
      <c r="AH6" s="60">
        <v>7.3886934620946232E-4</v>
      </c>
      <c r="AI6" s="218">
        <v>5.7103218575726728E-4</v>
      </c>
    </row>
    <row r="7" spans="1:35" s="6" customFormat="1">
      <c r="G7" s="55"/>
    </row>
    <row r="9" spans="1:35" s="59" customFormat="1">
      <c r="A9" s="215" t="s">
        <v>146</v>
      </c>
      <c r="B9" s="59">
        <v>0.24999999999999983</v>
      </c>
      <c r="C9" s="59">
        <v>4</v>
      </c>
      <c r="D9" s="59" t="s">
        <v>147</v>
      </c>
      <c r="F9" s="58">
        <v>2</v>
      </c>
      <c r="G9" s="196"/>
      <c r="H9" s="59">
        <f>Compute_Cost_GBYTE_def</f>
        <v>4</v>
      </c>
      <c r="I9" s="59">
        <f t="shared" ref="I9:AI9" si="0">H9*2^(-1/Exp_Memory_Cost)</f>
        <v>2.8284271247461898</v>
      </c>
      <c r="J9" s="59">
        <f t="shared" si="0"/>
        <v>1.9999999999999996</v>
      </c>
      <c r="K9" s="59">
        <f t="shared" si="0"/>
        <v>1.4142135623730947</v>
      </c>
      <c r="L9" s="59">
        <f t="shared" si="0"/>
        <v>0.99999999999999967</v>
      </c>
      <c r="M9" s="59">
        <f t="shared" si="0"/>
        <v>0.70710678118654724</v>
      </c>
      <c r="N9" s="59">
        <f t="shared" si="0"/>
        <v>0.49999999999999978</v>
      </c>
      <c r="O9" s="59">
        <f t="shared" si="0"/>
        <v>0.35355339059327356</v>
      </c>
      <c r="P9" s="59">
        <f t="shared" si="0"/>
        <v>0.24999999999999983</v>
      </c>
      <c r="Q9" s="59">
        <f t="shared" si="0"/>
        <v>0.17677669529663675</v>
      </c>
      <c r="R9" s="59">
        <f t="shared" si="0"/>
        <v>0.1249999999999999</v>
      </c>
      <c r="S9" s="59">
        <f t="shared" si="0"/>
        <v>8.8388347648318363E-2</v>
      </c>
      <c r="T9" s="59">
        <f t="shared" si="0"/>
        <v>6.2499999999999938E-2</v>
      </c>
      <c r="U9" s="59">
        <f t="shared" si="0"/>
        <v>4.4194173824159175E-2</v>
      </c>
      <c r="V9" s="59">
        <f t="shared" si="0"/>
        <v>3.1249999999999965E-2</v>
      </c>
      <c r="W9" s="59">
        <f t="shared" si="0"/>
        <v>2.2097086912079584E-2</v>
      </c>
      <c r="X9" s="59">
        <f t="shared" si="0"/>
        <v>1.5624999999999981E-2</v>
      </c>
      <c r="Y9" s="59">
        <f t="shared" si="0"/>
        <v>1.104854345603979E-2</v>
      </c>
      <c r="Z9" s="59">
        <f t="shared" si="0"/>
        <v>7.8124999999999887E-3</v>
      </c>
      <c r="AA9" s="59">
        <f t="shared" si="0"/>
        <v>5.5242717280198942E-3</v>
      </c>
      <c r="AB9" s="59">
        <f t="shared" si="0"/>
        <v>3.9062499999999939E-3</v>
      </c>
      <c r="AC9" s="59">
        <f t="shared" si="0"/>
        <v>2.7621358640099467E-3</v>
      </c>
      <c r="AD9" s="59">
        <f t="shared" si="0"/>
        <v>1.9531249999999965E-3</v>
      </c>
      <c r="AE9" s="59">
        <f t="shared" si="0"/>
        <v>1.3810679320049731E-3</v>
      </c>
      <c r="AF9" s="59">
        <f t="shared" si="0"/>
        <v>9.7656249999999816E-4</v>
      </c>
      <c r="AG9" s="59">
        <f t="shared" si="0"/>
        <v>6.9053396600248645E-4</v>
      </c>
      <c r="AH9" s="59">
        <f t="shared" si="0"/>
        <v>4.8828124999999897E-4</v>
      </c>
      <c r="AI9" s="216">
        <f t="shared" si="0"/>
        <v>3.4526698300124317E-4</v>
      </c>
    </row>
    <row r="10" spans="1:35" s="60" customFormat="1" ht="17" customHeight="1">
      <c r="A10" s="217" t="s">
        <v>148</v>
      </c>
      <c r="B10" s="60">
        <v>25.398416831491193</v>
      </c>
      <c r="C10" s="60">
        <v>4</v>
      </c>
      <c r="D10" s="60" t="s">
        <v>62</v>
      </c>
      <c r="F10" s="177">
        <v>3</v>
      </c>
      <c r="G10" s="196"/>
      <c r="H10" s="60">
        <f>Compute_Memory_Per_Module_def</f>
        <v>4</v>
      </c>
      <c r="I10" s="60">
        <f t="shared" ref="I10:AI10" si="1">H10*2^(1/Exp_Memory_per_Module)</f>
        <v>5.0396841995794928</v>
      </c>
      <c r="J10" s="60">
        <f t="shared" si="1"/>
        <v>6.3496042078727983</v>
      </c>
      <c r="K10" s="60">
        <f t="shared" si="1"/>
        <v>8</v>
      </c>
      <c r="L10" s="60">
        <f t="shared" si="1"/>
        <v>10.079368399158986</v>
      </c>
      <c r="M10" s="60">
        <f t="shared" si="1"/>
        <v>12.699208415745597</v>
      </c>
      <c r="N10" s="60">
        <f t="shared" si="1"/>
        <v>16</v>
      </c>
      <c r="O10" s="60">
        <f t="shared" si="1"/>
        <v>20.158736798317971</v>
      </c>
      <c r="P10" s="60">
        <f t="shared" si="1"/>
        <v>25.398416831491193</v>
      </c>
      <c r="Q10" s="60">
        <f t="shared" si="1"/>
        <v>32</v>
      </c>
      <c r="R10" s="60">
        <f t="shared" si="1"/>
        <v>40.317473596635942</v>
      </c>
      <c r="S10" s="60">
        <f t="shared" si="1"/>
        <v>50.796833662982387</v>
      </c>
      <c r="T10" s="60">
        <f t="shared" si="1"/>
        <v>64</v>
      </c>
      <c r="U10" s="60">
        <f t="shared" si="1"/>
        <v>80.634947193271884</v>
      </c>
      <c r="V10" s="60">
        <f t="shared" si="1"/>
        <v>101.59366732596477</v>
      </c>
      <c r="W10" s="60">
        <f t="shared" si="1"/>
        <v>128</v>
      </c>
      <c r="X10" s="60">
        <f t="shared" si="1"/>
        <v>161.26989438654377</v>
      </c>
      <c r="Y10" s="60">
        <f t="shared" si="1"/>
        <v>203.18733465192955</v>
      </c>
      <c r="Z10" s="60">
        <f t="shared" si="1"/>
        <v>256</v>
      </c>
      <c r="AA10" s="60">
        <f t="shared" si="1"/>
        <v>322.53978877308754</v>
      </c>
      <c r="AB10" s="60">
        <f t="shared" si="1"/>
        <v>406.37466930385909</v>
      </c>
      <c r="AC10" s="60">
        <f t="shared" si="1"/>
        <v>512</v>
      </c>
      <c r="AD10" s="60">
        <f t="shared" si="1"/>
        <v>645.07957754617507</v>
      </c>
      <c r="AE10" s="60">
        <f t="shared" si="1"/>
        <v>812.74933860771819</v>
      </c>
      <c r="AF10" s="60">
        <f t="shared" si="1"/>
        <v>1024</v>
      </c>
      <c r="AG10" s="60">
        <f t="shared" si="1"/>
        <v>1290.1591550923501</v>
      </c>
      <c r="AH10" s="60">
        <f t="shared" si="1"/>
        <v>1625.4986772154364</v>
      </c>
      <c r="AI10" s="218">
        <f t="shared" si="1"/>
        <v>2048</v>
      </c>
    </row>
    <row r="11" spans="1:35" s="6" customFormat="1">
      <c r="A11" s="211"/>
      <c r="B11" s="193"/>
      <c r="F11" s="58"/>
      <c r="G11" s="55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193"/>
      <c r="AG11" s="193"/>
      <c r="AH11" s="193"/>
      <c r="AI11" s="212"/>
    </row>
    <row r="12" spans="1:35">
      <c r="A12" s="208" t="s">
        <v>149</v>
      </c>
      <c r="B12" s="194"/>
      <c r="F12" s="177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  <c r="AH12" s="194"/>
      <c r="AI12" s="214"/>
    </row>
    <row r="13" spans="1:35" s="59" customFormat="1" ht="17" customHeight="1">
      <c r="A13" s="215" t="s">
        <v>150</v>
      </c>
      <c r="B13" s="59">
        <v>120</v>
      </c>
      <c r="C13" s="59">
        <v>30</v>
      </c>
      <c r="D13" s="59" t="s">
        <v>69</v>
      </c>
      <c r="F13" s="58">
        <v>4</v>
      </c>
      <c r="G13" s="196"/>
      <c r="H13" s="59">
        <f>Storage_Capacity_perModule_def</f>
        <v>30</v>
      </c>
      <c r="I13" s="59">
        <f t="shared" ref="I13:AI13" si="2">H13*2^(1/Exp_Storage_Per_Module)</f>
        <v>35.676213450081633</v>
      </c>
      <c r="J13" s="59">
        <f t="shared" si="2"/>
        <v>42.426406871192853</v>
      </c>
      <c r="K13" s="59">
        <f t="shared" si="2"/>
        <v>50.453784915222876</v>
      </c>
      <c r="L13" s="59">
        <f t="shared" si="2"/>
        <v>60</v>
      </c>
      <c r="M13" s="59">
        <f t="shared" si="2"/>
        <v>71.352426900163266</v>
      </c>
      <c r="N13" s="59">
        <f t="shared" si="2"/>
        <v>84.852813742385706</v>
      </c>
      <c r="O13" s="59">
        <f t="shared" si="2"/>
        <v>100.90756983044575</v>
      </c>
      <c r="P13" s="59">
        <f t="shared" si="2"/>
        <v>120</v>
      </c>
      <c r="Q13" s="59">
        <f t="shared" si="2"/>
        <v>142.70485380032653</v>
      </c>
      <c r="R13" s="59">
        <f t="shared" si="2"/>
        <v>169.70562748477141</v>
      </c>
      <c r="S13" s="59">
        <f t="shared" si="2"/>
        <v>201.8151396608915</v>
      </c>
      <c r="T13" s="59">
        <f t="shared" si="2"/>
        <v>240</v>
      </c>
      <c r="U13" s="59">
        <f t="shared" si="2"/>
        <v>285.40970760065306</v>
      </c>
      <c r="V13" s="59">
        <f t="shared" si="2"/>
        <v>339.41125496954282</v>
      </c>
      <c r="W13" s="59">
        <f t="shared" si="2"/>
        <v>403.63027932178301</v>
      </c>
      <c r="X13" s="59">
        <f t="shared" si="2"/>
        <v>480</v>
      </c>
      <c r="Y13" s="59">
        <f t="shared" si="2"/>
        <v>570.81941520130613</v>
      </c>
      <c r="Z13" s="59">
        <f t="shared" si="2"/>
        <v>678.82250993908565</v>
      </c>
      <c r="AA13" s="59">
        <f t="shared" si="2"/>
        <v>807.26055864356601</v>
      </c>
      <c r="AB13" s="59">
        <f t="shared" si="2"/>
        <v>960</v>
      </c>
      <c r="AC13" s="59">
        <f t="shared" si="2"/>
        <v>1141.6388304026123</v>
      </c>
      <c r="AD13" s="59">
        <f t="shared" si="2"/>
        <v>1357.6450198781713</v>
      </c>
      <c r="AE13" s="59">
        <f t="shared" si="2"/>
        <v>1614.521117287132</v>
      </c>
      <c r="AF13" s="59">
        <f t="shared" si="2"/>
        <v>1920</v>
      </c>
      <c r="AG13" s="59">
        <f t="shared" si="2"/>
        <v>2283.2776608052245</v>
      </c>
      <c r="AH13" s="59">
        <f t="shared" si="2"/>
        <v>2715.2900397563426</v>
      </c>
      <c r="AI13" s="216">
        <f t="shared" si="2"/>
        <v>3229.0422345742641</v>
      </c>
    </row>
    <row r="14" spans="1:35" s="60" customFormat="1" ht="17" customHeight="1">
      <c r="A14" s="217" t="s">
        <v>151</v>
      </c>
      <c r="B14" s="60">
        <v>0.49999999999999967</v>
      </c>
      <c r="C14" s="60">
        <v>8</v>
      </c>
      <c r="D14" s="60" t="s">
        <v>152</v>
      </c>
      <c r="F14" s="177">
        <v>2</v>
      </c>
      <c r="G14" s="196"/>
      <c r="H14" s="60">
        <f>Storage_Cost_Specific_def</f>
        <v>8</v>
      </c>
      <c r="I14" s="60">
        <f t="shared" ref="I14:AI14" si="3">H14*2^(-1/Exp_Storage_Cost)</f>
        <v>5.6568542494923797</v>
      </c>
      <c r="J14" s="60">
        <f t="shared" si="3"/>
        <v>3.9999999999999991</v>
      </c>
      <c r="K14" s="60">
        <f t="shared" si="3"/>
        <v>2.8284271247461894</v>
      </c>
      <c r="L14" s="60">
        <f t="shared" si="3"/>
        <v>1.9999999999999993</v>
      </c>
      <c r="M14" s="60">
        <f t="shared" si="3"/>
        <v>1.4142135623730945</v>
      </c>
      <c r="N14" s="60">
        <f t="shared" si="3"/>
        <v>0.99999999999999956</v>
      </c>
      <c r="O14" s="60">
        <f t="shared" si="3"/>
        <v>0.70710678118654713</v>
      </c>
      <c r="P14" s="60">
        <f t="shared" si="3"/>
        <v>0.49999999999999967</v>
      </c>
      <c r="Q14" s="60">
        <f t="shared" si="3"/>
        <v>0.35355339059327351</v>
      </c>
      <c r="R14" s="60">
        <f t="shared" si="3"/>
        <v>0.24999999999999981</v>
      </c>
      <c r="S14" s="60">
        <f t="shared" si="3"/>
        <v>0.17677669529663673</v>
      </c>
      <c r="T14" s="60">
        <f t="shared" si="3"/>
        <v>0.12499999999999988</v>
      </c>
      <c r="U14" s="60">
        <f t="shared" si="3"/>
        <v>8.8388347648318349E-2</v>
      </c>
      <c r="V14" s="60">
        <f t="shared" si="3"/>
        <v>6.2499999999999931E-2</v>
      </c>
      <c r="W14" s="60">
        <f t="shared" si="3"/>
        <v>4.4194173824159168E-2</v>
      </c>
      <c r="X14" s="60">
        <f t="shared" si="3"/>
        <v>3.1249999999999962E-2</v>
      </c>
      <c r="Y14" s="60">
        <f t="shared" si="3"/>
        <v>2.209708691207958E-2</v>
      </c>
      <c r="Z14" s="60">
        <f t="shared" si="3"/>
        <v>1.5624999999999977E-2</v>
      </c>
      <c r="AA14" s="60">
        <f t="shared" si="3"/>
        <v>1.1048543456039788E-2</v>
      </c>
      <c r="AB14" s="60">
        <f t="shared" si="3"/>
        <v>7.8124999999999879E-3</v>
      </c>
      <c r="AC14" s="60">
        <f t="shared" si="3"/>
        <v>5.5242717280198934E-3</v>
      </c>
      <c r="AD14" s="60">
        <f t="shared" si="3"/>
        <v>3.9062499999999931E-3</v>
      </c>
      <c r="AE14" s="60">
        <f t="shared" si="3"/>
        <v>2.7621358640099463E-3</v>
      </c>
      <c r="AF14" s="60">
        <f t="shared" si="3"/>
        <v>1.9531249999999963E-3</v>
      </c>
      <c r="AG14" s="60">
        <f t="shared" si="3"/>
        <v>1.3810679320049729E-3</v>
      </c>
      <c r="AH14" s="60">
        <f t="shared" si="3"/>
        <v>9.7656249999999794E-4</v>
      </c>
      <c r="AI14" s="218">
        <f t="shared" si="3"/>
        <v>6.9053396600248635E-4</v>
      </c>
    </row>
    <row r="15" spans="1:35" s="59" customFormat="1" ht="17" customHeight="1">
      <c r="A15" s="215" t="s">
        <v>153</v>
      </c>
      <c r="B15" s="59">
        <v>0.62499999999999956</v>
      </c>
      <c r="C15" s="59">
        <v>10</v>
      </c>
      <c r="D15" s="59" t="s">
        <v>154</v>
      </c>
      <c r="F15" s="58">
        <v>2</v>
      </c>
      <c r="G15" s="196"/>
      <c r="H15" s="59">
        <f>Storage_Weight_Specific_def</f>
        <v>10</v>
      </c>
      <c r="I15" s="59">
        <f t="shared" ref="I15:AI15" si="4">H15*2^(-1/Exp_Storage_Weight)</f>
        <v>7.0710678118654746</v>
      </c>
      <c r="J15" s="59">
        <f t="shared" si="4"/>
        <v>4.9999999999999991</v>
      </c>
      <c r="K15" s="59">
        <f t="shared" si="4"/>
        <v>3.5355339059327369</v>
      </c>
      <c r="L15" s="59">
        <f t="shared" si="4"/>
        <v>2.4999999999999991</v>
      </c>
      <c r="M15" s="59">
        <f t="shared" si="4"/>
        <v>1.767766952966368</v>
      </c>
      <c r="N15" s="59">
        <f t="shared" si="4"/>
        <v>1.2499999999999993</v>
      </c>
      <c r="O15" s="59">
        <f t="shared" si="4"/>
        <v>0.88388347648318388</v>
      </c>
      <c r="P15" s="59">
        <f t="shared" si="4"/>
        <v>0.62499999999999956</v>
      </c>
      <c r="Q15" s="59">
        <f t="shared" si="4"/>
        <v>0.44194173824159183</v>
      </c>
      <c r="R15" s="59">
        <f t="shared" si="4"/>
        <v>0.31249999999999972</v>
      </c>
      <c r="S15" s="59">
        <f t="shared" si="4"/>
        <v>0.22097086912079589</v>
      </c>
      <c r="T15" s="59">
        <f t="shared" si="4"/>
        <v>0.15624999999999983</v>
      </c>
      <c r="U15" s="59">
        <f t="shared" si="4"/>
        <v>0.11048543456039793</v>
      </c>
      <c r="V15" s="59">
        <f t="shared" si="4"/>
        <v>7.8124999999999903E-2</v>
      </c>
      <c r="W15" s="59">
        <f t="shared" si="4"/>
        <v>5.5242717280198951E-2</v>
      </c>
      <c r="X15" s="59">
        <f t="shared" si="4"/>
        <v>3.9062499999999944E-2</v>
      </c>
      <c r="Y15" s="59">
        <f t="shared" si="4"/>
        <v>2.7621358640099472E-2</v>
      </c>
      <c r="Z15" s="59">
        <f t="shared" si="4"/>
        <v>1.9531249999999969E-2</v>
      </c>
      <c r="AA15" s="59">
        <f t="shared" si="4"/>
        <v>1.3810679320049733E-2</v>
      </c>
      <c r="AB15" s="59">
        <f t="shared" si="4"/>
        <v>9.7656249999999827E-3</v>
      </c>
      <c r="AC15" s="59">
        <f t="shared" si="4"/>
        <v>6.9053396600248654E-3</v>
      </c>
      <c r="AD15" s="59">
        <f t="shared" si="4"/>
        <v>4.8828124999999905E-3</v>
      </c>
      <c r="AE15" s="59">
        <f t="shared" si="4"/>
        <v>3.4526698300124318E-3</v>
      </c>
      <c r="AF15" s="59">
        <f t="shared" si="4"/>
        <v>2.4414062499999948E-3</v>
      </c>
      <c r="AG15" s="59">
        <f t="shared" si="4"/>
        <v>1.7263349150062157E-3</v>
      </c>
      <c r="AH15" s="59">
        <f t="shared" si="4"/>
        <v>1.2207031249999972E-3</v>
      </c>
      <c r="AI15" s="216">
        <f t="shared" si="4"/>
        <v>8.6316745750310774E-4</v>
      </c>
    </row>
    <row r="16" spans="1:35" s="60" customFormat="1">
      <c r="A16" s="217" t="s">
        <v>155</v>
      </c>
      <c r="B16" s="60">
        <v>0.15749013123685904</v>
      </c>
      <c r="C16" s="60">
        <v>1</v>
      </c>
      <c r="D16" s="60" t="s">
        <v>156</v>
      </c>
      <c r="F16" s="177">
        <v>3</v>
      </c>
      <c r="G16" s="196"/>
      <c r="H16" s="60">
        <f>Storage_Power_Specific_def</f>
        <v>1</v>
      </c>
      <c r="I16" s="60">
        <f t="shared" ref="I16:AI16" si="5">H16*2^(-1/Exp_Storage_Power)</f>
        <v>0.79370052598409968</v>
      </c>
      <c r="J16" s="60">
        <f t="shared" si="5"/>
        <v>0.62996052494743648</v>
      </c>
      <c r="K16" s="60">
        <f t="shared" si="5"/>
        <v>0.49999999999999989</v>
      </c>
      <c r="L16" s="60">
        <f t="shared" si="5"/>
        <v>0.39685026299204973</v>
      </c>
      <c r="M16" s="60">
        <f t="shared" si="5"/>
        <v>0.31498026247371813</v>
      </c>
      <c r="N16" s="60">
        <f t="shared" si="5"/>
        <v>0.24999999999999986</v>
      </c>
      <c r="O16" s="60">
        <f t="shared" si="5"/>
        <v>0.19842513149602481</v>
      </c>
      <c r="P16" s="60">
        <f t="shared" si="5"/>
        <v>0.15749013123685904</v>
      </c>
      <c r="Q16" s="60">
        <f t="shared" si="5"/>
        <v>0.1249999999999999</v>
      </c>
      <c r="R16" s="60">
        <f t="shared" si="5"/>
        <v>9.9212565748012377E-2</v>
      </c>
      <c r="S16" s="60">
        <f t="shared" si="5"/>
        <v>7.8745065618429491E-2</v>
      </c>
      <c r="T16" s="60">
        <f t="shared" si="5"/>
        <v>6.2499999999999931E-2</v>
      </c>
      <c r="U16" s="60">
        <f t="shared" si="5"/>
        <v>4.9606282874006175E-2</v>
      </c>
      <c r="V16" s="60">
        <f t="shared" si="5"/>
        <v>3.9372532809214739E-2</v>
      </c>
      <c r="W16" s="60">
        <f t="shared" si="5"/>
        <v>3.1249999999999958E-2</v>
      </c>
      <c r="X16" s="60">
        <f t="shared" si="5"/>
        <v>2.480314143700308E-2</v>
      </c>
      <c r="Y16" s="60">
        <f t="shared" si="5"/>
        <v>1.9686266404607362E-2</v>
      </c>
      <c r="Z16" s="60">
        <f t="shared" si="5"/>
        <v>1.5624999999999974E-2</v>
      </c>
      <c r="AA16" s="60">
        <f t="shared" si="5"/>
        <v>1.2401570718501537E-2</v>
      </c>
      <c r="AB16" s="60">
        <f t="shared" si="5"/>
        <v>9.8431332023036795E-3</v>
      </c>
      <c r="AC16" s="60">
        <f t="shared" si="5"/>
        <v>7.8124999999999861E-3</v>
      </c>
      <c r="AD16" s="60">
        <f t="shared" si="5"/>
        <v>6.2007853592507675E-3</v>
      </c>
      <c r="AE16" s="60">
        <f t="shared" si="5"/>
        <v>4.9215666011518389E-3</v>
      </c>
      <c r="AF16" s="60">
        <f t="shared" si="5"/>
        <v>3.9062499999999922E-3</v>
      </c>
      <c r="AG16" s="60">
        <f t="shared" si="5"/>
        <v>3.1003926796253833E-3</v>
      </c>
      <c r="AH16" s="60">
        <f t="shared" si="5"/>
        <v>2.460783300575919E-3</v>
      </c>
      <c r="AI16" s="218">
        <f t="shared" si="5"/>
        <v>1.9531249999999957E-3</v>
      </c>
    </row>
    <row r="17" spans="1:35">
      <c r="A17" s="213"/>
      <c r="B17" s="194"/>
      <c r="F17" s="177"/>
      <c r="H17" s="197"/>
      <c r="I17" s="197"/>
      <c r="J17" s="197"/>
      <c r="K17" s="197"/>
      <c r="L17" s="197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197"/>
      <c r="Z17" s="197"/>
      <c r="AA17" s="197"/>
      <c r="AB17" s="197"/>
      <c r="AC17" s="197"/>
      <c r="AD17" s="197"/>
      <c r="AE17" s="197"/>
      <c r="AF17" s="197"/>
      <c r="AG17" s="197"/>
      <c r="AH17" s="197"/>
      <c r="AI17" s="219"/>
    </row>
    <row r="18" spans="1:35" s="6" customFormat="1">
      <c r="A18" s="220" t="s">
        <v>157</v>
      </c>
      <c r="B18" s="193"/>
      <c r="F18" s="58"/>
      <c r="G18" s="55"/>
      <c r="H18" s="198"/>
      <c r="I18" s="198"/>
      <c r="J18" s="198"/>
      <c r="K18" s="198"/>
      <c r="L18" s="198"/>
      <c r="M18" s="198"/>
      <c r="N18" s="198"/>
      <c r="O18" s="198"/>
      <c r="P18" s="198"/>
      <c r="Q18" s="198"/>
      <c r="R18" s="198"/>
      <c r="S18" s="198"/>
      <c r="T18" s="198"/>
      <c r="U18" s="198"/>
      <c r="V18" s="198"/>
      <c r="W18" s="198"/>
      <c r="X18" s="198"/>
      <c r="Y18" s="198"/>
      <c r="Z18" s="198"/>
      <c r="AA18" s="198"/>
      <c r="AB18" s="198"/>
      <c r="AC18" s="198"/>
      <c r="AD18" s="198"/>
      <c r="AE18" s="198"/>
      <c r="AF18" s="198"/>
      <c r="AG18" s="198"/>
      <c r="AH18" s="198"/>
      <c r="AI18" s="221"/>
    </row>
    <row r="19" spans="1:35" s="60" customFormat="1">
      <c r="A19" s="217" t="s">
        <v>158</v>
      </c>
      <c r="B19" s="60">
        <v>6.5975395538644704E-2</v>
      </c>
      <c r="C19" s="60">
        <v>0.2</v>
      </c>
      <c r="D19" s="60" t="s">
        <v>159</v>
      </c>
      <c r="F19" s="177">
        <v>5</v>
      </c>
      <c r="G19" s="196"/>
      <c r="H19" s="60">
        <f>Network_Power_Gbps_Port_def</f>
        <v>0.2</v>
      </c>
      <c r="I19" s="60">
        <f t="shared" ref="I19:AI19" si="6">H19*2^(-1/Exp_NS_Power)</f>
        <v>0.17411011265922482</v>
      </c>
      <c r="J19" s="60">
        <f t="shared" si="6"/>
        <v>0.1515716566510398</v>
      </c>
      <c r="K19" s="60">
        <f t="shared" si="6"/>
        <v>0.13195079107728941</v>
      </c>
      <c r="L19" s="60">
        <f t="shared" si="6"/>
        <v>0.11486983549970349</v>
      </c>
      <c r="M19" s="60">
        <f t="shared" si="6"/>
        <v>9.9999999999999992E-2</v>
      </c>
      <c r="N19" s="60">
        <f t="shared" si="6"/>
        <v>8.7055056329612399E-2</v>
      </c>
      <c r="O19" s="60">
        <f t="shared" si="6"/>
        <v>7.5785828325519888E-2</v>
      </c>
      <c r="P19" s="60">
        <f t="shared" si="6"/>
        <v>6.5975395538644704E-2</v>
      </c>
      <c r="Q19" s="60">
        <f t="shared" si="6"/>
        <v>5.7434917749851745E-2</v>
      </c>
      <c r="R19" s="60">
        <f t="shared" si="6"/>
        <v>4.9999999999999996E-2</v>
      </c>
      <c r="S19" s="60">
        <f t="shared" si="6"/>
        <v>4.3527528164806199E-2</v>
      </c>
      <c r="T19" s="60">
        <f t="shared" si="6"/>
        <v>3.7892914162759944E-2</v>
      </c>
      <c r="U19" s="60">
        <f t="shared" si="6"/>
        <v>3.2987697769322352E-2</v>
      </c>
      <c r="V19" s="60">
        <f t="shared" si="6"/>
        <v>2.8717458874925873E-2</v>
      </c>
      <c r="W19" s="60">
        <f t="shared" si="6"/>
        <v>2.4999999999999998E-2</v>
      </c>
      <c r="X19" s="60">
        <f t="shared" si="6"/>
        <v>2.17637640824031E-2</v>
      </c>
      <c r="Y19" s="60">
        <f t="shared" si="6"/>
        <v>1.8946457081379972E-2</v>
      </c>
      <c r="Z19" s="60">
        <f t="shared" si="6"/>
        <v>1.6493848884661176E-2</v>
      </c>
      <c r="AA19" s="60">
        <f t="shared" si="6"/>
        <v>1.4358729437462936E-2</v>
      </c>
      <c r="AB19" s="60">
        <f t="shared" si="6"/>
        <v>1.2499999999999999E-2</v>
      </c>
      <c r="AC19" s="60">
        <f t="shared" si="6"/>
        <v>1.088188204120155E-2</v>
      </c>
      <c r="AD19" s="60">
        <f t="shared" si="6"/>
        <v>9.473228540689986E-3</v>
      </c>
      <c r="AE19" s="60">
        <f t="shared" si="6"/>
        <v>8.2469244423305881E-3</v>
      </c>
      <c r="AF19" s="60">
        <f t="shared" si="6"/>
        <v>7.1793647187314681E-3</v>
      </c>
      <c r="AG19" s="60">
        <f t="shared" si="6"/>
        <v>6.2499999999999995E-3</v>
      </c>
      <c r="AH19" s="60">
        <f t="shared" si="6"/>
        <v>5.4409410206007749E-3</v>
      </c>
      <c r="AI19" s="218">
        <f t="shared" si="6"/>
        <v>4.736614270344993E-3</v>
      </c>
    </row>
    <row r="20" spans="1:35" s="59" customFormat="1">
      <c r="A20" s="215" t="s">
        <v>160</v>
      </c>
      <c r="B20" s="59">
        <v>3.2987697769322351</v>
      </c>
      <c r="C20" s="59">
        <v>10</v>
      </c>
      <c r="D20" s="59" t="s">
        <v>161</v>
      </c>
      <c r="F20" s="58">
        <v>5</v>
      </c>
      <c r="G20" s="196"/>
      <c r="H20" s="59">
        <f>Network_Cost_Gbps_Port_def</f>
        <v>10</v>
      </c>
      <c r="I20" s="59">
        <f t="shared" ref="I20:AI20" si="7">H20*2^(-1/Exp_NS_Cost)</f>
        <v>8.7055056329612412</v>
      </c>
      <c r="J20" s="59">
        <f t="shared" si="7"/>
        <v>7.5785828325519899</v>
      </c>
      <c r="K20" s="59">
        <f t="shared" si="7"/>
        <v>6.597539553864471</v>
      </c>
      <c r="L20" s="59">
        <f t="shared" si="7"/>
        <v>5.7434917749851744</v>
      </c>
      <c r="M20" s="59">
        <f t="shared" si="7"/>
        <v>4.9999999999999991</v>
      </c>
      <c r="N20" s="59">
        <f t="shared" si="7"/>
        <v>4.3527528164806197</v>
      </c>
      <c r="O20" s="59">
        <f t="shared" si="7"/>
        <v>3.7892914162759945</v>
      </c>
      <c r="P20" s="59">
        <f t="shared" si="7"/>
        <v>3.2987697769322351</v>
      </c>
      <c r="Q20" s="59">
        <f t="shared" si="7"/>
        <v>2.8717458874925867</v>
      </c>
      <c r="R20" s="59">
        <f t="shared" si="7"/>
        <v>2.4999999999999991</v>
      </c>
      <c r="S20" s="59">
        <f t="shared" si="7"/>
        <v>2.1763764082403094</v>
      </c>
      <c r="T20" s="59">
        <f t="shared" si="7"/>
        <v>1.8946457081379968</v>
      </c>
      <c r="U20" s="59">
        <f t="shared" si="7"/>
        <v>1.6493848884661171</v>
      </c>
      <c r="V20" s="59">
        <f t="shared" si="7"/>
        <v>1.4358729437462932</v>
      </c>
      <c r="W20" s="59">
        <f t="shared" si="7"/>
        <v>1.2499999999999996</v>
      </c>
      <c r="X20" s="59">
        <f t="shared" si="7"/>
        <v>1.0881882041201547</v>
      </c>
      <c r="Y20" s="59">
        <f t="shared" si="7"/>
        <v>0.94732285406899841</v>
      </c>
      <c r="Z20" s="59">
        <f t="shared" si="7"/>
        <v>0.82469244423305854</v>
      </c>
      <c r="AA20" s="59">
        <f t="shared" si="7"/>
        <v>0.71793647187314658</v>
      </c>
      <c r="AB20" s="59">
        <f t="shared" si="7"/>
        <v>0.62499999999999978</v>
      </c>
      <c r="AC20" s="59">
        <f t="shared" si="7"/>
        <v>0.54409410206007736</v>
      </c>
      <c r="AD20" s="59">
        <f t="shared" si="7"/>
        <v>0.47366142703449921</v>
      </c>
      <c r="AE20" s="59">
        <f t="shared" si="7"/>
        <v>0.41234622211652927</v>
      </c>
      <c r="AF20" s="59">
        <f t="shared" si="7"/>
        <v>0.35896823593657329</v>
      </c>
      <c r="AG20" s="59">
        <f t="shared" si="7"/>
        <v>0.31249999999999989</v>
      </c>
      <c r="AH20" s="59">
        <f t="shared" si="7"/>
        <v>0.27204705103003868</v>
      </c>
      <c r="AI20" s="216">
        <f t="shared" si="7"/>
        <v>0.2368307135172496</v>
      </c>
    </row>
    <row r="21" spans="1:35" s="47" customFormat="1">
      <c r="A21" s="222" t="s">
        <v>162</v>
      </c>
      <c r="B21" s="47">
        <v>15.157165665103975</v>
      </c>
      <c r="C21" s="47">
        <v>20</v>
      </c>
      <c r="D21" s="47" t="s">
        <v>163</v>
      </c>
      <c r="F21" s="177">
        <v>20</v>
      </c>
      <c r="G21" s="199"/>
      <c r="H21" s="47">
        <f>Network_Weight_Port_def</f>
        <v>20</v>
      </c>
      <c r="I21" s="47">
        <f t="shared" ref="I21:AI21" si="8">H21*2^(-1/Exp_NS_Weight)</f>
        <v>19.318726578496911</v>
      </c>
      <c r="J21" s="47">
        <f t="shared" si="8"/>
        <v>18.660659830736147</v>
      </c>
      <c r="K21" s="47">
        <f t="shared" si="8"/>
        <v>18.025009252216602</v>
      </c>
      <c r="L21" s="47">
        <f t="shared" si="8"/>
        <v>17.411011265922479</v>
      </c>
      <c r="M21" s="47">
        <f t="shared" si="8"/>
        <v>16.817928305074286</v>
      </c>
      <c r="N21" s="47">
        <f t="shared" si="8"/>
        <v>16.245047927124705</v>
      </c>
      <c r="O21" s="47">
        <f t="shared" si="8"/>
        <v>15.691681957935009</v>
      </c>
      <c r="P21" s="47">
        <f t="shared" si="8"/>
        <v>15.157165665103975</v>
      </c>
      <c r="Q21" s="47">
        <f t="shared" si="8"/>
        <v>14.640856959456247</v>
      </c>
      <c r="R21" s="47">
        <f t="shared" si="8"/>
        <v>14.142135623730942</v>
      </c>
      <c r="S21" s="47">
        <f t="shared" si="8"/>
        <v>13.660402567543946</v>
      </c>
      <c r="T21" s="47">
        <f t="shared" si="8"/>
        <v>13.195079107728933</v>
      </c>
      <c r="U21" s="47">
        <f t="shared" si="8"/>
        <v>12.745606273192612</v>
      </c>
      <c r="V21" s="47">
        <f t="shared" si="8"/>
        <v>12.311444133449154</v>
      </c>
      <c r="W21" s="47">
        <f t="shared" si="8"/>
        <v>11.892071150027201</v>
      </c>
      <c r="X21" s="47">
        <f t="shared" si="8"/>
        <v>11.48698354997034</v>
      </c>
      <c r="Y21" s="47">
        <f t="shared" si="8"/>
        <v>11.09569472067844</v>
      </c>
      <c r="Z21" s="47">
        <f t="shared" si="8"/>
        <v>10.717734625362921</v>
      </c>
      <c r="AA21" s="47">
        <f t="shared" si="8"/>
        <v>10.352649238413763</v>
      </c>
      <c r="AB21" s="47">
        <f t="shared" si="8"/>
        <v>9.9999999999999876</v>
      </c>
      <c r="AC21" s="47">
        <f t="shared" si="8"/>
        <v>9.6593632892484429</v>
      </c>
      <c r="AD21" s="47">
        <f t="shared" si="8"/>
        <v>9.3303299153680612</v>
      </c>
      <c r="AE21" s="47">
        <f t="shared" si="8"/>
        <v>9.0125046261082886</v>
      </c>
      <c r="AF21" s="47">
        <f t="shared" si="8"/>
        <v>8.705505632961227</v>
      </c>
      <c r="AG21" s="47">
        <f t="shared" si="8"/>
        <v>8.4089641525371306</v>
      </c>
      <c r="AH21" s="47">
        <f t="shared" si="8"/>
        <v>8.1225239635623403</v>
      </c>
      <c r="AI21" s="223">
        <f t="shared" si="8"/>
        <v>7.8458409789674928</v>
      </c>
    </row>
    <row r="22" spans="1:35" s="6" customFormat="1">
      <c r="A22" s="211"/>
      <c r="B22" s="193"/>
      <c r="F22" s="58"/>
      <c r="G22" s="55"/>
      <c r="H22" s="193"/>
      <c r="I22" s="193"/>
      <c r="J22" s="193"/>
      <c r="K22" s="193"/>
      <c r="L22" s="193"/>
      <c r="M22" s="193"/>
      <c r="N22" s="193"/>
      <c r="O22" s="193"/>
      <c r="P22" s="193"/>
      <c r="Q22" s="193"/>
      <c r="R22" s="193"/>
      <c r="S22" s="193"/>
      <c r="T22" s="193"/>
      <c r="U22" s="193"/>
      <c r="V22" s="193"/>
      <c r="W22" s="193"/>
      <c r="X22" s="193"/>
      <c r="Y22" s="193"/>
      <c r="Z22" s="193"/>
      <c r="AA22" s="193"/>
      <c r="AB22" s="193"/>
      <c r="AC22" s="193"/>
      <c r="AD22" s="193"/>
      <c r="AE22" s="193"/>
      <c r="AF22" s="193"/>
      <c r="AG22" s="193"/>
      <c r="AH22" s="193"/>
      <c r="AI22" s="212"/>
    </row>
    <row r="23" spans="1:35">
      <c r="A23" s="208" t="s">
        <v>94</v>
      </c>
      <c r="B23" s="194"/>
      <c r="F23" s="177"/>
      <c r="H23" s="194"/>
      <c r="I23" s="194"/>
      <c r="J23" s="194"/>
      <c r="K23" s="194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94"/>
      <c r="W23" s="194"/>
      <c r="X23" s="194"/>
      <c r="Y23" s="194"/>
      <c r="Z23" s="194"/>
      <c r="AA23" s="194"/>
      <c r="AB23" s="194"/>
      <c r="AC23" s="194"/>
      <c r="AD23" s="194"/>
      <c r="AE23" s="194"/>
      <c r="AF23" s="194"/>
      <c r="AG23" s="194"/>
      <c r="AH23" s="194"/>
      <c r="AI23" s="214"/>
    </row>
    <row r="24" spans="1:35" s="6" customFormat="1">
      <c r="A24" s="224" t="s">
        <v>164</v>
      </c>
      <c r="B24" s="193"/>
      <c r="F24" s="58"/>
      <c r="G24" s="55"/>
      <c r="H24" s="193"/>
      <c r="I24" s="193"/>
      <c r="J24" s="193"/>
      <c r="K24" s="193"/>
      <c r="L24" s="193"/>
      <c r="M24" s="193"/>
      <c r="N24" s="193"/>
      <c r="O24" s="193"/>
      <c r="P24" s="193"/>
      <c r="Q24" s="193"/>
      <c r="R24" s="193"/>
      <c r="S24" s="193"/>
      <c r="T24" s="193"/>
      <c r="U24" s="193"/>
      <c r="V24" s="193"/>
      <c r="W24" s="193"/>
      <c r="X24" s="193"/>
      <c r="Y24" s="193"/>
      <c r="Z24" s="193"/>
      <c r="AA24" s="193"/>
      <c r="AB24" s="193"/>
      <c r="AC24" s="193"/>
      <c r="AD24" s="193"/>
      <c r="AE24" s="193"/>
      <c r="AF24" s="193"/>
      <c r="AG24" s="193"/>
      <c r="AH24" s="193"/>
      <c r="AI24" s="212"/>
    </row>
    <row r="25" spans="1:35" s="47" customFormat="1" ht="19">
      <c r="A25" s="222" t="s">
        <v>165</v>
      </c>
      <c r="B25" s="47">
        <v>12187.707886145734</v>
      </c>
      <c r="C25" s="47">
        <v>7000</v>
      </c>
      <c r="D25" s="47" t="s">
        <v>29</v>
      </c>
      <c r="E25" s="47" t="s">
        <v>166</v>
      </c>
      <c r="F25" s="177">
        <v>10</v>
      </c>
      <c r="G25" s="200"/>
      <c r="H25" s="47">
        <f>OTIO_Range_Max_def</f>
        <v>7000</v>
      </c>
      <c r="I25" s="47">
        <f t="shared" ref="I25:AI25" si="9">H25*2^(1/Exp_OTIO_Range)</f>
        <v>7502.414237754052</v>
      </c>
      <c r="J25" s="47">
        <f t="shared" si="9"/>
        <v>8040.8884849792448</v>
      </c>
      <c r="K25" s="47">
        <f t="shared" si="9"/>
        <v>8618.0108934144137</v>
      </c>
      <c r="L25" s="47">
        <f t="shared" si="9"/>
        <v>9236.5553754102584</v>
      </c>
      <c r="M25" s="47">
        <f t="shared" si="9"/>
        <v>9899.4949366116634</v>
      </c>
      <c r="N25" s="47">
        <f t="shared" si="9"/>
        <v>10610.015965572784</v>
      </c>
      <c r="O25" s="47">
        <f t="shared" si="9"/>
        <v>11371.533548987294</v>
      </c>
      <c r="P25" s="47">
        <f t="shared" si="9"/>
        <v>12187.707886145734</v>
      </c>
      <c r="Q25" s="47">
        <f t="shared" si="9"/>
        <v>13062.461881515299</v>
      </c>
      <c r="R25" s="47">
        <f t="shared" si="9"/>
        <v>13999.999999999995</v>
      </c>
      <c r="S25" s="47">
        <f t="shared" si="9"/>
        <v>15004.828475508099</v>
      </c>
      <c r="T25" s="47">
        <f t="shared" si="9"/>
        <v>16081.776969958484</v>
      </c>
      <c r="U25" s="47">
        <f t="shared" si="9"/>
        <v>17236.02178682882</v>
      </c>
      <c r="V25" s="47">
        <f t="shared" si="9"/>
        <v>18473.11075082051</v>
      </c>
      <c r="W25" s="47">
        <f t="shared" si="9"/>
        <v>19798.98987322332</v>
      </c>
      <c r="X25" s="47">
        <f t="shared" si="9"/>
        <v>21220.031931145561</v>
      </c>
      <c r="Y25" s="47">
        <f t="shared" si="9"/>
        <v>22743.067097974581</v>
      </c>
      <c r="Z25" s="47">
        <f t="shared" si="9"/>
        <v>24375.415772291461</v>
      </c>
      <c r="AA25" s="47">
        <f t="shared" si="9"/>
        <v>26124.923763030591</v>
      </c>
      <c r="AB25" s="47">
        <f t="shared" si="9"/>
        <v>27999.999999999982</v>
      </c>
      <c r="AC25" s="47">
        <f t="shared" si="9"/>
        <v>30009.65695101619</v>
      </c>
      <c r="AD25" s="47">
        <f t="shared" si="9"/>
        <v>32163.553939916957</v>
      </c>
      <c r="AE25" s="47">
        <f t="shared" si="9"/>
        <v>34472.043573657633</v>
      </c>
      <c r="AF25" s="47">
        <f t="shared" si="9"/>
        <v>36946.221501641012</v>
      </c>
      <c r="AG25" s="47">
        <f t="shared" si="9"/>
        <v>39597.979746446632</v>
      </c>
      <c r="AH25" s="47">
        <f t="shared" si="9"/>
        <v>42440.063862291114</v>
      </c>
      <c r="AI25" s="223">
        <f t="shared" si="9"/>
        <v>45486.134195949155</v>
      </c>
    </row>
    <row r="26" spans="1:35" s="57" customFormat="1">
      <c r="A26" s="225" t="s">
        <v>167</v>
      </c>
      <c r="B26" s="57">
        <v>17.411011265922475</v>
      </c>
      <c r="C26" s="57">
        <v>10</v>
      </c>
      <c r="D26" s="57" t="s">
        <v>31</v>
      </c>
      <c r="F26" s="58">
        <v>10</v>
      </c>
      <c r="G26" s="201"/>
      <c r="H26" s="57">
        <f>OTIO_DataRate_Max_def</f>
        <v>10</v>
      </c>
      <c r="I26" s="57">
        <f t="shared" ref="I26:AI26" si="10">H26*2^(1/Exp_OTIO_BW)</f>
        <v>10.717734625362931</v>
      </c>
      <c r="J26" s="57">
        <f t="shared" si="10"/>
        <v>11.486983549970349</v>
      </c>
      <c r="K26" s="57">
        <f t="shared" si="10"/>
        <v>12.311444133449161</v>
      </c>
      <c r="L26" s="57">
        <f t="shared" si="10"/>
        <v>13.19507910772894</v>
      </c>
      <c r="M26" s="57">
        <f t="shared" si="10"/>
        <v>14.142135623730947</v>
      </c>
      <c r="N26" s="57">
        <f t="shared" si="10"/>
        <v>15.157165665103976</v>
      </c>
      <c r="O26" s="57">
        <f t="shared" si="10"/>
        <v>16.245047927124705</v>
      </c>
      <c r="P26" s="57">
        <f t="shared" si="10"/>
        <v>17.411011265922475</v>
      </c>
      <c r="Q26" s="57">
        <f t="shared" si="10"/>
        <v>18.66065983073614</v>
      </c>
      <c r="R26" s="57">
        <f t="shared" si="10"/>
        <v>19.999999999999989</v>
      </c>
      <c r="S26" s="57">
        <f t="shared" si="10"/>
        <v>21.435469250725852</v>
      </c>
      <c r="T26" s="57">
        <f t="shared" si="10"/>
        <v>22.973967099940687</v>
      </c>
      <c r="U26" s="57">
        <f t="shared" si="10"/>
        <v>24.622888266898311</v>
      </c>
      <c r="V26" s="57">
        <f t="shared" si="10"/>
        <v>26.39015821545787</v>
      </c>
      <c r="W26" s="57">
        <f t="shared" si="10"/>
        <v>28.284271247461884</v>
      </c>
      <c r="X26" s="57">
        <f t="shared" si="10"/>
        <v>30.314331330207942</v>
      </c>
      <c r="Y26" s="57">
        <f t="shared" si="10"/>
        <v>32.490095854249397</v>
      </c>
      <c r="Z26" s="57">
        <f t="shared" si="10"/>
        <v>34.822022531844937</v>
      </c>
      <c r="AA26" s="57">
        <f t="shared" si="10"/>
        <v>37.321319661472266</v>
      </c>
      <c r="AB26" s="57">
        <f t="shared" si="10"/>
        <v>39.999999999999964</v>
      </c>
      <c r="AC26" s="57">
        <f t="shared" si="10"/>
        <v>42.87093850145169</v>
      </c>
      <c r="AD26" s="57">
        <f t="shared" si="10"/>
        <v>45.94793419988136</v>
      </c>
      <c r="AE26" s="57">
        <f t="shared" si="10"/>
        <v>49.245776533796608</v>
      </c>
      <c r="AF26" s="57">
        <f t="shared" si="10"/>
        <v>52.780316430915725</v>
      </c>
      <c r="AG26" s="57">
        <f t="shared" si="10"/>
        <v>56.568542494923754</v>
      </c>
      <c r="AH26" s="57">
        <f t="shared" si="10"/>
        <v>60.62866266041587</v>
      </c>
      <c r="AI26" s="226">
        <f t="shared" si="10"/>
        <v>64.980191708498779</v>
      </c>
    </row>
    <row r="27" spans="1:35" s="47" customFormat="1">
      <c r="A27" s="222" t="s">
        <v>168</v>
      </c>
      <c r="B27" s="47">
        <v>5.2233033797767447</v>
      </c>
      <c r="C27" s="47">
        <v>3</v>
      </c>
      <c r="D27" s="47" t="s">
        <v>65</v>
      </c>
      <c r="E27" s="47" t="s">
        <v>1140</v>
      </c>
      <c r="F27" s="177">
        <v>10</v>
      </c>
      <c r="G27" s="199"/>
      <c r="H27" s="47">
        <f>OTIO_Max_Connection_def</f>
        <v>3</v>
      </c>
      <c r="I27" s="47">
        <f t="shared" ref="I27:AI27" si="11">H27*2^(1/Exp_OTIO_NumbConn)</f>
        <v>3.2153203876088794</v>
      </c>
      <c r="J27" s="47">
        <f t="shared" si="11"/>
        <v>3.4460950649911046</v>
      </c>
      <c r="K27" s="47">
        <f t="shared" si="11"/>
        <v>3.6934332400347483</v>
      </c>
      <c r="L27" s="47">
        <f t="shared" si="11"/>
        <v>3.9585237323186822</v>
      </c>
      <c r="M27" s="47">
        <f t="shared" si="11"/>
        <v>4.2426406871192848</v>
      </c>
      <c r="N27" s="47">
        <f t="shared" si="11"/>
        <v>4.547149699531194</v>
      </c>
      <c r="O27" s="47">
        <f t="shared" si="11"/>
        <v>4.8735143781374131</v>
      </c>
      <c r="P27" s="47">
        <f t="shared" si="11"/>
        <v>5.2233033797767447</v>
      </c>
      <c r="Q27" s="47">
        <f t="shared" si="11"/>
        <v>5.598197949220844</v>
      </c>
      <c r="R27" s="47">
        <f t="shared" si="11"/>
        <v>5.9999999999999991</v>
      </c>
      <c r="S27" s="47">
        <f t="shared" si="11"/>
        <v>6.4306407752177579</v>
      </c>
      <c r="T27" s="47">
        <f t="shared" si="11"/>
        <v>6.8921901299822084</v>
      </c>
      <c r="U27" s="47">
        <f t="shared" si="11"/>
        <v>7.3868664800694956</v>
      </c>
      <c r="V27" s="47">
        <f t="shared" si="11"/>
        <v>7.9170474646373634</v>
      </c>
      <c r="W27" s="47">
        <f t="shared" si="11"/>
        <v>8.4852813742385678</v>
      </c>
      <c r="X27" s="47">
        <f t="shared" si="11"/>
        <v>9.0942993990623862</v>
      </c>
      <c r="Y27" s="47">
        <f t="shared" si="11"/>
        <v>9.7470287562748243</v>
      </c>
      <c r="Z27" s="47">
        <f t="shared" si="11"/>
        <v>10.446606759553488</v>
      </c>
      <c r="AA27" s="47">
        <f t="shared" si="11"/>
        <v>11.196395898441686</v>
      </c>
      <c r="AB27" s="47">
        <f t="shared" si="11"/>
        <v>11.999999999999996</v>
      </c>
      <c r="AC27" s="47">
        <f t="shared" si="11"/>
        <v>12.861281550435514</v>
      </c>
      <c r="AD27" s="47">
        <f t="shared" si="11"/>
        <v>13.784380259964415</v>
      </c>
      <c r="AE27" s="47">
        <f t="shared" si="11"/>
        <v>14.77373296013899</v>
      </c>
      <c r="AF27" s="47">
        <f t="shared" si="11"/>
        <v>15.834094929274725</v>
      </c>
      <c r="AG27" s="47">
        <f t="shared" si="11"/>
        <v>16.970562748477132</v>
      </c>
      <c r="AH27" s="47">
        <f t="shared" si="11"/>
        <v>18.188598798124769</v>
      </c>
      <c r="AI27" s="223">
        <f t="shared" si="11"/>
        <v>19.494057512549642</v>
      </c>
    </row>
    <row r="28" spans="1:35" s="6" customFormat="1">
      <c r="A28" s="211" t="s">
        <v>169</v>
      </c>
      <c r="B28" s="193">
        <v>8.040888484979247E-4</v>
      </c>
      <c r="C28" s="6">
        <v>1.4E-3</v>
      </c>
      <c r="D28" s="6" t="s">
        <v>170</v>
      </c>
      <c r="F28" s="58">
        <v>10</v>
      </c>
      <c r="G28" s="55"/>
      <c r="H28" s="193">
        <f>OTIO_Power_Efficiency_def</f>
        <v>1.4E-3</v>
      </c>
      <c r="I28" s="193">
        <f t="shared" ref="I28:AI28" si="12">H28*2^(-1/Exp_OTIO_Power)</f>
        <v>1.3062461881515304E-3</v>
      </c>
      <c r="J28" s="193">
        <f t="shared" si="12"/>
        <v>1.2187707886145739E-3</v>
      </c>
      <c r="K28" s="193">
        <f t="shared" si="12"/>
        <v>1.1371533548987299E-3</v>
      </c>
      <c r="L28" s="193">
        <f t="shared" si="12"/>
        <v>1.0610015965572788E-3</v>
      </c>
      <c r="M28" s="193">
        <f t="shared" si="12"/>
        <v>9.899494936611668E-4</v>
      </c>
      <c r="N28" s="193">
        <f t="shared" si="12"/>
        <v>9.2365553754102624E-4</v>
      </c>
      <c r="O28" s="193">
        <f t="shared" si="12"/>
        <v>8.6180108934144162E-4</v>
      </c>
      <c r="P28" s="193">
        <f t="shared" si="12"/>
        <v>8.040888484979247E-4</v>
      </c>
      <c r="Q28" s="193">
        <f t="shared" si="12"/>
        <v>7.5024142377540541E-4</v>
      </c>
      <c r="R28" s="193">
        <f t="shared" si="12"/>
        <v>7.0000000000000021E-4</v>
      </c>
      <c r="S28" s="193">
        <f t="shared" si="12"/>
        <v>6.5312309407576544E-4</v>
      </c>
      <c r="T28" s="193">
        <f t="shared" si="12"/>
        <v>6.0938539430728717E-4</v>
      </c>
      <c r="U28" s="193">
        <f t="shared" si="12"/>
        <v>5.6857667744936516E-4</v>
      </c>
      <c r="V28" s="193">
        <f t="shared" si="12"/>
        <v>5.3050079827863964E-4</v>
      </c>
      <c r="W28" s="193">
        <f t="shared" si="12"/>
        <v>4.9497474683058351E-4</v>
      </c>
      <c r="X28" s="193">
        <f t="shared" si="12"/>
        <v>4.6182776877051323E-4</v>
      </c>
      <c r="Y28" s="193">
        <f t="shared" si="12"/>
        <v>4.3090054467072092E-4</v>
      </c>
      <c r="Z28" s="193">
        <f t="shared" si="12"/>
        <v>4.0204442424896246E-4</v>
      </c>
      <c r="AA28" s="193">
        <f t="shared" si="12"/>
        <v>3.7512071188770281E-4</v>
      </c>
      <c r="AB28" s="193">
        <f t="shared" si="12"/>
        <v>3.5000000000000021E-4</v>
      </c>
      <c r="AC28" s="193">
        <f t="shared" si="12"/>
        <v>3.2656154703788277E-4</v>
      </c>
      <c r="AD28" s="193">
        <f t="shared" si="12"/>
        <v>3.0469269715364359E-4</v>
      </c>
      <c r="AE28" s="193">
        <f t="shared" si="12"/>
        <v>2.8428833872468258E-4</v>
      </c>
      <c r="AF28" s="193">
        <f t="shared" si="12"/>
        <v>2.6525039913931982E-4</v>
      </c>
      <c r="AG28" s="193">
        <f t="shared" si="12"/>
        <v>2.4748737341529175E-4</v>
      </c>
      <c r="AH28" s="193">
        <f t="shared" si="12"/>
        <v>2.3091388438525661E-4</v>
      </c>
      <c r="AI28" s="212">
        <f t="shared" si="12"/>
        <v>2.1545027233536046E-4</v>
      </c>
    </row>
    <row r="29" spans="1:35">
      <c r="A29" s="213" t="s">
        <v>171</v>
      </c>
      <c r="B29" s="194">
        <v>1.0338285194973315E-4</v>
      </c>
      <c r="C29">
        <v>1.8000000000000001E-4</v>
      </c>
      <c r="D29" t="s">
        <v>172</v>
      </c>
      <c r="F29" s="177">
        <v>10</v>
      </c>
      <c r="H29" s="194">
        <f>OTIO_Weight_Specific_def</f>
        <v>1.8000000000000001E-4</v>
      </c>
      <c r="I29" s="194">
        <f t="shared" ref="I29:AI29" si="13">H29*2^(-1/Exp_OTIO_Weight)</f>
        <v>1.6794593847662534E-4</v>
      </c>
      <c r="J29" s="194">
        <f t="shared" si="13"/>
        <v>1.5669910139330236E-4</v>
      </c>
      <c r="K29" s="194">
        <f t="shared" si="13"/>
        <v>1.4620543134412242E-4</v>
      </c>
      <c r="L29" s="194">
        <f t="shared" si="13"/>
        <v>1.3641449098593584E-4</v>
      </c>
      <c r="M29" s="194">
        <f t="shared" si="13"/>
        <v>1.2727922061357857E-4</v>
      </c>
      <c r="N29" s="194">
        <f t="shared" si="13"/>
        <v>1.1875571196956049E-4</v>
      </c>
      <c r="O29" s="194">
        <f t="shared" si="13"/>
        <v>1.1080299720104247E-4</v>
      </c>
      <c r="P29" s="194">
        <f t="shared" si="13"/>
        <v>1.0338285194973315E-4</v>
      </c>
      <c r="Q29" s="194">
        <f t="shared" si="13"/>
        <v>9.6459611628266391E-5</v>
      </c>
      <c r="R29" s="194">
        <f t="shared" si="13"/>
        <v>9.0000000000000006E-5</v>
      </c>
      <c r="S29" s="194">
        <f t="shared" si="13"/>
        <v>8.3972969238312671E-5</v>
      </c>
      <c r="T29" s="194">
        <f t="shared" si="13"/>
        <v>7.8349550696651181E-5</v>
      </c>
      <c r="U29" s="194">
        <f t="shared" si="13"/>
        <v>7.3102715672061211E-5</v>
      </c>
      <c r="V29" s="194">
        <f t="shared" si="13"/>
        <v>6.820724549296792E-5</v>
      </c>
      <c r="W29" s="194">
        <f t="shared" si="13"/>
        <v>6.3639610306789283E-5</v>
      </c>
      <c r="X29" s="194">
        <f t="shared" si="13"/>
        <v>5.9377855984780247E-5</v>
      </c>
      <c r="Y29" s="194">
        <f t="shared" si="13"/>
        <v>5.5401498600521236E-5</v>
      </c>
      <c r="Z29" s="194">
        <f t="shared" si="13"/>
        <v>5.1691425974866576E-5</v>
      </c>
      <c r="AA29" s="194">
        <f t="shared" si="13"/>
        <v>4.8229805814133195E-5</v>
      </c>
      <c r="AB29" s="194">
        <f t="shared" si="13"/>
        <v>4.5000000000000003E-5</v>
      </c>
      <c r="AC29" s="194">
        <f t="shared" si="13"/>
        <v>4.1986484619156336E-5</v>
      </c>
      <c r="AD29" s="194">
        <f t="shared" si="13"/>
        <v>3.9174775348325591E-5</v>
      </c>
      <c r="AE29" s="194">
        <f t="shared" si="13"/>
        <v>3.6551357836030605E-5</v>
      </c>
      <c r="AF29" s="194">
        <f t="shared" si="13"/>
        <v>3.410362274648396E-5</v>
      </c>
      <c r="AG29" s="194">
        <f t="shared" si="13"/>
        <v>3.1819805153394641E-5</v>
      </c>
      <c r="AH29" s="194">
        <f t="shared" si="13"/>
        <v>2.9688927992390123E-5</v>
      </c>
      <c r="AI29" s="214">
        <f t="shared" si="13"/>
        <v>2.7700749300260618E-5</v>
      </c>
    </row>
    <row r="30" spans="1:35" s="57" customFormat="1">
      <c r="A30" s="225" t="s">
        <v>173</v>
      </c>
      <c r="B30" s="57">
        <v>0.22973967099940701</v>
      </c>
      <c r="C30" s="57">
        <v>0.4</v>
      </c>
      <c r="D30" s="57" t="s">
        <v>174</v>
      </c>
      <c r="E30" s="57" t="s">
        <v>175</v>
      </c>
      <c r="F30" s="58">
        <v>10</v>
      </c>
      <c r="G30" s="201"/>
      <c r="H30" s="57">
        <f>OTIO_Cost_Specific_def</f>
        <v>0.4</v>
      </c>
      <c r="I30" s="57">
        <f t="shared" ref="I30:AI30" si="14">H30*2^(-1/Exp_OTIO_Cost)</f>
        <v>0.37321319661472296</v>
      </c>
      <c r="J30" s="57">
        <f t="shared" si="14"/>
        <v>0.34822022531844965</v>
      </c>
      <c r="K30" s="57">
        <f t="shared" si="14"/>
        <v>0.32490095854249418</v>
      </c>
      <c r="L30" s="57">
        <f t="shared" si="14"/>
        <v>0.30314331330207961</v>
      </c>
      <c r="M30" s="57">
        <f t="shared" si="14"/>
        <v>0.28284271247461901</v>
      </c>
      <c r="N30" s="57">
        <f t="shared" si="14"/>
        <v>0.26390158215457887</v>
      </c>
      <c r="O30" s="57">
        <f t="shared" si="14"/>
        <v>0.24622888266898327</v>
      </c>
      <c r="P30" s="57">
        <f t="shared" si="14"/>
        <v>0.22973967099940701</v>
      </c>
      <c r="Q30" s="57">
        <f t="shared" si="14"/>
        <v>0.21435469250725864</v>
      </c>
      <c r="R30" s="57">
        <f t="shared" si="14"/>
        <v>0.2</v>
      </c>
      <c r="S30" s="57">
        <f t="shared" si="14"/>
        <v>0.18660659830736148</v>
      </c>
      <c r="T30" s="57">
        <f t="shared" si="14"/>
        <v>0.17411011265922482</v>
      </c>
      <c r="U30" s="57">
        <f t="shared" si="14"/>
        <v>0.16245047927124709</v>
      </c>
      <c r="V30" s="57">
        <f t="shared" si="14"/>
        <v>0.1515716566510398</v>
      </c>
      <c r="W30" s="57">
        <f t="shared" si="14"/>
        <v>0.1414213562373095</v>
      </c>
      <c r="X30" s="57">
        <f t="shared" si="14"/>
        <v>0.13195079107728944</v>
      </c>
      <c r="Y30" s="57">
        <f t="shared" si="14"/>
        <v>0.12311444133449163</v>
      </c>
      <c r="Z30" s="57">
        <f t="shared" si="14"/>
        <v>0.1148698354997035</v>
      </c>
      <c r="AA30" s="57">
        <f t="shared" si="14"/>
        <v>0.10717734625362932</v>
      </c>
      <c r="AB30" s="57">
        <f t="shared" si="14"/>
        <v>0.1</v>
      </c>
      <c r="AC30" s="57">
        <f t="shared" si="14"/>
        <v>9.3303299153680741E-2</v>
      </c>
      <c r="AD30" s="57">
        <f t="shared" si="14"/>
        <v>8.7055056329612412E-2</v>
      </c>
      <c r="AE30" s="57">
        <f t="shared" si="14"/>
        <v>8.1225239635623545E-2</v>
      </c>
      <c r="AF30" s="57">
        <f t="shared" si="14"/>
        <v>7.5785828325519902E-2</v>
      </c>
      <c r="AG30" s="57">
        <f t="shared" si="14"/>
        <v>7.0710678118654752E-2</v>
      </c>
      <c r="AH30" s="57">
        <f t="shared" si="14"/>
        <v>6.5975395538644718E-2</v>
      </c>
      <c r="AI30" s="226">
        <f t="shared" si="14"/>
        <v>6.1557220667245817E-2</v>
      </c>
    </row>
    <row r="31" spans="1:35">
      <c r="A31" s="213"/>
      <c r="B31" s="194"/>
      <c r="F31" s="177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194"/>
      <c r="AG31" s="194"/>
      <c r="AH31" s="194"/>
      <c r="AI31" s="214"/>
    </row>
    <row r="32" spans="1:35" s="6" customFormat="1">
      <c r="A32" s="224" t="s">
        <v>176</v>
      </c>
      <c r="B32" s="193"/>
      <c r="F32" s="58"/>
      <c r="G32" s="55"/>
      <c r="H32" s="193"/>
      <c r="I32" s="193"/>
      <c r="J32" s="193"/>
      <c r="K32" s="193"/>
      <c r="L32" s="193"/>
      <c r="M32" s="193"/>
      <c r="N32" s="193"/>
      <c r="O32" s="193"/>
      <c r="P32" s="193"/>
      <c r="Q32" s="193"/>
      <c r="R32" s="193"/>
      <c r="S32" s="193"/>
      <c r="T32" s="193"/>
      <c r="U32" s="193"/>
      <c r="V32" s="193"/>
      <c r="W32" s="193"/>
      <c r="X32" s="193"/>
      <c r="Y32" s="193"/>
      <c r="Z32" s="193"/>
      <c r="AA32" s="193"/>
      <c r="AB32" s="193"/>
      <c r="AC32" s="193"/>
      <c r="AD32" s="193"/>
      <c r="AE32" s="193"/>
      <c r="AF32" s="193"/>
      <c r="AG32" s="193"/>
      <c r="AH32" s="193"/>
      <c r="AI32" s="212"/>
    </row>
    <row r="33" spans="1:37" s="47" customFormat="1">
      <c r="A33" s="222" t="s">
        <v>165</v>
      </c>
      <c r="B33" s="47">
        <v>1741.1011265922482</v>
      </c>
      <c r="C33" s="47">
        <v>1000</v>
      </c>
      <c r="D33" s="47" t="s">
        <v>29</v>
      </c>
      <c r="E33" s="47" t="s">
        <v>1278</v>
      </c>
      <c r="F33" s="177">
        <v>10</v>
      </c>
      <c r="G33" s="199"/>
      <c r="H33" s="47">
        <f>OTGS_Distance_Max_def</f>
        <v>1000</v>
      </c>
      <c r="I33" s="47">
        <f t="shared" ref="I33:AI33" si="15">H33*2^(1/Exp_OTGS_Range)</f>
        <v>1071.7734625362932</v>
      </c>
      <c r="J33" s="47">
        <f t="shared" si="15"/>
        <v>1148.698354997035</v>
      </c>
      <c r="K33" s="47">
        <f t="shared" si="15"/>
        <v>1231.1444133449163</v>
      </c>
      <c r="L33" s="47">
        <f t="shared" si="15"/>
        <v>1319.5079107728943</v>
      </c>
      <c r="M33" s="47">
        <f t="shared" si="15"/>
        <v>1414.2135623730951</v>
      </c>
      <c r="N33" s="47">
        <f t="shared" si="15"/>
        <v>1515.716566510398</v>
      </c>
      <c r="O33" s="47">
        <f t="shared" si="15"/>
        <v>1624.504792712471</v>
      </c>
      <c r="P33" s="47">
        <f t="shared" si="15"/>
        <v>1741.1011265922482</v>
      </c>
      <c r="Q33" s="47">
        <f t="shared" si="15"/>
        <v>1866.0659830736147</v>
      </c>
      <c r="R33" s="47">
        <f t="shared" si="15"/>
        <v>1999.9999999999998</v>
      </c>
      <c r="S33" s="47">
        <f t="shared" si="15"/>
        <v>2143.546925072586</v>
      </c>
      <c r="T33" s="47">
        <f t="shared" si="15"/>
        <v>2297.3967099940696</v>
      </c>
      <c r="U33" s="47">
        <f t="shared" si="15"/>
        <v>2462.2888266898321</v>
      </c>
      <c r="V33" s="47">
        <f t="shared" si="15"/>
        <v>2639.0158215457882</v>
      </c>
      <c r="W33" s="47">
        <f t="shared" si="15"/>
        <v>2828.4271247461897</v>
      </c>
      <c r="X33" s="47">
        <f t="shared" si="15"/>
        <v>3031.4331330207956</v>
      </c>
      <c r="Y33" s="47">
        <f t="shared" si="15"/>
        <v>3249.0095854249412</v>
      </c>
      <c r="Z33" s="47">
        <f t="shared" si="15"/>
        <v>3482.2022531844955</v>
      </c>
      <c r="AA33" s="47">
        <f t="shared" si="15"/>
        <v>3732.1319661472285</v>
      </c>
      <c r="AB33" s="47">
        <f t="shared" si="15"/>
        <v>3999.9999999999986</v>
      </c>
      <c r="AC33" s="47">
        <f t="shared" si="15"/>
        <v>4287.093850145171</v>
      </c>
      <c r="AD33" s="47">
        <f t="shared" si="15"/>
        <v>4594.7934199881383</v>
      </c>
      <c r="AE33" s="47">
        <f t="shared" si="15"/>
        <v>4924.5776533796634</v>
      </c>
      <c r="AF33" s="47">
        <f t="shared" si="15"/>
        <v>5278.0316430915746</v>
      </c>
      <c r="AG33" s="47">
        <f t="shared" si="15"/>
        <v>5656.8542494923777</v>
      </c>
      <c r="AH33" s="47">
        <f t="shared" si="15"/>
        <v>6062.8662660415894</v>
      </c>
      <c r="AI33" s="223">
        <f t="shared" si="15"/>
        <v>6498.0191708498805</v>
      </c>
    </row>
    <row r="34" spans="1:37" s="56" customFormat="1" ht="19">
      <c r="A34" s="227" t="s">
        <v>167</v>
      </c>
      <c r="B34" s="56">
        <v>17.411011265922475</v>
      </c>
      <c r="C34" s="56">
        <v>10</v>
      </c>
      <c r="D34" s="56" t="s">
        <v>31</v>
      </c>
      <c r="F34" s="58">
        <v>10</v>
      </c>
      <c r="G34" s="200"/>
      <c r="H34" s="56">
        <f>OTGS_DataRate_Max_def</f>
        <v>10</v>
      </c>
      <c r="I34" s="56">
        <f t="shared" ref="I34:AI34" si="16">H34*2^(1/Exp_OTGS_BW)</f>
        <v>10.717734625362931</v>
      </c>
      <c r="J34" s="56">
        <f t="shared" si="16"/>
        <v>11.486983549970349</v>
      </c>
      <c r="K34" s="56">
        <f t="shared" si="16"/>
        <v>12.311444133449161</v>
      </c>
      <c r="L34" s="56">
        <f t="shared" si="16"/>
        <v>13.19507910772894</v>
      </c>
      <c r="M34" s="56">
        <f t="shared" si="16"/>
        <v>14.142135623730947</v>
      </c>
      <c r="N34" s="56">
        <f t="shared" si="16"/>
        <v>15.157165665103976</v>
      </c>
      <c r="O34" s="56">
        <f t="shared" si="16"/>
        <v>16.245047927124705</v>
      </c>
      <c r="P34" s="56">
        <f t="shared" si="16"/>
        <v>17.411011265922475</v>
      </c>
      <c r="Q34" s="56">
        <f t="shared" si="16"/>
        <v>18.66065983073614</v>
      </c>
      <c r="R34" s="56">
        <f t="shared" si="16"/>
        <v>19.999999999999989</v>
      </c>
      <c r="S34" s="56">
        <f t="shared" si="16"/>
        <v>21.435469250725852</v>
      </c>
      <c r="T34" s="56">
        <f t="shared" si="16"/>
        <v>22.973967099940687</v>
      </c>
      <c r="U34" s="56">
        <f t="shared" si="16"/>
        <v>24.622888266898311</v>
      </c>
      <c r="V34" s="56">
        <f t="shared" si="16"/>
        <v>26.39015821545787</v>
      </c>
      <c r="W34" s="56">
        <f t="shared" si="16"/>
        <v>28.284271247461884</v>
      </c>
      <c r="X34" s="56">
        <f t="shared" si="16"/>
        <v>30.314331330207942</v>
      </c>
      <c r="Y34" s="56">
        <f t="shared" si="16"/>
        <v>32.490095854249397</v>
      </c>
      <c r="Z34" s="56">
        <f t="shared" si="16"/>
        <v>34.822022531844937</v>
      </c>
      <c r="AA34" s="56">
        <f t="shared" si="16"/>
        <v>37.321319661472266</v>
      </c>
      <c r="AB34" s="56">
        <f t="shared" si="16"/>
        <v>39.999999999999964</v>
      </c>
      <c r="AC34" s="56">
        <f t="shared" si="16"/>
        <v>42.87093850145169</v>
      </c>
      <c r="AD34" s="56">
        <f t="shared" si="16"/>
        <v>45.94793419988136</v>
      </c>
      <c r="AE34" s="56">
        <f t="shared" si="16"/>
        <v>49.245776533796608</v>
      </c>
      <c r="AF34" s="56">
        <f t="shared" si="16"/>
        <v>52.780316430915725</v>
      </c>
      <c r="AG34" s="56">
        <f t="shared" si="16"/>
        <v>56.568542494923754</v>
      </c>
      <c r="AH34" s="56">
        <f t="shared" si="16"/>
        <v>60.62866266041587</v>
      </c>
      <c r="AI34" s="228">
        <f t="shared" si="16"/>
        <v>64.980191708498779</v>
      </c>
    </row>
    <row r="35" spans="1:37">
      <c r="A35" s="213" t="s">
        <v>169</v>
      </c>
      <c r="B35" s="194">
        <v>4.5947934199881395E-3</v>
      </c>
      <c r="C35">
        <v>8.0000000000000002E-3</v>
      </c>
      <c r="D35" t="s">
        <v>170</v>
      </c>
      <c r="F35" s="177">
        <v>10</v>
      </c>
      <c r="H35" s="194">
        <f>OTGS_Power_Efficiency_def</f>
        <v>8.0000000000000002E-3</v>
      </c>
      <c r="I35" s="194">
        <f t="shared" ref="I35:AI35" si="17">H35*2^(-1/Exp_OTGS_Power)</f>
        <v>7.4642639322944591E-3</v>
      </c>
      <c r="J35" s="194">
        <f t="shared" si="17"/>
        <v>6.9644045063689932E-3</v>
      </c>
      <c r="K35" s="194">
        <f t="shared" si="17"/>
        <v>6.4980191708498844E-3</v>
      </c>
      <c r="L35" s="194">
        <f t="shared" si="17"/>
        <v>6.0628662660415925E-3</v>
      </c>
      <c r="M35" s="194">
        <f t="shared" si="17"/>
        <v>5.6568542494923801E-3</v>
      </c>
      <c r="N35" s="194">
        <f t="shared" si="17"/>
        <v>5.2780316430915773E-3</v>
      </c>
      <c r="O35" s="194">
        <f t="shared" si="17"/>
        <v>4.9245776533796649E-3</v>
      </c>
      <c r="P35" s="194">
        <f t="shared" si="17"/>
        <v>4.5947934199881395E-3</v>
      </c>
      <c r="Q35" s="194">
        <f t="shared" si="17"/>
        <v>4.2870938501451718E-3</v>
      </c>
      <c r="R35" s="194">
        <f t="shared" si="17"/>
        <v>3.9999999999999992E-3</v>
      </c>
      <c r="S35" s="194">
        <f t="shared" si="17"/>
        <v>3.7321319661472287E-3</v>
      </c>
      <c r="T35" s="194">
        <f t="shared" si="17"/>
        <v>3.4822022531844957E-3</v>
      </c>
      <c r="U35" s="194">
        <f t="shared" si="17"/>
        <v>3.2490095854249413E-3</v>
      </c>
      <c r="V35" s="194">
        <f t="shared" si="17"/>
        <v>3.0314331330207954E-3</v>
      </c>
      <c r="W35" s="194">
        <f t="shared" si="17"/>
        <v>2.8284271247461892E-3</v>
      </c>
      <c r="X35" s="194">
        <f t="shared" si="17"/>
        <v>2.6390158215457878E-3</v>
      </c>
      <c r="Y35" s="194">
        <f t="shared" si="17"/>
        <v>2.462288826689832E-3</v>
      </c>
      <c r="Z35" s="194">
        <f t="shared" si="17"/>
        <v>2.2973967099940693E-3</v>
      </c>
      <c r="AA35" s="194">
        <f t="shared" si="17"/>
        <v>2.1435469250725859E-3</v>
      </c>
      <c r="AB35" s="194">
        <f t="shared" si="17"/>
        <v>1.9999999999999996E-3</v>
      </c>
      <c r="AC35" s="194">
        <f t="shared" si="17"/>
        <v>1.8660659830736144E-3</v>
      </c>
      <c r="AD35" s="194">
        <f t="shared" si="17"/>
        <v>1.7411011265922479E-3</v>
      </c>
      <c r="AE35" s="194">
        <f t="shared" si="17"/>
        <v>1.6245047927124707E-3</v>
      </c>
      <c r="AF35" s="194">
        <f t="shared" si="17"/>
        <v>1.5157165665103977E-3</v>
      </c>
      <c r="AG35" s="194">
        <f t="shared" si="17"/>
        <v>1.4142135623730946E-3</v>
      </c>
      <c r="AH35" s="194">
        <f t="shared" si="17"/>
        <v>1.3195079107728939E-3</v>
      </c>
      <c r="AI35" s="214">
        <f t="shared" si="17"/>
        <v>1.231144413344916E-3</v>
      </c>
    </row>
    <row r="36" spans="1:37" s="6" customFormat="1">
      <c r="A36" s="211" t="s">
        <v>171</v>
      </c>
      <c r="B36" s="193">
        <v>5.1691425974866576E-4</v>
      </c>
      <c r="C36" s="6">
        <v>8.9999999999999998E-4</v>
      </c>
      <c r="D36" s="6" t="s">
        <v>172</v>
      </c>
      <c r="F36" s="58">
        <v>10</v>
      </c>
      <c r="G36" s="55"/>
      <c r="H36" s="193">
        <f>OTGS_Weight_Specific_def</f>
        <v>8.9999999999999998E-4</v>
      </c>
      <c r="I36" s="193">
        <f t="shared" ref="I36:AI36" si="18">H36*2^(-1/Exp_OTGS_Weight)</f>
        <v>8.3972969238312663E-4</v>
      </c>
      <c r="J36" s="193">
        <f t="shared" si="18"/>
        <v>7.8349550696651168E-4</v>
      </c>
      <c r="K36" s="193">
        <f t="shared" si="18"/>
        <v>7.3102715672061194E-4</v>
      </c>
      <c r="L36" s="193">
        <f t="shared" si="18"/>
        <v>6.8207245492967914E-4</v>
      </c>
      <c r="M36" s="193">
        <f t="shared" si="18"/>
        <v>6.3639610306789277E-4</v>
      </c>
      <c r="N36" s="193">
        <f t="shared" si="18"/>
        <v>5.9377855984780244E-4</v>
      </c>
      <c r="O36" s="193">
        <f t="shared" si="18"/>
        <v>5.540149860052124E-4</v>
      </c>
      <c r="P36" s="193">
        <f t="shared" si="18"/>
        <v>5.1691425974866576E-4</v>
      </c>
      <c r="Q36" s="193">
        <f t="shared" si="18"/>
        <v>4.8229805814133195E-4</v>
      </c>
      <c r="R36" s="193">
        <f t="shared" si="18"/>
        <v>4.5000000000000004E-4</v>
      </c>
      <c r="S36" s="193">
        <f t="shared" si="18"/>
        <v>4.1986484619156337E-4</v>
      </c>
      <c r="T36" s="193">
        <f t="shared" si="18"/>
        <v>3.9174775348325589E-4</v>
      </c>
      <c r="U36" s="193">
        <f t="shared" si="18"/>
        <v>3.6551357836030603E-4</v>
      </c>
      <c r="V36" s="193">
        <f t="shared" si="18"/>
        <v>3.4103622746483963E-4</v>
      </c>
      <c r="W36" s="193">
        <f t="shared" si="18"/>
        <v>3.1819805153394644E-4</v>
      </c>
      <c r="X36" s="193">
        <f t="shared" si="18"/>
        <v>2.9688927992390127E-4</v>
      </c>
      <c r="Y36" s="193">
        <f t="shared" si="18"/>
        <v>2.770074930026062E-4</v>
      </c>
      <c r="Z36" s="193">
        <f t="shared" si="18"/>
        <v>2.5845712987433288E-4</v>
      </c>
      <c r="AA36" s="193">
        <f t="shared" si="18"/>
        <v>2.4114902907066598E-4</v>
      </c>
      <c r="AB36" s="193">
        <f t="shared" si="18"/>
        <v>2.2500000000000002E-4</v>
      </c>
      <c r="AC36" s="193">
        <f t="shared" si="18"/>
        <v>2.0993242309578169E-4</v>
      </c>
      <c r="AD36" s="193">
        <f t="shared" si="18"/>
        <v>1.9587387674162795E-4</v>
      </c>
      <c r="AE36" s="193">
        <f t="shared" si="18"/>
        <v>1.8275678918015301E-4</v>
      </c>
      <c r="AF36" s="193">
        <f t="shared" si="18"/>
        <v>1.7051811373241981E-4</v>
      </c>
      <c r="AG36" s="193">
        <f t="shared" si="18"/>
        <v>1.5909902576697322E-4</v>
      </c>
      <c r="AH36" s="193">
        <f t="shared" si="18"/>
        <v>1.4844463996195064E-4</v>
      </c>
      <c r="AI36" s="212">
        <f t="shared" si="18"/>
        <v>1.385037465013031E-4</v>
      </c>
    </row>
    <row r="37" spans="1:37">
      <c r="A37" s="213" t="s">
        <v>173</v>
      </c>
      <c r="B37" s="194">
        <v>2.8717458874925876</v>
      </c>
      <c r="C37">
        <v>5</v>
      </c>
      <c r="D37" t="s">
        <v>174</v>
      </c>
      <c r="E37" t="s">
        <v>177</v>
      </c>
      <c r="F37" s="177">
        <v>10</v>
      </c>
      <c r="H37" s="194">
        <f>OTGS_Cost_Specific_def</f>
        <v>5</v>
      </c>
      <c r="I37" s="194">
        <f t="shared" ref="I37:AI37" si="19">H37*2^(-1/Exp_OTGS_Cost)</f>
        <v>4.6651649576840368</v>
      </c>
      <c r="J37" s="194">
        <f t="shared" si="19"/>
        <v>4.3527528164806206</v>
      </c>
      <c r="K37" s="194">
        <f t="shared" si="19"/>
        <v>4.0612619817811773</v>
      </c>
      <c r="L37" s="194">
        <f t="shared" si="19"/>
        <v>3.789291416275995</v>
      </c>
      <c r="M37" s="194">
        <f t="shared" si="19"/>
        <v>3.5355339059327373</v>
      </c>
      <c r="N37" s="194">
        <f t="shared" si="19"/>
        <v>3.2987697769322355</v>
      </c>
      <c r="O37" s="194">
        <f t="shared" si="19"/>
        <v>3.0778610333622907</v>
      </c>
      <c r="P37" s="194">
        <f t="shared" si="19"/>
        <v>2.8717458874925876</v>
      </c>
      <c r="Q37" s="194">
        <f t="shared" si="19"/>
        <v>2.6794336563407328</v>
      </c>
      <c r="R37" s="194">
        <f t="shared" si="19"/>
        <v>2.5</v>
      </c>
      <c r="S37" s="194">
        <f t="shared" si="19"/>
        <v>2.3325824788420184</v>
      </c>
      <c r="T37" s="194">
        <f t="shared" si="19"/>
        <v>2.1763764082403103</v>
      </c>
      <c r="U37" s="194">
        <f t="shared" si="19"/>
        <v>2.0306309908905886</v>
      </c>
      <c r="V37" s="194">
        <f t="shared" si="19"/>
        <v>1.8946457081379975</v>
      </c>
      <c r="W37" s="194">
        <f t="shared" si="19"/>
        <v>1.7677669529663687</v>
      </c>
      <c r="X37" s="194">
        <f t="shared" si="19"/>
        <v>1.6493848884661177</v>
      </c>
      <c r="Y37" s="194">
        <f t="shared" si="19"/>
        <v>1.5389305166811453</v>
      </c>
      <c r="Z37" s="194">
        <f t="shared" si="19"/>
        <v>1.4358729437462938</v>
      </c>
      <c r="AA37" s="194">
        <f t="shared" si="19"/>
        <v>1.3397168281703664</v>
      </c>
      <c r="AB37" s="194">
        <f t="shared" si="19"/>
        <v>1.25</v>
      </c>
      <c r="AC37" s="194">
        <f t="shared" si="19"/>
        <v>1.1662912394210092</v>
      </c>
      <c r="AD37" s="194">
        <f t="shared" si="19"/>
        <v>1.0881882041201552</v>
      </c>
      <c r="AE37" s="194">
        <f t="shared" si="19"/>
        <v>1.0153154954452943</v>
      </c>
      <c r="AF37" s="194">
        <f t="shared" si="19"/>
        <v>0.94732285406899874</v>
      </c>
      <c r="AG37" s="194">
        <f t="shared" si="19"/>
        <v>0.88388347648318433</v>
      </c>
      <c r="AH37" s="194">
        <f t="shared" si="19"/>
        <v>0.82469244423305887</v>
      </c>
      <c r="AI37" s="214">
        <f t="shared" si="19"/>
        <v>0.76946525834057267</v>
      </c>
    </row>
    <row r="38" spans="1:37" s="6" customFormat="1">
      <c r="A38" s="211"/>
      <c r="B38" s="193"/>
      <c r="F38" s="58"/>
      <c r="G38" s="55"/>
      <c r="H38" s="193"/>
      <c r="I38" s="193"/>
      <c r="J38" s="193"/>
      <c r="K38" s="193"/>
      <c r="L38" s="193"/>
      <c r="M38" s="193"/>
      <c r="N38" s="193"/>
      <c r="O38" s="193"/>
      <c r="P38" s="193"/>
      <c r="Q38" s="193"/>
      <c r="R38" s="193"/>
      <c r="S38" s="193"/>
      <c r="T38" s="193"/>
      <c r="U38" s="193"/>
      <c r="V38" s="193"/>
      <c r="W38" s="193"/>
      <c r="X38" s="193"/>
      <c r="Y38" s="193"/>
      <c r="Z38" s="193"/>
      <c r="AA38" s="193"/>
      <c r="AB38" s="193"/>
      <c r="AC38" s="193"/>
      <c r="AD38" s="193"/>
      <c r="AE38" s="193"/>
      <c r="AF38" s="193"/>
      <c r="AG38" s="193"/>
      <c r="AH38" s="193"/>
      <c r="AI38" s="212"/>
    </row>
    <row r="39" spans="1:37">
      <c r="A39" s="213"/>
      <c r="B39" s="194"/>
      <c r="F39" s="177"/>
      <c r="H39" s="194"/>
      <c r="I39" s="194"/>
      <c r="J39" s="194"/>
      <c r="K39" s="194"/>
      <c r="L39" s="194"/>
      <c r="M39" s="194"/>
      <c r="N39" s="194"/>
      <c r="O39" s="194"/>
      <c r="P39" s="194"/>
      <c r="Q39" s="194"/>
      <c r="R39" s="194"/>
      <c r="S39" s="194"/>
      <c r="T39" s="194"/>
      <c r="U39" s="194"/>
      <c r="V39" s="194"/>
      <c r="W39" s="194"/>
      <c r="X39" s="194"/>
      <c r="Y39" s="194"/>
      <c r="Z39" s="194"/>
      <c r="AA39" s="194"/>
      <c r="AB39" s="194"/>
      <c r="AC39" s="194"/>
      <c r="AD39" s="194"/>
      <c r="AE39" s="194"/>
      <c r="AF39" s="194"/>
      <c r="AG39" s="194"/>
      <c r="AH39" s="194"/>
      <c r="AI39" s="214"/>
    </row>
    <row r="40" spans="1:37" s="6" customFormat="1">
      <c r="A40" s="220" t="s">
        <v>178</v>
      </c>
      <c r="B40" s="193"/>
      <c r="F40" s="58"/>
      <c r="G40" s="55"/>
      <c r="H40" s="193"/>
      <c r="I40" s="193"/>
      <c r="J40" s="193"/>
      <c r="K40" s="193"/>
      <c r="L40" s="193"/>
      <c r="M40" s="193"/>
      <c r="N40" s="193"/>
      <c r="O40" s="193"/>
      <c r="P40" s="193"/>
      <c r="Q40" s="193"/>
      <c r="R40" s="193"/>
      <c r="S40" s="193"/>
      <c r="T40" s="193"/>
      <c r="U40" s="193"/>
      <c r="V40" s="193"/>
      <c r="W40" s="193"/>
      <c r="X40" s="193"/>
      <c r="Y40" s="193"/>
      <c r="Z40" s="193"/>
      <c r="AA40" s="193"/>
      <c r="AB40" s="193"/>
      <c r="AC40" s="193"/>
      <c r="AD40" s="193"/>
      <c r="AE40" s="193"/>
      <c r="AF40" s="193"/>
      <c r="AG40" s="193"/>
      <c r="AH40" s="193"/>
      <c r="AI40" s="212"/>
    </row>
    <row r="41" spans="1:37">
      <c r="A41" s="213" t="s">
        <v>179</v>
      </c>
      <c r="B41" s="47">
        <v>93.107809870017775</v>
      </c>
      <c r="C41" s="74">
        <v>88</v>
      </c>
      <c r="D41" t="s">
        <v>40</v>
      </c>
      <c r="F41" s="177">
        <v>10</v>
      </c>
      <c r="H41" s="47">
        <f>Power_Conversion_Efficiency_def</f>
        <v>88</v>
      </c>
      <c r="I41" s="47">
        <f t="shared" ref="I41:AI41" si="20">100-(100-H41)*2^(-1/Exp_PowerConv_Eff)</f>
        <v>88.803604101558307</v>
      </c>
      <c r="J41" s="47">
        <f t="shared" si="20"/>
        <v>89.553393240446511</v>
      </c>
      <c r="K41" s="47">
        <f t="shared" si="20"/>
        <v>90.25297124372517</v>
      </c>
      <c r="L41" s="47">
        <f t="shared" si="20"/>
        <v>90.905700600937607</v>
      </c>
      <c r="M41" s="47">
        <f t="shared" si="20"/>
        <v>91.514718625761418</v>
      </c>
      <c r="N41" s="47">
        <f t="shared" si="20"/>
        <v>92.082952535362622</v>
      </c>
      <c r="O41" s="47">
        <f t="shared" si="20"/>
        <v>92.613133519930486</v>
      </c>
      <c r="P41" s="47">
        <f t="shared" si="20"/>
        <v>93.107809870017775</v>
      </c>
      <c r="Q41" s="47">
        <f t="shared" si="20"/>
        <v>93.569359224782232</v>
      </c>
      <c r="R41" s="47">
        <f t="shared" si="20"/>
        <v>93.999999999999986</v>
      </c>
      <c r="S41" s="47">
        <f t="shared" si="20"/>
        <v>94.401802050779139</v>
      </c>
      <c r="T41" s="47">
        <f t="shared" si="20"/>
        <v>94.776696620223234</v>
      </c>
      <c r="U41" s="47">
        <f t="shared" si="20"/>
        <v>95.126485621862571</v>
      </c>
      <c r="V41" s="47">
        <f t="shared" si="20"/>
        <v>95.452850300468796</v>
      </c>
      <c r="W41" s="47">
        <f t="shared" si="20"/>
        <v>95.757359312880709</v>
      </c>
      <c r="X41" s="47">
        <f t="shared" si="20"/>
        <v>96.041476267681318</v>
      </c>
      <c r="Y41" s="47">
        <f t="shared" si="20"/>
        <v>96.30656675996525</v>
      </c>
      <c r="Z41" s="47">
        <f t="shared" si="20"/>
        <v>96.553904935008887</v>
      </c>
      <c r="AA41" s="47">
        <f t="shared" si="20"/>
        <v>96.784679612391116</v>
      </c>
      <c r="AB41" s="47">
        <f t="shared" si="20"/>
        <v>97</v>
      </c>
      <c r="AC41" s="47">
        <f t="shared" si="20"/>
        <v>97.200901025389584</v>
      </c>
      <c r="AD41" s="47">
        <f t="shared" si="20"/>
        <v>97.388348310111638</v>
      </c>
      <c r="AE41" s="47">
        <f t="shared" si="20"/>
        <v>97.5632428109313</v>
      </c>
      <c r="AF41" s="47">
        <f t="shared" si="20"/>
        <v>97.726425150234405</v>
      </c>
      <c r="AG41" s="47">
        <f t="shared" si="20"/>
        <v>97.878679656440355</v>
      </c>
      <c r="AH41" s="47">
        <f t="shared" si="20"/>
        <v>98.020738133840652</v>
      </c>
      <c r="AI41" s="223">
        <f t="shared" si="20"/>
        <v>98.153283379982625</v>
      </c>
    </row>
    <row r="42" spans="1:37" s="6" customFormat="1">
      <c r="A42" s="211" t="s">
        <v>180</v>
      </c>
      <c r="B42" s="56">
        <v>4.307618831238881</v>
      </c>
      <c r="C42" s="202">
        <v>7.5</v>
      </c>
      <c r="D42" s="6" t="s">
        <v>181</v>
      </c>
      <c r="F42" s="58">
        <v>10</v>
      </c>
      <c r="G42" s="55"/>
      <c r="H42" s="56">
        <f>Power_Conversion_Weight_def</f>
        <v>7.5</v>
      </c>
      <c r="I42" s="56">
        <f t="shared" ref="I42:AI42" si="21">H42*2^(-1/Exp_PowerConv_Weight)</f>
        <v>6.9977474365260557</v>
      </c>
      <c r="J42" s="56">
        <f t="shared" si="21"/>
        <v>6.5291292247209309</v>
      </c>
      <c r="K42" s="56">
        <f t="shared" si="21"/>
        <v>6.0918929726717659</v>
      </c>
      <c r="L42" s="56">
        <f t="shared" si="21"/>
        <v>5.6839371244139922</v>
      </c>
      <c r="M42" s="56">
        <f t="shared" si="21"/>
        <v>5.3033008588991057</v>
      </c>
      <c r="N42" s="56">
        <f t="shared" si="21"/>
        <v>4.948154665398353</v>
      </c>
      <c r="O42" s="56">
        <f t="shared" si="21"/>
        <v>4.6167915500434358</v>
      </c>
      <c r="P42" s="56">
        <f t="shared" si="21"/>
        <v>4.307618831238881</v>
      </c>
      <c r="Q42" s="56">
        <f t="shared" si="21"/>
        <v>4.0191504845110995</v>
      </c>
      <c r="R42" s="56">
        <f t="shared" si="21"/>
        <v>3.75</v>
      </c>
      <c r="S42" s="56">
        <f t="shared" si="21"/>
        <v>3.4988737182630278</v>
      </c>
      <c r="T42" s="56">
        <f t="shared" si="21"/>
        <v>3.2645646123604655</v>
      </c>
      <c r="U42" s="56">
        <f t="shared" si="21"/>
        <v>3.0459464863358829</v>
      </c>
      <c r="V42" s="56">
        <f t="shared" si="21"/>
        <v>2.8419685622069961</v>
      </c>
      <c r="W42" s="56">
        <f t="shared" si="21"/>
        <v>2.6516504294495529</v>
      </c>
      <c r="X42" s="56">
        <f t="shared" si="21"/>
        <v>2.4740773326991765</v>
      </c>
      <c r="Y42" s="56">
        <f t="shared" si="21"/>
        <v>2.3083957750217179</v>
      </c>
      <c r="Z42" s="56">
        <f t="shared" si="21"/>
        <v>2.1538094156194405</v>
      </c>
      <c r="AA42" s="56">
        <f t="shared" si="21"/>
        <v>2.0095752422555497</v>
      </c>
      <c r="AB42" s="56">
        <f t="shared" si="21"/>
        <v>1.875</v>
      </c>
      <c r="AC42" s="56">
        <f t="shared" si="21"/>
        <v>1.7494368591315139</v>
      </c>
      <c r="AD42" s="56">
        <f t="shared" si="21"/>
        <v>1.6322823061802327</v>
      </c>
      <c r="AE42" s="56">
        <f t="shared" si="21"/>
        <v>1.5229732431679415</v>
      </c>
      <c r="AF42" s="56">
        <f t="shared" si="21"/>
        <v>1.4209842811034981</v>
      </c>
      <c r="AG42" s="56">
        <f t="shared" si="21"/>
        <v>1.3258252147247764</v>
      </c>
      <c r="AH42" s="56">
        <f t="shared" si="21"/>
        <v>1.2370386663495883</v>
      </c>
      <c r="AI42" s="228">
        <f t="shared" si="21"/>
        <v>1.1541978875108589</v>
      </c>
    </row>
    <row r="43" spans="1:37">
      <c r="A43" s="213" t="s">
        <v>182</v>
      </c>
      <c r="B43" s="47">
        <v>8.615237662477762</v>
      </c>
      <c r="C43" s="74">
        <v>15</v>
      </c>
      <c r="D43" t="s">
        <v>183</v>
      </c>
      <c r="F43" s="177">
        <v>10</v>
      </c>
      <c r="H43" s="47">
        <f>Power_Conversion_Cost_Specific_def</f>
        <v>15</v>
      </c>
      <c r="I43" s="47">
        <f t="shared" ref="I43:AI43" si="22">H43*2^(-1/Exp_PowerConv_Cost)</f>
        <v>13.995494873052111</v>
      </c>
      <c r="J43" s="47">
        <f t="shared" si="22"/>
        <v>13.058258449441862</v>
      </c>
      <c r="K43" s="47">
        <f t="shared" si="22"/>
        <v>12.183785945343532</v>
      </c>
      <c r="L43" s="47">
        <f t="shared" si="22"/>
        <v>11.367874248827984</v>
      </c>
      <c r="M43" s="47">
        <f t="shared" si="22"/>
        <v>10.606601717798211</v>
      </c>
      <c r="N43" s="47">
        <f t="shared" si="22"/>
        <v>9.896309330796706</v>
      </c>
      <c r="O43" s="47">
        <f t="shared" si="22"/>
        <v>9.2335831000868716</v>
      </c>
      <c r="P43" s="47">
        <f t="shared" si="22"/>
        <v>8.615237662477762</v>
      </c>
      <c r="Q43" s="47">
        <f t="shared" si="22"/>
        <v>8.0383009690221989</v>
      </c>
      <c r="R43" s="47">
        <f t="shared" si="22"/>
        <v>7.5</v>
      </c>
      <c r="S43" s="47">
        <f t="shared" si="22"/>
        <v>6.9977474365260557</v>
      </c>
      <c r="T43" s="47">
        <f t="shared" si="22"/>
        <v>6.5291292247209309</v>
      </c>
      <c r="U43" s="47">
        <f t="shared" si="22"/>
        <v>6.0918929726717659</v>
      </c>
      <c r="V43" s="47">
        <f t="shared" si="22"/>
        <v>5.6839371244139922</v>
      </c>
      <c r="W43" s="47">
        <f t="shared" si="22"/>
        <v>5.3033008588991057</v>
      </c>
      <c r="X43" s="47">
        <f t="shared" si="22"/>
        <v>4.948154665398353</v>
      </c>
      <c r="Y43" s="47">
        <f t="shared" si="22"/>
        <v>4.6167915500434358</v>
      </c>
      <c r="Z43" s="47">
        <f t="shared" si="22"/>
        <v>4.307618831238881</v>
      </c>
      <c r="AA43" s="47">
        <f t="shared" si="22"/>
        <v>4.0191504845110995</v>
      </c>
      <c r="AB43" s="47">
        <f t="shared" si="22"/>
        <v>3.75</v>
      </c>
      <c r="AC43" s="47">
        <f t="shared" si="22"/>
        <v>3.4988737182630278</v>
      </c>
      <c r="AD43" s="47">
        <f t="shared" si="22"/>
        <v>3.2645646123604655</v>
      </c>
      <c r="AE43" s="47">
        <f t="shared" si="22"/>
        <v>3.0459464863358829</v>
      </c>
      <c r="AF43" s="47">
        <f t="shared" si="22"/>
        <v>2.8419685622069961</v>
      </c>
      <c r="AG43" s="47">
        <f t="shared" si="22"/>
        <v>2.6516504294495529</v>
      </c>
      <c r="AH43" s="47">
        <f t="shared" si="22"/>
        <v>2.4740773326991765</v>
      </c>
      <c r="AI43" s="223">
        <f t="shared" si="22"/>
        <v>2.3083957750217179</v>
      </c>
    </row>
    <row r="44" spans="1:37" s="6" customFormat="1">
      <c r="A44" s="220" t="s">
        <v>184</v>
      </c>
      <c r="B44" s="56"/>
      <c r="C44" s="202"/>
      <c r="F44" s="58"/>
      <c r="G44" s="55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228"/>
    </row>
    <row r="45" spans="1:37">
      <c r="A45" s="213" t="s">
        <v>185</v>
      </c>
      <c r="B45" s="47">
        <v>84.84283433489604</v>
      </c>
      <c r="C45" s="74">
        <v>80</v>
      </c>
      <c r="D45" t="s">
        <v>40</v>
      </c>
      <c r="E45" t="s">
        <v>186</v>
      </c>
      <c r="F45" s="177">
        <v>20</v>
      </c>
      <c r="H45" s="47">
        <f>Battery_Cycle_Efficiency_def</f>
        <v>80</v>
      </c>
      <c r="I45" s="47">
        <f t="shared" ref="I45:AI45" si="23">100-(100-H45)*2^(-1/Exp_Batt_CycEff)</f>
        <v>80.681273421503093</v>
      </c>
      <c r="J45" s="47">
        <f t="shared" si="23"/>
        <v>81.339340169263863</v>
      </c>
      <c r="K45" s="47">
        <f t="shared" si="23"/>
        <v>81.974990747783409</v>
      </c>
      <c r="L45" s="47">
        <f t="shared" si="23"/>
        <v>82.588988734077532</v>
      </c>
      <c r="M45" s="47">
        <f t="shared" si="23"/>
        <v>83.182071694925725</v>
      </c>
      <c r="N45" s="47">
        <f t="shared" si="23"/>
        <v>83.754952072875312</v>
      </c>
      <c r="O45" s="47">
        <f t="shared" si="23"/>
        <v>84.308318042065011</v>
      </c>
      <c r="P45" s="47">
        <f t="shared" si="23"/>
        <v>84.84283433489604</v>
      </c>
      <c r="Q45" s="47">
        <f t="shared" si="23"/>
        <v>85.359143040543771</v>
      </c>
      <c r="R45" s="47">
        <f t="shared" si="23"/>
        <v>85.857864376269077</v>
      </c>
      <c r="S45" s="47">
        <f t="shared" si="23"/>
        <v>86.339597432456074</v>
      </c>
      <c r="T45" s="47">
        <f t="shared" si="23"/>
        <v>86.804920892271085</v>
      </c>
      <c r="U45" s="47">
        <f t="shared" si="23"/>
        <v>87.254393726807407</v>
      </c>
      <c r="V45" s="47">
        <f t="shared" si="23"/>
        <v>87.688555866550871</v>
      </c>
      <c r="W45" s="47">
        <f t="shared" si="23"/>
        <v>88.107928849972822</v>
      </c>
      <c r="X45" s="47">
        <f t="shared" si="23"/>
        <v>88.513016450029681</v>
      </c>
      <c r="Y45" s="47">
        <f t="shared" si="23"/>
        <v>88.904305279321576</v>
      </c>
      <c r="Z45" s="47">
        <f t="shared" si="23"/>
        <v>89.282265374637092</v>
      </c>
      <c r="AA45" s="47">
        <f t="shared" si="23"/>
        <v>89.647350761586253</v>
      </c>
      <c r="AB45" s="47">
        <f t="shared" si="23"/>
        <v>90.000000000000028</v>
      </c>
      <c r="AC45" s="47">
        <f t="shared" si="23"/>
        <v>90.340636710751568</v>
      </c>
      <c r="AD45" s="47">
        <f t="shared" si="23"/>
        <v>90.669670084631946</v>
      </c>
      <c r="AE45" s="47">
        <f t="shared" si="23"/>
        <v>90.987495373891718</v>
      </c>
      <c r="AF45" s="47">
        <f t="shared" si="23"/>
        <v>91.29449436703878</v>
      </c>
      <c r="AG45" s="47">
        <f t="shared" si="23"/>
        <v>91.591035847462877</v>
      </c>
      <c r="AH45" s="47">
        <f t="shared" si="23"/>
        <v>91.87747603643767</v>
      </c>
      <c r="AI45" s="223">
        <f t="shared" si="23"/>
        <v>92.154159021032513</v>
      </c>
    </row>
    <row r="46" spans="1:37" s="6" customFormat="1">
      <c r="A46" s="211" t="s">
        <v>187</v>
      </c>
      <c r="B46" s="56">
        <v>39585.237323186855</v>
      </c>
      <c r="C46" s="202">
        <v>30000</v>
      </c>
      <c r="D46" s="6" t="s">
        <v>65</v>
      </c>
      <c r="E46" s="6" t="s">
        <v>188</v>
      </c>
      <c r="F46" s="58">
        <v>20</v>
      </c>
      <c r="G46" s="55"/>
      <c r="H46" s="56">
        <f>Battery_Cycle_Number_of_def</f>
        <v>30000</v>
      </c>
      <c r="I46" s="56">
        <f t="shared" ref="I46:AI46" si="24">H46*2^(1/Exp_Batt_NumbCyc)</f>
        <v>31057.947715241327</v>
      </c>
      <c r="J46" s="56">
        <f t="shared" si="24"/>
        <v>32153.203876088799</v>
      </c>
      <c r="K46" s="56">
        <f t="shared" si="24"/>
        <v>33287.08416203536</v>
      </c>
      <c r="L46" s="56">
        <f t="shared" si="24"/>
        <v>34460.950649911065</v>
      </c>
      <c r="M46" s="56">
        <f t="shared" si="24"/>
        <v>35676.213450081646</v>
      </c>
      <c r="N46" s="56">
        <f t="shared" si="24"/>
        <v>36934.332400347506</v>
      </c>
      <c r="O46" s="56">
        <f t="shared" si="24"/>
        <v>38236.818819577886</v>
      </c>
      <c r="P46" s="56">
        <f t="shared" si="24"/>
        <v>39585.237323186855</v>
      </c>
      <c r="Q46" s="56">
        <f t="shared" si="24"/>
        <v>40981.207702631895</v>
      </c>
      <c r="R46" s="56">
        <f t="shared" si="24"/>
        <v>42426.406871192885</v>
      </c>
      <c r="S46" s="56">
        <f t="shared" si="24"/>
        <v>43922.570878368802</v>
      </c>
      <c r="T46" s="56">
        <f t="shared" si="24"/>
        <v>45471.496995311987</v>
      </c>
      <c r="U46" s="56">
        <f t="shared" si="24"/>
        <v>47075.045873805095</v>
      </c>
      <c r="V46" s="56">
        <f t="shared" si="24"/>
        <v>48735.143781374187</v>
      </c>
      <c r="W46" s="56">
        <f t="shared" si="24"/>
        <v>50453.784915222932</v>
      </c>
      <c r="X46" s="56">
        <f t="shared" si="24"/>
        <v>52233.033797767515</v>
      </c>
      <c r="Y46" s="56">
        <f t="shared" si="24"/>
        <v>54075.027756649892</v>
      </c>
      <c r="Z46" s="56">
        <f t="shared" si="24"/>
        <v>55981.979492208528</v>
      </c>
      <c r="AA46" s="56">
        <f t="shared" si="24"/>
        <v>57956.179735490819</v>
      </c>
      <c r="AB46" s="56">
        <f t="shared" si="24"/>
        <v>60000.000000000095</v>
      </c>
      <c r="AC46" s="56">
        <f t="shared" si="24"/>
        <v>62115.895430482749</v>
      </c>
      <c r="AD46" s="56">
        <f t="shared" si="24"/>
        <v>64306.4077521777</v>
      </c>
      <c r="AE46" s="56">
        <f t="shared" si="24"/>
        <v>66574.168324070823</v>
      </c>
      <c r="AF46" s="56">
        <f t="shared" si="24"/>
        <v>68921.901299822232</v>
      </c>
      <c r="AG46" s="56">
        <f t="shared" si="24"/>
        <v>71352.426900163409</v>
      </c>
      <c r="AH46" s="56">
        <f t="shared" si="24"/>
        <v>73868.664800695129</v>
      </c>
      <c r="AI46" s="228">
        <f t="shared" si="24"/>
        <v>76473.637639155888</v>
      </c>
      <c r="AJ46" s="58" t="s">
        <v>189</v>
      </c>
      <c r="AK46" s="58"/>
    </row>
    <row r="47" spans="1:37">
      <c r="A47" s="213" t="s">
        <v>190</v>
      </c>
      <c r="B47" s="47">
        <v>92.421417167447999</v>
      </c>
      <c r="C47" s="74">
        <v>90</v>
      </c>
      <c r="D47" t="s">
        <v>40</v>
      </c>
      <c r="E47" t="s">
        <v>191</v>
      </c>
      <c r="F47" s="177">
        <v>20</v>
      </c>
      <c r="H47" s="47">
        <f>Battery_Depth_of_Discharge_def</f>
        <v>90</v>
      </c>
      <c r="I47" s="47">
        <f t="shared" ref="I47:AI47" si="25">100-(100-H47)*2^(-1/Exp_Batt_DoD)</f>
        <v>90.340636710751539</v>
      </c>
      <c r="J47" s="47">
        <f t="shared" si="25"/>
        <v>90.669670084631917</v>
      </c>
      <c r="K47" s="47">
        <f t="shared" si="25"/>
        <v>90.98749537389169</v>
      </c>
      <c r="L47" s="47">
        <f t="shared" si="25"/>
        <v>91.294494367038752</v>
      </c>
      <c r="M47" s="47">
        <f t="shared" si="25"/>
        <v>91.591035847462848</v>
      </c>
      <c r="N47" s="47">
        <f t="shared" si="25"/>
        <v>91.877476036437642</v>
      </c>
      <c r="O47" s="47">
        <f t="shared" si="25"/>
        <v>92.154159021032484</v>
      </c>
      <c r="P47" s="47">
        <f t="shared" si="25"/>
        <v>92.421417167447999</v>
      </c>
      <c r="Q47" s="47">
        <f t="shared" si="25"/>
        <v>92.679571520271864</v>
      </c>
      <c r="R47" s="47">
        <f t="shared" si="25"/>
        <v>92.92893218813451</v>
      </c>
      <c r="S47" s="47">
        <f t="shared" si="25"/>
        <v>93.169798716228001</v>
      </c>
      <c r="T47" s="47">
        <f t="shared" si="25"/>
        <v>93.402460446135507</v>
      </c>
      <c r="U47" s="47">
        <f t="shared" si="25"/>
        <v>93.627196863403668</v>
      </c>
      <c r="V47" s="47">
        <f t="shared" si="25"/>
        <v>93.844277933275393</v>
      </c>
      <c r="W47" s="47">
        <f t="shared" si="25"/>
        <v>94.053964424986376</v>
      </c>
      <c r="X47" s="47">
        <f t="shared" si="25"/>
        <v>94.256508225014812</v>
      </c>
      <c r="Y47" s="47">
        <f t="shared" si="25"/>
        <v>94.452152639660767</v>
      </c>
      <c r="Z47" s="47">
        <f t="shared" si="25"/>
        <v>94.641132687318532</v>
      </c>
      <c r="AA47" s="47">
        <f t="shared" si="25"/>
        <v>94.823675380793105</v>
      </c>
      <c r="AB47" s="47">
        <f t="shared" si="25"/>
        <v>95</v>
      </c>
      <c r="AC47" s="47">
        <f t="shared" si="25"/>
        <v>95.17031835537577</v>
      </c>
      <c r="AD47" s="47">
        <f t="shared" si="25"/>
        <v>95.334835042315959</v>
      </c>
      <c r="AE47" s="47">
        <f t="shared" si="25"/>
        <v>95.493747686945852</v>
      </c>
      <c r="AF47" s="47">
        <f t="shared" si="25"/>
        <v>95.647247183519383</v>
      </c>
      <c r="AG47" s="47">
        <f t="shared" si="25"/>
        <v>95.795517923731438</v>
      </c>
      <c r="AH47" s="47">
        <f t="shared" si="25"/>
        <v>95.938738018218828</v>
      </c>
      <c r="AI47" s="223">
        <f t="shared" si="25"/>
        <v>96.077079510516256</v>
      </c>
      <c r="AJ47" s="177"/>
      <c r="AK47" s="177"/>
    </row>
    <row r="48" spans="1:37" s="6" customFormat="1">
      <c r="A48" s="211" t="s">
        <v>192</v>
      </c>
      <c r="B48" s="56">
        <v>7.5785828325519873</v>
      </c>
      <c r="C48" s="202">
        <v>10</v>
      </c>
      <c r="D48" s="6" t="s">
        <v>193</v>
      </c>
      <c r="E48" s="6" t="s">
        <v>194</v>
      </c>
      <c r="F48" s="58">
        <v>20</v>
      </c>
      <c r="G48" s="55"/>
      <c r="H48" s="56">
        <f>Battery_Energy_Density_def</f>
        <v>10</v>
      </c>
      <c r="I48" s="56">
        <f t="shared" ref="I48:AI48" si="26">H48*2^(-1/Exp_Batt_Weight)</f>
        <v>9.6593632892484553</v>
      </c>
      <c r="J48" s="56">
        <f t="shared" si="26"/>
        <v>9.3303299153680737</v>
      </c>
      <c r="K48" s="56">
        <f t="shared" si="26"/>
        <v>9.0125046261083011</v>
      </c>
      <c r="L48" s="56">
        <f t="shared" si="26"/>
        <v>8.7055056329612395</v>
      </c>
      <c r="M48" s="56">
        <f t="shared" si="26"/>
        <v>8.408964152537143</v>
      </c>
      <c r="N48" s="56">
        <f t="shared" si="26"/>
        <v>8.1225239635623527</v>
      </c>
      <c r="O48" s="56">
        <f t="shared" si="26"/>
        <v>7.8458409789675043</v>
      </c>
      <c r="P48" s="56">
        <f t="shared" si="26"/>
        <v>7.5785828325519873</v>
      </c>
      <c r="Q48" s="56">
        <f t="shared" si="26"/>
        <v>7.3204284797281236</v>
      </c>
      <c r="R48" s="56">
        <f t="shared" si="26"/>
        <v>7.0710678118654711</v>
      </c>
      <c r="S48" s="56">
        <f t="shared" si="26"/>
        <v>6.8302012837719728</v>
      </c>
      <c r="T48" s="56">
        <f t="shared" si="26"/>
        <v>6.5975395538644666</v>
      </c>
      <c r="U48" s="56">
        <f t="shared" si="26"/>
        <v>6.372803136596306</v>
      </c>
      <c r="V48" s="56">
        <f t="shared" si="26"/>
        <v>6.1557220667245769</v>
      </c>
      <c r="W48" s="56">
        <f t="shared" si="26"/>
        <v>5.9460355750136005</v>
      </c>
      <c r="X48" s="56">
        <f t="shared" si="26"/>
        <v>5.7434917749851699</v>
      </c>
      <c r="Y48" s="56">
        <f t="shared" si="26"/>
        <v>5.5478473603392198</v>
      </c>
      <c r="Z48" s="56">
        <f t="shared" si="26"/>
        <v>5.3588673126814603</v>
      </c>
      <c r="AA48" s="56">
        <f t="shared" si="26"/>
        <v>5.1763246192068815</v>
      </c>
      <c r="AB48" s="56">
        <f t="shared" si="26"/>
        <v>4.9999999999999938</v>
      </c>
      <c r="AC48" s="56">
        <f t="shared" si="26"/>
        <v>4.8296816446242214</v>
      </c>
      <c r="AD48" s="56">
        <f t="shared" si="26"/>
        <v>4.6651649576840306</v>
      </c>
      <c r="AE48" s="56">
        <f t="shared" si="26"/>
        <v>4.5062523130541443</v>
      </c>
      <c r="AF48" s="56">
        <f t="shared" si="26"/>
        <v>4.3527528164806135</v>
      </c>
      <c r="AG48" s="56">
        <f t="shared" si="26"/>
        <v>4.2044820762685653</v>
      </c>
      <c r="AH48" s="56">
        <f t="shared" si="26"/>
        <v>4.0612619817811701</v>
      </c>
      <c r="AI48" s="228">
        <f t="shared" si="26"/>
        <v>3.9229204894837464</v>
      </c>
      <c r="AJ48" s="58" t="s">
        <v>195</v>
      </c>
      <c r="AK48" s="58"/>
    </row>
    <row r="49" spans="1:37">
      <c r="A49" s="213" t="s">
        <v>196</v>
      </c>
      <c r="B49" s="47">
        <v>1.1486983549970351</v>
      </c>
      <c r="C49" s="74">
        <v>2</v>
      </c>
      <c r="D49" t="s">
        <v>197</v>
      </c>
      <c r="F49" s="177">
        <v>10</v>
      </c>
      <c r="H49" s="47">
        <f>Battery_Cost_Specific_def</f>
        <v>2</v>
      </c>
      <c r="I49" s="47">
        <f t="shared" ref="I49:AI49" si="27">H49*2^(-1/Exp_Batt_Cost)</f>
        <v>1.8660659830736148</v>
      </c>
      <c r="J49" s="47">
        <f t="shared" si="27"/>
        <v>1.7411011265922482</v>
      </c>
      <c r="K49" s="47">
        <f t="shared" si="27"/>
        <v>1.6245047927124709</v>
      </c>
      <c r="L49" s="47">
        <f t="shared" si="27"/>
        <v>1.515716566510398</v>
      </c>
      <c r="M49" s="47">
        <f t="shared" si="27"/>
        <v>1.4142135623730949</v>
      </c>
      <c r="N49" s="47">
        <f t="shared" si="27"/>
        <v>1.3195079107728942</v>
      </c>
      <c r="O49" s="47">
        <f t="shared" si="27"/>
        <v>1.2311444133449163</v>
      </c>
      <c r="P49" s="47">
        <f t="shared" si="27"/>
        <v>1.1486983549970351</v>
      </c>
      <c r="Q49" s="47">
        <f t="shared" si="27"/>
        <v>1.0717734625362934</v>
      </c>
      <c r="R49" s="47">
        <f t="shared" si="27"/>
        <v>1.0000000000000002</v>
      </c>
      <c r="S49" s="47">
        <f t="shared" si="27"/>
        <v>0.93303299153680763</v>
      </c>
      <c r="T49" s="47">
        <f t="shared" si="27"/>
        <v>0.87055056329612435</v>
      </c>
      <c r="U49" s="47">
        <f t="shared" si="27"/>
        <v>0.8122523963562357</v>
      </c>
      <c r="V49" s="47">
        <f t="shared" si="27"/>
        <v>0.75785828325519922</v>
      </c>
      <c r="W49" s="47">
        <f t="shared" si="27"/>
        <v>0.70710678118654768</v>
      </c>
      <c r="X49" s="47">
        <f t="shared" si="27"/>
        <v>0.65975395538644732</v>
      </c>
      <c r="Y49" s="47">
        <f t="shared" si="27"/>
        <v>0.61557220667245827</v>
      </c>
      <c r="Z49" s="47">
        <f t="shared" si="27"/>
        <v>0.57434917749851766</v>
      </c>
      <c r="AA49" s="47">
        <f t="shared" si="27"/>
        <v>0.53588673126814668</v>
      </c>
      <c r="AB49" s="47">
        <f t="shared" si="27"/>
        <v>0.50000000000000011</v>
      </c>
      <c r="AC49" s="47">
        <f t="shared" si="27"/>
        <v>0.46651649576840382</v>
      </c>
      <c r="AD49" s="47">
        <f t="shared" si="27"/>
        <v>0.43527528164806217</v>
      </c>
      <c r="AE49" s="47">
        <f t="shared" si="27"/>
        <v>0.40612619817811785</v>
      </c>
      <c r="AF49" s="47">
        <f t="shared" si="27"/>
        <v>0.37892914162759961</v>
      </c>
      <c r="AG49" s="47">
        <f t="shared" si="27"/>
        <v>0.35355339059327384</v>
      </c>
      <c r="AH49" s="47">
        <f t="shared" si="27"/>
        <v>0.32987697769322366</v>
      </c>
      <c r="AI49" s="223">
        <f t="shared" si="27"/>
        <v>0.30778610333622913</v>
      </c>
    </row>
    <row r="50" spans="1:37" s="6" customFormat="1">
      <c r="A50" s="220" t="s">
        <v>198</v>
      </c>
      <c r="B50" s="56"/>
      <c r="C50" s="202"/>
      <c r="F50" s="58"/>
      <c r="G50" s="55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228"/>
    </row>
    <row r="51" spans="1:37">
      <c r="A51" s="213" t="s">
        <v>199</v>
      </c>
      <c r="B51" s="47">
        <v>17</v>
      </c>
      <c r="C51" s="74">
        <v>15</v>
      </c>
      <c r="D51" t="s">
        <v>40</v>
      </c>
      <c r="E51" t="s">
        <v>200</v>
      </c>
      <c r="F51" s="203">
        <v>40</v>
      </c>
      <c r="H51" s="47">
        <f>PV_Efficiency_def</f>
        <v>15</v>
      </c>
      <c r="I51" s="47">
        <f t="shared" ref="I51:AI51" si="28">PV_Efficiency_def+(I1-2023)/Lin_PV_Efficiency*10</f>
        <v>15.25</v>
      </c>
      <c r="J51" s="47">
        <f t="shared" si="28"/>
        <v>15.5</v>
      </c>
      <c r="K51" s="47">
        <f t="shared" si="28"/>
        <v>15.75</v>
      </c>
      <c r="L51" s="47">
        <f t="shared" si="28"/>
        <v>16</v>
      </c>
      <c r="M51" s="47">
        <f t="shared" si="28"/>
        <v>16.25</v>
      </c>
      <c r="N51" s="47">
        <f t="shared" si="28"/>
        <v>16.5</v>
      </c>
      <c r="O51" s="47">
        <f t="shared" si="28"/>
        <v>16.75</v>
      </c>
      <c r="P51" s="47">
        <f t="shared" si="28"/>
        <v>17</v>
      </c>
      <c r="Q51" s="47">
        <f t="shared" si="28"/>
        <v>17.25</v>
      </c>
      <c r="R51" s="47">
        <f t="shared" si="28"/>
        <v>17.5</v>
      </c>
      <c r="S51" s="47">
        <f t="shared" si="28"/>
        <v>17.75</v>
      </c>
      <c r="T51" s="47">
        <f t="shared" si="28"/>
        <v>18</v>
      </c>
      <c r="U51" s="47">
        <f t="shared" si="28"/>
        <v>18.25</v>
      </c>
      <c r="V51" s="47">
        <f t="shared" si="28"/>
        <v>18.5</v>
      </c>
      <c r="W51" s="47">
        <f t="shared" si="28"/>
        <v>18.75</v>
      </c>
      <c r="X51" s="47">
        <f t="shared" si="28"/>
        <v>19</v>
      </c>
      <c r="Y51" s="47">
        <f t="shared" si="28"/>
        <v>19.25</v>
      </c>
      <c r="Z51" s="47">
        <f t="shared" si="28"/>
        <v>19.5</v>
      </c>
      <c r="AA51" s="47">
        <f t="shared" si="28"/>
        <v>19.75</v>
      </c>
      <c r="AB51" s="47">
        <f t="shared" si="28"/>
        <v>20</v>
      </c>
      <c r="AC51" s="47">
        <f t="shared" si="28"/>
        <v>20.25</v>
      </c>
      <c r="AD51" s="47">
        <f t="shared" si="28"/>
        <v>20.5</v>
      </c>
      <c r="AE51" s="47">
        <f t="shared" si="28"/>
        <v>20.75</v>
      </c>
      <c r="AF51" s="47">
        <f t="shared" si="28"/>
        <v>21</v>
      </c>
      <c r="AG51" s="47">
        <f t="shared" si="28"/>
        <v>21.25</v>
      </c>
      <c r="AH51" s="47">
        <f t="shared" si="28"/>
        <v>21.5</v>
      </c>
      <c r="AI51" s="223">
        <f t="shared" si="28"/>
        <v>21.75</v>
      </c>
      <c r="AJ51" t="s">
        <v>201</v>
      </c>
    </row>
    <row r="52" spans="1:37">
      <c r="A52" s="213" t="s">
        <v>202</v>
      </c>
      <c r="B52" s="47">
        <v>241.4</v>
      </c>
      <c r="C52" s="74">
        <f>Constant_SolarRadiation_LEO*PV_Efficiency_def/100</f>
        <v>213</v>
      </c>
      <c r="D52" t="s">
        <v>78</v>
      </c>
      <c r="F52" s="203">
        <v>30</v>
      </c>
      <c r="H52" s="47">
        <f>PV_Density_def</f>
        <v>213</v>
      </c>
      <c r="I52" s="47">
        <f t="shared" ref="I52:AI52" si="29">Constant_SolarRadiation_LEO*I51/100</f>
        <v>216.55</v>
      </c>
      <c r="J52" s="47">
        <f t="shared" si="29"/>
        <v>220.1</v>
      </c>
      <c r="K52" s="47">
        <f t="shared" si="29"/>
        <v>223.65</v>
      </c>
      <c r="L52" s="47">
        <f t="shared" si="29"/>
        <v>227.2</v>
      </c>
      <c r="M52" s="47">
        <f t="shared" si="29"/>
        <v>230.75</v>
      </c>
      <c r="N52" s="47">
        <f t="shared" si="29"/>
        <v>234.3</v>
      </c>
      <c r="O52" s="47">
        <f t="shared" si="29"/>
        <v>237.85</v>
      </c>
      <c r="P52" s="47">
        <f t="shared" si="29"/>
        <v>241.4</v>
      </c>
      <c r="Q52" s="47">
        <f t="shared" si="29"/>
        <v>244.95</v>
      </c>
      <c r="R52" s="47">
        <f t="shared" si="29"/>
        <v>248.5</v>
      </c>
      <c r="S52" s="47">
        <f t="shared" si="29"/>
        <v>252.05</v>
      </c>
      <c r="T52" s="47">
        <f t="shared" si="29"/>
        <v>255.6</v>
      </c>
      <c r="U52" s="47">
        <f t="shared" si="29"/>
        <v>259.14999999999998</v>
      </c>
      <c r="V52" s="47">
        <f t="shared" si="29"/>
        <v>262.7</v>
      </c>
      <c r="W52" s="47">
        <f t="shared" si="29"/>
        <v>266.25</v>
      </c>
      <c r="X52" s="47">
        <f t="shared" si="29"/>
        <v>269.8</v>
      </c>
      <c r="Y52" s="47">
        <f t="shared" si="29"/>
        <v>273.35000000000002</v>
      </c>
      <c r="Z52" s="47">
        <f t="shared" si="29"/>
        <v>276.89999999999998</v>
      </c>
      <c r="AA52" s="47">
        <f t="shared" si="29"/>
        <v>280.45</v>
      </c>
      <c r="AB52" s="47">
        <f t="shared" si="29"/>
        <v>284</v>
      </c>
      <c r="AC52" s="47">
        <f t="shared" si="29"/>
        <v>287.55</v>
      </c>
      <c r="AD52" s="47">
        <f t="shared" si="29"/>
        <v>291.10000000000002</v>
      </c>
      <c r="AE52" s="47">
        <f t="shared" si="29"/>
        <v>294.64999999999998</v>
      </c>
      <c r="AF52" s="47">
        <f t="shared" si="29"/>
        <v>298.2</v>
      </c>
      <c r="AG52" s="47">
        <f t="shared" si="29"/>
        <v>301.75</v>
      </c>
      <c r="AH52" s="47">
        <f t="shared" si="29"/>
        <v>305.3</v>
      </c>
      <c r="AI52" s="223">
        <f t="shared" si="29"/>
        <v>308.85000000000002</v>
      </c>
    </row>
    <row r="53" spans="1:37" s="6" customFormat="1">
      <c r="A53" s="211" t="s">
        <v>203</v>
      </c>
      <c r="B53" s="56">
        <v>0.75785828325519866</v>
      </c>
      <c r="C53" s="202">
        <v>1</v>
      </c>
      <c r="D53" s="6" t="s">
        <v>204</v>
      </c>
      <c r="F53" s="58">
        <v>20</v>
      </c>
      <c r="G53" s="55"/>
      <c r="H53" s="56">
        <f>PV_Weight_Specific_def</f>
        <v>1</v>
      </c>
      <c r="I53" s="56">
        <f t="shared" ref="I53:AI53" si="30">H53*2^(-1/Exp_PV_Weight)</f>
        <v>0.96593632892484549</v>
      </c>
      <c r="J53" s="56">
        <f t="shared" si="30"/>
        <v>0.9330329915368073</v>
      </c>
      <c r="K53" s="56">
        <f t="shared" si="30"/>
        <v>0.90125046261083008</v>
      </c>
      <c r="L53" s="56">
        <f t="shared" si="30"/>
        <v>0.8705505632961239</v>
      </c>
      <c r="M53" s="56">
        <f t="shared" si="30"/>
        <v>0.84089641525371428</v>
      </c>
      <c r="N53" s="56">
        <f t="shared" si="30"/>
        <v>0.81225239635623525</v>
      </c>
      <c r="O53" s="56">
        <f t="shared" si="30"/>
        <v>0.78458409789675043</v>
      </c>
      <c r="P53" s="56">
        <f t="shared" si="30"/>
        <v>0.75785828325519866</v>
      </c>
      <c r="Q53" s="56">
        <f t="shared" si="30"/>
        <v>0.73204284797281227</v>
      </c>
      <c r="R53" s="56">
        <f t="shared" si="30"/>
        <v>0.70710678118654702</v>
      </c>
      <c r="S53" s="56">
        <f t="shared" si="30"/>
        <v>0.68302012837719728</v>
      </c>
      <c r="T53" s="56">
        <f t="shared" si="30"/>
        <v>0.65975395538644666</v>
      </c>
      <c r="U53" s="56">
        <f t="shared" si="30"/>
        <v>0.63728031365963056</v>
      </c>
      <c r="V53" s="56">
        <f t="shared" si="30"/>
        <v>0.6155722066724576</v>
      </c>
      <c r="W53" s="56">
        <f t="shared" si="30"/>
        <v>0.59460355750135996</v>
      </c>
      <c r="X53" s="56">
        <f t="shared" si="30"/>
        <v>0.57434917749851688</v>
      </c>
      <c r="Y53" s="56">
        <f t="shared" si="30"/>
        <v>0.55478473603392187</v>
      </c>
      <c r="Z53" s="56">
        <f t="shared" si="30"/>
        <v>0.5358867312681459</v>
      </c>
      <c r="AA53" s="56">
        <f t="shared" si="30"/>
        <v>0.51763246192068801</v>
      </c>
      <c r="AB53" s="56">
        <f t="shared" si="30"/>
        <v>0.49999999999999928</v>
      </c>
      <c r="AC53" s="56">
        <f t="shared" si="30"/>
        <v>0.48296816446242202</v>
      </c>
      <c r="AD53" s="56">
        <f t="shared" si="30"/>
        <v>0.46651649576840293</v>
      </c>
      <c r="AE53" s="56">
        <f t="shared" si="30"/>
        <v>0.45062523130541432</v>
      </c>
      <c r="AF53" s="56">
        <f t="shared" si="30"/>
        <v>0.43527528164806129</v>
      </c>
      <c r="AG53" s="56">
        <f t="shared" si="30"/>
        <v>0.42044820762685647</v>
      </c>
      <c r="AH53" s="56">
        <f t="shared" si="30"/>
        <v>0.40612619817811696</v>
      </c>
      <c r="AI53" s="228">
        <f t="shared" si="30"/>
        <v>0.39229204894837455</v>
      </c>
    </row>
    <row r="54" spans="1:37">
      <c r="A54" s="213" t="s">
        <v>205</v>
      </c>
      <c r="B54" s="47">
        <v>5527.6515198711031</v>
      </c>
      <c r="C54" s="74">
        <v>8000</v>
      </c>
      <c r="D54" t="s">
        <v>206</v>
      </c>
      <c r="F54" s="177">
        <v>15</v>
      </c>
      <c r="H54" s="47">
        <f>PV_Cost_Specific_def</f>
        <v>8000</v>
      </c>
      <c r="I54" s="47">
        <f t="shared" ref="I54:AI54" si="31">H54*2^(-1/Exp_PV_Cost)</f>
        <v>7638.7328312833324</v>
      </c>
      <c r="J54" s="47">
        <f t="shared" si="31"/>
        <v>7293.7799084657345</v>
      </c>
      <c r="K54" s="47">
        <f t="shared" si="31"/>
        <v>6964.4045063689928</v>
      </c>
      <c r="L54" s="47">
        <f t="shared" si="31"/>
        <v>6649.9031691423015</v>
      </c>
      <c r="M54" s="47">
        <f t="shared" si="31"/>
        <v>6349.6042078727969</v>
      </c>
      <c r="N54" s="47">
        <f t="shared" si="31"/>
        <v>6062.8662660415912</v>
      </c>
      <c r="O54" s="47">
        <f t="shared" si="31"/>
        <v>5789.0769497615111</v>
      </c>
      <c r="P54" s="47">
        <f t="shared" si="31"/>
        <v>5527.6515198711031</v>
      </c>
      <c r="Q54" s="47">
        <f t="shared" si="31"/>
        <v>5278.0316430915755</v>
      </c>
      <c r="R54" s="47">
        <f t="shared" si="31"/>
        <v>5039.6841995794912</v>
      </c>
      <c r="S54" s="47">
        <f t="shared" si="31"/>
        <v>4812.1001443284649</v>
      </c>
      <c r="T54" s="47">
        <f t="shared" si="31"/>
        <v>4594.7934199881383</v>
      </c>
      <c r="U54" s="47">
        <f t="shared" si="31"/>
        <v>4387.2999187785017</v>
      </c>
      <c r="V54" s="47">
        <f t="shared" si="31"/>
        <v>4189.1764912825047</v>
      </c>
      <c r="W54" s="47">
        <f t="shared" si="31"/>
        <v>3999.9999999999977</v>
      </c>
      <c r="X54" s="47">
        <f t="shared" si="31"/>
        <v>3819.3664156416639</v>
      </c>
      <c r="Y54" s="47">
        <f t="shared" si="31"/>
        <v>3646.889954232865</v>
      </c>
      <c r="Z54" s="47">
        <f t="shared" si="31"/>
        <v>3482.2022531844941</v>
      </c>
      <c r="AA54" s="47">
        <f t="shared" si="31"/>
        <v>3324.9515845711485</v>
      </c>
      <c r="AB54" s="47">
        <f t="shared" si="31"/>
        <v>3174.8021039363962</v>
      </c>
      <c r="AC54" s="47">
        <f t="shared" si="31"/>
        <v>3031.4331330207933</v>
      </c>
      <c r="AD54" s="47">
        <f t="shared" si="31"/>
        <v>2894.5384748807533</v>
      </c>
      <c r="AE54" s="47">
        <f t="shared" si="31"/>
        <v>2763.8257599355493</v>
      </c>
      <c r="AF54" s="47">
        <f t="shared" si="31"/>
        <v>2639.0158215457855</v>
      </c>
      <c r="AG54" s="47">
        <f t="shared" si="31"/>
        <v>2519.8420997897433</v>
      </c>
      <c r="AH54" s="47">
        <f t="shared" si="31"/>
        <v>2406.0500721642302</v>
      </c>
      <c r="AI54" s="223">
        <f t="shared" si="31"/>
        <v>2297.3967099940669</v>
      </c>
    </row>
    <row r="55" spans="1:37" s="6" customFormat="1">
      <c r="A55" s="220" t="s">
        <v>207</v>
      </c>
      <c r="B55" s="56"/>
      <c r="C55" s="202"/>
      <c r="F55" s="58"/>
      <c r="G55" s="55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228"/>
    </row>
    <row r="56" spans="1:37">
      <c r="A56" s="213" t="s">
        <v>208</v>
      </c>
      <c r="B56" s="47">
        <v>0.8705505632961249</v>
      </c>
      <c r="C56" s="74">
        <v>1</v>
      </c>
      <c r="D56" t="s">
        <v>209</v>
      </c>
      <c r="E56" t="s">
        <v>210</v>
      </c>
      <c r="F56" s="177">
        <v>40</v>
      </c>
      <c r="H56" s="47">
        <f>Cables_Weight_Specific_def</f>
        <v>1</v>
      </c>
      <c r="I56" s="47">
        <f t="shared" ref="I56:AI56" si="32">H56*2^(-1/Exp_Cables_Weight)</f>
        <v>0.98282059854525117</v>
      </c>
      <c r="J56" s="47">
        <f t="shared" si="32"/>
        <v>0.96593632892484571</v>
      </c>
      <c r="K56" s="47">
        <f t="shared" si="32"/>
        <v>0.94934212095051951</v>
      </c>
      <c r="L56" s="47">
        <f t="shared" si="32"/>
        <v>0.93303299153680785</v>
      </c>
      <c r="M56" s="47">
        <f t="shared" si="32"/>
        <v>0.91700404320467177</v>
      </c>
      <c r="N56" s="47">
        <f t="shared" si="32"/>
        <v>0.90125046261083086</v>
      </c>
      <c r="O56" s="47">
        <f t="shared" si="32"/>
        <v>0.88576751910236129</v>
      </c>
      <c r="P56" s="47">
        <f t="shared" si="32"/>
        <v>0.8705505632961249</v>
      </c>
      <c r="Q56" s="47">
        <f t="shared" si="32"/>
        <v>0.85559502568260304</v>
      </c>
      <c r="R56" s="47">
        <f t="shared" si="32"/>
        <v>0.8408964152537155</v>
      </c>
      <c r="S56" s="47">
        <f t="shared" si="32"/>
        <v>0.82645031815421277</v>
      </c>
      <c r="T56" s="47">
        <f t="shared" si="32"/>
        <v>0.81225239635623669</v>
      </c>
      <c r="U56" s="47">
        <f t="shared" si="32"/>
        <v>0.79829838635665118</v>
      </c>
      <c r="V56" s="47">
        <f t="shared" si="32"/>
        <v>0.7845840978967521</v>
      </c>
      <c r="W56" s="47">
        <f t="shared" si="32"/>
        <v>0.77110541270397182</v>
      </c>
      <c r="X56" s="47">
        <f t="shared" si="32"/>
        <v>0.75785828325520055</v>
      </c>
      <c r="Y56" s="47">
        <f t="shared" si="32"/>
        <v>0.74483873156135272</v>
      </c>
      <c r="Z56" s="47">
        <f t="shared" si="32"/>
        <v>0.73204284797281438</v>
      </c>
      <c r="AA56" s="47">
        <f t="shared" si="32"/>
        <v>0.71946679000541169</v>
      </c>
      <c r="AB56" s="47">
        <f t="shared" si="32"/>
        <v>0.70710678118654924</v>
      </c>
      <c r="AC56" s="47">
        <f t="shared" si="32"/>
        <v>0.69495910992117027</v>
      </c>
      <c r="AD56" s="47">
        <f t="shared" si="32"/>
        <v>0.68302012837719961</v>
      </c>
      <c r="AE56" s="47">
        <f t="shared" si="32"/>
        <v>0.67128625139013365</v>
      </c>
      <c r="AF56" s="47">
        <f t="shared" si="32"/>
        <v>0.6597539553864491</v>
      </c>
      <c r="AG56" s="47">
        <f t="shared" si="32"/>
        <v>0.64841977732550682</v>
      </c>
      <c r="AH56" s="47">
        <f t="shared" si="32"/>
        <v>0.63728031365963311</v>
      </c>
      <c r="AI56" s="223">
        <f t="shared" si="32"/>
        <v>0.62633221931206606</v>
      </c>
    </row>
    <row r="57" spans="1:37" s="6" customFormat="1">
      <c r="A57" s="211" t="s">
        <v>211</v>
      </c>
      <c r="B57" s="56">
        <v>2611.6516898883747</v>
      </c>
      <c r="C57" s="202">
        <v>3000</v>
      </c>
      <c r="D57" s="6" t="s">
        <v>212</v>
      </c>
      <c r="E57" s="6" t="s">
        <v>213</v>
      </c>
      <c r="F57" s="58">
        <v>40</v>
      </c>
      <c r="G57" s="55"/>
      <c r="H57" s="56">
        <f>Cables_Cost_Specific_def</f>
        <v>3000</v>
      </c>
      <c r="I57" s="56">
        <f t="shared" ref="I57:AI57" si="33">H57*2^(-1/Exp_Cables_Cost)</f>
        <v>2948.4617956357533</v>
      </c>
      <c r="J57" s="56">
        <f t="shared" si="33"/>
        <v>2897.8089867745371</v>
      </c>
      <c r="K57" s="56">
        <f t="shared" si="33"/>
        <v>2848.0263628515581</v>
      </c>
      <c r="L57" s="56">
        <f t="shared" si="33"/>
        <v>2799.0989746104228</v>
      </c>
      <c r="M57" s="56">
        <f t="shared" si="33"/>
        <v>2751.0121296140146</v>
      </c>
      <c r="N57" s="56">
        <f t="shared" si="33"/>
        <v>2703.7513878324921</v>
      </c>
      <c r="O57" s="56">
        <f t="shared" si="33"/>
        <v>2657.3025573070836</v>
      </c>
      <c r="P57" s="56">
        <f t="shared" si="33"/>
        <v>2611.6516898883747</v>
      </c>
      <c r="Q57" s="56">
        <f t="shared" si="33"/>
        <v>2566.785077047809</v>
      </c>
      <c r="R57" s="56">
        <f t="shared" si="33"/>
        <v>2522.6892457611461</v>
      </c>
      <c r="S57" s="56">
        <f t="shared" si="33"/>
        <v>2479.3509544626377</v>
      </c>
      <c r="T57" s="56">
        <f t="shared" si="33"/>
        <v>2436.7571890687095</v>
      </c>
      <c r="U57" s="56">
        <f t="shared" si="33"/>
        <v>2394.895159069953</v>
      </c>
      <c r="V57" s="56">
        <f t="shared" si="33"/>
        <v>2353.7522936902556</v>
      </c>
      <c r="W57" s="56">
        <f t="shared" si="33"/>
        <v>2313.3162381119146</v>
      </c>
      <c r="X57" s="56">
        <f t="shared" si="33"/>
        <v>2273.5748497656004</v>
      </c>
      <c r="Y57" s="56">
        <f t="shared" si="33"/>
        <v>2234.5161946840572</v>
      </c>
      <c r="Z57" s="56">
        <f t="shared" si="33"/>
        <v>2196.1285439184421</v>
      </c>
      <c r="AA57" s="56">
        <f t="shared" si="33"/>
        <v>2158.4003700162343</v>
      </c>
      <c r="AB57" s="56">
        <f t="shared" si="33"/>
        <v>2121.320343559647</v>
      </c>
      <c r="AC57" s="56">
        <f t="shared" si="33"/>
        <v>2084.8773297635103</v>
      </c>
      <c r="AD57" s="56">
        <f t="shared" si="33"/>
        <v>2049.0603851315982</v>
      </c>
      <c r="AE57" s="56">
        <f t="shared" si="33"/>
        <v>2013.8587541704003</v>
      </c>
      <c r="AF57" s="56">
        <f t="shared" si="33"/>
        <v>1979.2618661593467</v>
      </c>
      <c r="AG57" s="56">
        <f t="shared" si="33"/>
        <v>1945.2593319765199</v>
      </c>
      <c r="AH57" s="56">
        <f t="shared" si="33"/>
        <v>1911.8409409788987</v>
      </c>
      <c r="AI57" s="228">
        <f t="shared" si="33"/>
        <v>1878.9966579361974</v>
      </c>
    </row>
    <row r="58" spans="1:37">
      <c r="A58" s="213"/>
      <c r="B58" s="47"/>
      <c r="C58" s="74"/>
      <c r="F58" s="178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223"/>
    </row>
    <row r="59" spans="1:37" s="6" customFormat="1">
      <c r="A59" s="211"/>
      <c r="B59" s="56"/>
      <c r="C59" s="202"/>
      <c r="F59" s="57"/>
      <c r="G59" s="55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228"/>
    </row>
    <row r="60" spans="1:37">
      <c r="A60" s="208" t="s">
        <v>214</v>
      </c>
      <c r="B60" s="47"/>
      <c r="C60" s="74"/>
      <c r="F60" s="178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223"/>
    </row>
    <row r="61" spans="1:37" s="6" customFormat="1">
      <c r="A61" s="211" t="s">
        <v>215</v>
      </c>
      <c r="B61" s="56">
        <v>62</v>
      </c>
      <c r="C61" s="202">
        <v>60</v>
      </c>
      <c r="D61" s="6" t="s">
        <v>40</v>
      </c>
      <c r="E61" s="6" t="s">
        <v>1183</v>
      </c>
      <c r="F61" s="204">
        <v>40</v>
      </c>
      <c r="G61" s="55"/>
      <c r="H61" s="56">
        <f>Thermal_Radiator_Efficiency_def</f>
        <v>60</v>
      </c>
      <c r="I61" s="56">
        <f t="shared" ref="I61:AI61" si="34">Thermal_Radiator_Efficiency_def+(I1-2023)/Lin_Radiator_Eff*10</f>
        <v>60.25</v>
      </c>
      <c r="J61" s="56">
        <f t="shared" si="34"/>
        <v>60.5</v>
      </c>
      <c r="K61" s="56">
        <f t="shared" si="34"/>
        <v>60.75</v>
      </c>
      <c r="L61" s="56">
        <f t="shared" si="34"/>
        <v>61</v>
      </c>
      <c r="M61" s="56">
        <f t="shared" si="34"/>
        <v>61.25</v>
      </c>
      <c r="N61" s="56">
        <f t="shared" si="34"/>
        <v>61.5</v>
      </c>
      <c r="O61" s="56">
        <f t="shared" si="34"/>
        <v>61.75</v>
      </c>
      <c r="P61" s="56">
        <f t="shared" si="34"/>
        <v>62</v>
      </c>
      <c r="Q61" s="56">
        <f t="shared" si="34"/>
        <v>62.25</v>
      </c>
      <c r="R61" s="56">
        <f t="shared" si="34"/>
        <v>62.5</v>
      </c>
      <c r="S61" s="56">
        <f t="shared" si="34"/>
        <v>62.75</v>
      </c>
      <c r="T61" s="56">
        <f t="shared" si="34"/>
        <v>63</v>
      </c>
      <c r="U61" s="56">
        <f t="shared" si="34"/>
        <v>63.25</v>
      </c>
      <c r="V61" s="56">
        <f t="shared" si="34"/>
        <v>63.5</v>
      </c>
      <c r="W61" s="56">
        <f t="shared" si="34"/>
        <v>63.75</v>
      </c>
      <c r="X61" s="56">
        <f t="shared" si="34"/>
        <v>64</v>
      </c>
      <c r="Y61" s="56">
        <f t="shared" si="34"/>
        <v>64.25</v>
      </c>
      <c r="Z61" s="56">
        <f t="shared" si="34"/>
        <v>64.5</v>
      </c>
      <c r="AA61" s="56">
        <f t="shared" si="34"/>
        <v>64.75</v>
      </c>
      <c r="AB61" s="56">
        <f t="shared" si="34"/>
        <v>65</v>
      </c>
      <c r="AC61" s="56">
        <f t="shared" si="34"/>
        <v>65.25</v>
      </c>
      <c r="AD61" s="56">
        <f t="shared" si="34"/>
        <v>65.5</v>
      </c>
      <c r="AE61" s="56">
        <f t="shared" si="34"/>
        <v>65.75</v>
      </c>
      <c r="AF61" s="56">
        <f t="shared" si="34"/>
        <v>66</v>
      </c>
      <c r="AG61" s="56">
        <f t="shared" si="34"/>
        <v>66.25</v>
      </c>
      <c r="AH61" s="56">
        <f t="shared" si="34"/>
        <v>66.5</v>
      </c>
      <c r="AI61" s="228">
        <f t="shared" si="34"/>
        <v>66.75</v>
      </c>
      <c r="AJ61" s="6" t="s">
        <v>201</v>
      </c>
    </row>
    <row r="62" spans="1:37">
      <c r="A62" s="213" t="s">
        <v>216</v>
      </c>
      <c r="B62" s="47">
        <v>2.611651689888375</v>
      </c>
      <c r="C62" s="74">
        <v>3</v>
      </c>
      <c r="D62" t="s">
        <v>217</v>
      </c>
      <c r="F62" s="177">
        <v>40</v>
      </c>
      <c r="H62" s="47">
        <f>Thermal_Radiator_Weight_Specific_def</f>
        <v>3</v>
      </c>
      <c r="I62" s="47">
        <f t="shared" ref="I62:AI62" si="35">H62*2^(-1/Exp_Radiator_Weight)</f>
        <v>2.9484617956357537</v>
      </c>
      <c r="J62" s="47">
        <f t="shared" si="35"/>
        <v>2.8978089867745376</v>
      </c>
      <c r="K62" s="47">
        <f t="shared" si="35"/>
        <v>2.848026362851559</v>
      </c>
      <c r="L62" s="47">
        <f t="shared" si="35"/>
        <v>2.7990989746104238</v>
      </c>
      <c r="M62" s="47">
        <f t="shared" si="35"/>
        <v>2.7510121296140153</v>
      </c>
      <c r="N62" s="47">
        <f t="shared" si="35"/>
        <v>2.7037513878324928</v>
      </c>
      <c r="O62" s="47">
        <f t="shared" si="35"/>
        <v>2.6573025573070841</v>
      </c>
      <c r="P62" s="47">
        <f t="shared" si="35"/>
        <v>2.611651689888375</v>
      </c>
      <c r="Q62" s="47">
        <f t="shared" si="35"/>
        <v>2.5667850770478093</v>
      </c>
      <c r="R62" s="47">
        <f t="shared" si="35"/>
        <v>2.5226892457611467</v>
      </c>
      <c r="S62" s="47">
        <f t="shared" si="35"/>
        <v>2.4793509544626384</v>
      </c>
      <c r="T62" s="47">
        <f t="shared" si="35"/>
        <v>2.4367571890687101</v>
      </c>
      <c r="U62" s="47">
        <f t="shared" si="35"/>
        <v>2.3948951590699532</v>
      </c>
      <c r="V62" s="47">
        <f t="shared" si="35"/>
        <v>2.3537522936902557</v>
      </c>
      <c r="W62" s="47">
        <f t="shared" si="35"/>
        <v>2.313316238111915</v>
      </c>
      <c r="X62" s="47">
        <f t="shared" si="35"/>
        <v>2.273574849765601</v>
      </c>
      <c r="Y62" s="47">
        <f t="shared" si="35"/>
        <v>2.2345161946840575</v>
      </c>
      <c r="Z62" s="47">
        <f t="shared" si="35"/>
        <v>2.1961285439184421</v>
      </c>
      <c r="AA62" s="47">
        <f t="shared" si="35"/>
        <v>2.1584003700162344</v>
      </c>
      <c r="AB62" s="47">
        <f t="shared" si="35"/>
        <v>2.1213203435596473</v>
      </c>
      <c r="AC62" s="47">
        <f t="shared" si="35"/>
        <v>2.0848773297635104</v>
      </c>
      <c r="AD62" s="47">
        <f t="shared" si="35"/>
        <v>2.049060385131598</v>
      </c>
      <c r="AE62" s="47">
        <f t="shared" si="35"/>
        <v>2.0138587541704003</v>
      </c>
      <c r="AF62" s="47">
        <f t="shared" si="35"/>
        <v>1.9792618661593466</v>
      </c>
      <c r="AG62" s="47">
        <f t="shared" si="35"/>
        <v>1.9452593319765199</v>
      </c>
      <c r="AH62" s="47">
        <f t="shared" si="35"/>
        <v>1.9118409409788988</v>
      </c>
      <c r="AI62" s="223">
        <f t="shared" si="35"/>
        <v>1.8789966579361974</v>
      </c>
    </row>
    <row r="63" spans="1:37" s="6" customFormat="1">
      <c r="A63" s="211" t="s">
        <v>218</v>
      </c>
      <c r="B63" s="56">
        <v>757.85828325519856</v>
      </c>
      <c r="C63" s="202">
        <v>1000</v>
      </c>
      <c r="D63" s="6" t="s">
        <v>219</v>
      </c>
      <c r="E63" s="6" t="s">
        <v>220</v>
      </c>
      <c r="F63" s="58">
        <v>20</v>
      </c>
      <c r="G63" s="55"/>
      <c r="H63" s="56">
        <f>Thermal_Radiator_Cost_Specific_def</f>
        <v>1000</v>
      </c>
      <c r="I63" s="56">
        <f t="shared" ref="I63:AI63" si="36">H63*2^(-1/Exp_Radiator_Cost)</f>
        <v>965.9363289248455</v>
      </c>
      <c r="J63" s="56">
        <f t="shared" si="36"/>
        <v>933.03299153680734</v>
      </c>
      <c r="K63" s="56">
        <f t="shared" si="36"/>
        <v>901.25046261083014</v>
      </c>
      <c r="L63" s="56">
        <f t="shared" si="36"/>
        <v>870.55056329612398</v>
      </c>
      <c r="M63" s="56">
        <f t="shared" si="36"/>
        <v>840.89641525371428</v>
      </c>
      <c r="N63" s="56">
        <f t="shared" si="36"/>
        <v>812.25239635623518</v>
      </c>
      <c r="O63" s="56">
        <f t="shared" si="36"/>
        <v>784.58409789675034</v>
      </c>
      <c r="P63" s="56">
        <f t="shared" si="36"/>
        <v>757.85828325519856</v>
      </c>
      <c r="Q63" s="56">
        <f t="shared" si="36"/>
        <v>732.04284797281218</v>
      </c>
      <c r="R63" s="56">
        <f t="shared" si="36"/>
        <v>707.10678118654698</v>
      </c>
      <c r="S63" s="56">
        <f t="shared" si="36"/>
        <v>683.02012837719724</v>
      </c>
      <c r="T63" s="56">
        <f t="shared" si="36"/>
        <v>659.75395538644659</v>
      </c>
      <c r="U63" s="56">
        <f t="shared" si="36"/>
        <v>637.28031365963056</v>
      </c>
      <c r="V63" s="56">
        <f t="shared" si="36"/>
        <v>615.57220667245758</v>
      </c>
      <c r="W63" s="56">
        <f t="shared" si="36"/>
        <v>594.60355750136</v>
      </c>
      <c r="X63" s="56">
        <f t="shared" si="36"/>
        <v>574.34917749851695</v>
      </c>
      <c r="Y63" s="56">
        <f t="shared" si="36"/>
        <v>554.78473603392194</v>
      </c>
      <c r="Z63" s="56">
        <f t="shared" si="36"/>
        <v>535.88673126814604</v>
      </c>
      <c r="AA63" s="56">
        <f t="shared" si="36"/>
        <v>517.63246192068823</v>
      </c>
      <c r="AB63" s="56">
        <f t="shared" si="36"/>
        <v>499.99999999999949</v>
      </c>
      <c r="AC63" s="56">
        <f t="shared" si="36"/>
        <v>482.96816446242224</v>
      </c>
      <c r="AD63" s="56">
        <f t="shared" si="36"/>
        <v>466.51649576840316</v>
      </c>
      <c r="AE63" s="56">
        <f t="shared" si="36"/>
        <v>450.62523130541456</v>
      </c>
      <c r="AF63" s="56">
        <f t="shared" si="36"/>
        <v>435.27528164806148</v>
      </c>
      <c r="AG63" s="56">
        <f t="shared" si="36"/>
        <v>420.44820762685669</v>
      </c>
      <c r="AH63" s="56">
        <f t="shared" si="36"/>
        <v>406.12619817811719</v>
      </c>
      <c r="AI63" s="228">
        <f t="shared" si="36"/>
        <v>392.29204894837477</v>
      </c>
    </row>
    <row r="64" spans="1:37">
      <c r="A64" s="213" t="s">
        <v>221</v>
      </c>
      <c r="B64" s="47">
        <v>6.9644045063689992</v>
      </c>
      <c r="C64" s="74">
        <v>8</v>
      </c>
      <c r="D64" t="s">
        <v>222</v>
      </c>
      <c r="E64" t="s">
        <v>223</v>
      </c>
      <c r="F64" s="177">
        <v>40</v>
      </c>
      <c r="H64" s="47">
        <f>Thermal_Blanket_T_Conductivity_def</f>
        <v>8</v>
      </c>
      <c r="I64" s="47">
        <f t="shared" ref="I64:AI64" si="37">H64*2^(-1/Exp_Blanket_Cond)</f>
        <v>7.8625647883620093</v>
      </c>
      <c r="J64" s="47">
        <f t="shared" si="37"/>
        <v>7.7274906313987657</v>
      </c>
      <c r="K64" s="47">
        <f t="shared" si="37"/>
        <v>7.5947369676041561</v>
      </c>
      <c r="L64" s="47">
        <f t="shared" si="37"/>
        <v>7.4642639322944628</v>
      </c>
      <c r="M64" s="47">
        <f t="shared" si="37"/>
        <v>7.3360323456373742</v>
      </c>
      <c r="N64" s="47">
        <f t="shared" si="37"/>
        <v>7.2100037008866469</v>
      </c>
      <c r="O64" s="47">
        <f t="shared" si="37"/>
        <v>7.0861401528188903</v>
      </c>
      <c r="P64" s="47">
        <f t="shared" si="37"/>
        <v>6.9644045063689992</v>
      </c>
      <c r="Q64" s="47">
        <f t="shared" si="37"/>
        <v>6.8447602054608243</v>
      </c>
      <c r="R64" s="47">
        <f t="shared" si="37"/>
        <v>6.727171322029724</v>
      </c>
      <c r="S64" s="47">
        <f t="shared" si="37"/>
        <v>6.6116025452337022</v>
      </c>
      <c r="T64" s="47">
        <f t="shared" si="37"/>
        <v>6.4980191708498936</v>
      </c>
      <c r="U64" s="47">
        <f t="shared" si="37"/>
        <v>6.3863870908532094</v>
      </c>
      <c r="V64" s="47">
        <f t="shared" si="37"/>
        <v>6.2766727831740168</v>
      </c>
      <c r="W64" s="47">
        <f t="shared" si="37"/>
        <v>6.1688433016317745</v>
      </c>
      <c r="X64" s="47">
        <f t="shared" si="37"/>
        <v>6.0628662660416044</v>
      </c>
      <c r="Y64" s="47">
        <f t="shared" si="37"/>
        <v>5.9587098524908217</v>
      </c>
      <c r="Z64" s="47">
        <f t="shared" si="37"/>
        <v>5.856342783782515</v>
      </c>
      <c r="AA64" s="47">
        <f t="shared" si="37"/>
        <v>5.7557343200432936</v>
      </c>
      <c r="AB64" s="47">
        <f t="shared" si="37"/>
        <v>5.6568542494923939</v>
      </c>
      <c r="AC64" s="47">
        <f t="shared" si="37"/>
        <v>5.5596728793693622</v>
      </c>
      <c r="AD64" s="47">
        <f t="shared" si="37"/>
        <v>5.4641610270175969</v>
      </c>
      <c r="AE64" s="47">
        <f t="shared" si="37"/>
        <v>5.3702900111210692</v>
      </c>
      <c r="AF64" s="47">
        <f t="shared" si="37"/>
        <v>5.2780316430915928</v>
      </c>
      <c r="AG64" s="47">
        <f t="shared" si="37"/>
        <v>5.1873582186040545</v>
      </c>
      <c r="AH64" s="47">
        <f t="shared" si="37"/>
        <v>5.0982425092770649</v>
      </c>
      <c r="AI64" s="223">
        <f t="shared" si="37"/>
        <v>5.0106577544965285</v>
      </c>
      <c r="AJ64" s="178" t="s">
        <v>224</v>
      </c>
      <c r="AK64" s="178"/>
    </row>
    <row r="65" spans="1:36" s="6" customFormat="1">
      <c r="A65" s="211" t="s">
        <v>225</v>
      </c>
      <c r="B65" s="56">
        <v>0</v>
      </c>
      <c r="C65" s="202">
        <v>0</v>
      </c>
      <c r="D65" s="6" t="s">
        <v>217</v>
      </c>
      <c r="E65" s="6" t="s">
        <v>226</v>
      </c>
      <c r="F65" s="57"/>
      <c r="G65" s="55"/>
      <c r="H65" s="56">
        <f t="shared" ref="H65:AI65" si="38">Thermal_Blanket_Weight_Specific_def</f>
        <v>0</v>
      </c>
      <c r="I65" s="56">
        <f t="shared" si="38"/>
        <v>0</v>
      </c>
      <c r="J65" s="56">
        <f t="shared" si="38"/>
        <v>0</v>
      </c>
      <c r="K65" s="56">
        <f t="shared" si="38"/>
        <v>0</v>
      </c>
      <c r="L65" s="56">
        <f t="shared" si="38"/>
        <v>0</v>
      </c>
      <c r="M65" s="56">
        <f t="shared" si="38"/>
        <v>0</v>
      </c>
      <c r="N65" s="56">
        <f t="shared" si="38"/>
        <v>0</v>
      </c>
      <c r="O65" s="56">
        <f t="shared" si="38"/>
        <v>0</v>
      </c>
      <c r="P65" s="56">
        <f t="shared" si="38"/>
        <v>0</v>
      </c>
      <c r="Q65" s="56">
        <f t="shared" si="38"/>
        <v>0</v>
      </c>
      <c r="R65" s="56">
        <f t="shared" si="38"/>
        <v>0</v>
      </c>
      <c r="S65" s="56">
        <f t="shared" si="38"/>
        <v>0</v>
      </c>
      <c r="T65" s="56">
        <f t="shared" si="38"/>
        <v>0</v>
      </c>
      <c r="U65" s="56">
        <f t="shared" si="38"/>
        <v>0</v>
      </c>
      <c r="V65" s="56">
        <f t="shared" si="38"/>
        <v>0</v>
      </c>
      <c r="W65" s="56">
        <f t="shared" si="38"/>
        <v>0</v>
      </c>
      <c r="X65" s="56">
        <f t="shared" si="38"/>
        <v>0</v>
      </c>
      <c r="Y65" s="56">
        <f t="shared" si="38"/>
        <v>0</v>
      </c>
      <c r="Z65" s="56">
        <f t="shared" si="38"/>
        <v>0</v>
      </c>
      <c r="AA65" s="56">
        <f t="shared" si="38"/>
        <v>0</v>
      </c>
      <c r="AB65" s="56">
        <f t="shared" si="38"/>
        <v>0</v>
      </c>
      <c r="AC65" s="56">
        <f t="shared" si="38"/>
        <v>0</v>
      </c>
      <c r="AD65" s="56">
        <f t="shared" si="38"/>
        <v>0</v>
      </c>
      <c r="AE65" s="56">
        <f t="shared" si="38"/>
        <v>0</v>
      </c>
      <c r="AF65" s="56">
        <f t="shared" si="38"/>
        <v>0</v>
      </c>
      <c r="AG65" s="56">
        <f t="shared" si="38"/>
        <v>0</v>
      </c>
      <c r="AH65" s="56">
        <f t="shared" si="38"/>
        <v>0</v>
      </c>
      <c r="AI65" s="228">
        <f t="shared" si="38"/>
        <v>0</v>
      </c>
    </row>
    <row r="66" spans="1:36">
      <c r="A66" s="213" t="s">
        <v>227</v>
      </c>
      <c r="B66" s="47">
        <v>378.92914162759928</v>
      </c>
      <c r="C66" s="74">
        <v>500</v>
      </c>
      <c r="D66" t="s">
        <v>228</v>
      </c>
      <c r="E66" t="s">
        <v>229</v>
      </c>
      <c r="F66" s="177">
        <v>20</v>
      </c>
      <c r="H66" s="47">
        <f>Thermal_Blanket_Cost_Specific_def</f>
        <v>500</v>
      </c>
      <c r="I66" s="47">
        <f t="shared" ref="I66:AI66" si="39">H66*2^(-1/Exp_Blanket_Cost)</f>
        <v>482.96816446242275</v>
      </c>
      <c r="J66" s="47">
        <f t="shared" si="39"/>
        <v>466.51649576840367</v>
      </c>
      <c r="K66" s="47">
        <f t="shared" si="39"/>
        <v>450.62523130541507</v>
      </c>
      <c r="L66" s="47">
        <f t="shared" si="39"/>
        <v>435.27528164806199</v>
      </c>
      <c r="M66" s="47">
        <f t="shared" si="39"/>
        <v>420.44820762685714</v>
      </c>
      <c r="N66" s="47">
        <f t="shared" si="39"/>
        <v>406.12619817811759</v>
      </c>
      <c r="O66" s="47">
        <f t="shared" si="39"/>
        <v>392.29204894837517</v>
      </c>
      <c r="P66" s="47">
        <f t="shared" si="39"/>
        <v>378.92914162759928</v>
      </c>
      <c r="Q66" s="47">
        <f t="shared" si="39"/>
        <v>366.02142398640609</v>
      </c>
      <c r="R66" s="47">
        <f t="shared" si="39"/>
        <v>353.55339059327349</v>
      </c>
      <c r="S66" s="47">
        <f t="shared" si="39"/>
        <v>341.51006418859862</v>
      </c>
      <c r="T66" s="47">
        <f t="shared" si="39"/>
        <v>329.8769776932233</v>
      </c>
      <c r="U66" s="47">
        <f t="shared" si="39"/>
        <v>318.64015682981528</v>
      </c>
      <c r="V66" s="47">
        <f t="shared" si="39"/>
        <v>307.78610333622879</v>
      </c>
      <c r="W66" s="47">
        <f t="shared" si="39"/>
        <v>297.30177875068</v>
      </c>
      <c r="X66" s="47">
        <f t="shared" si="39"/>
        <v>287.17458874925848</v>
      </c>
      <c r="Y66" s="47">
        <f t="shared" si="39"/>
        <v>277.39236801696097</v>
      </c>
      <c r="Z66" s="47">
        <f t="shared" si="39"/>
        <v>267.94336563407302</v>
      </c>
      <c r="AA66" s="47">
        <f t="shared" si="39"/>
        <v>258.81623096034411</v>
      </c>
      <c r="AB66" s="47">
        <f t="shared" si="39"/>
        <v>249.99999999999974</v>
      </c>
      <c r="AC66" s="47">
        <f t="shared" si="39"/>
        <v>241.48408223121112</v>
      </c>
      <c r="AD66" s="47">
        <f t="shared" si="39"/>
        <v>233.25824788420158</v>
      </c>
      <c r="AE66" s="47">
        <f t="shared" si="39"/>
        <v>225.31261565270728</v>
      </c>
      <c r="AF66" s="47">
        <f t="shared" si="39"/>
        <v>217.63764082403074</v>
      </c>
      <c r="AG66" s="47">
        <f t="shared" si="39"/>
        <v>210.22410381342834</v>
      </c>
      <c r="AH66" s="47">
        <f t="shared" si="39"/>
        <v>203.0630990890586</v>
      </c>
      <c r="AI66" s="223">
        <f t="shared" si="39"/>
        <v>196.14602447418739</v>
      </c>
    </row>
    <row r="67" spans="1:36" s="6" customFormat="1">
      <c r="A67" s="211"/>
      <c r="C67" s="202"/>
      <c r="F67" s="57"/>
      <c r="G67" s="55"/>
      <c r="AI67" s="229"/>
    </row>
    <row r="68" spans="1:36">
      <c r="A68" s="213"/>
      <c r="C68" s="74"/>
      <c r="F68" s="178"/>
      <c r="AI68" s="209"/>
    </row>
    <row r="69" spans="1:36" s="6" customFormat="1">
      <c r="A69" s="220" t="s">
        <v>230</v>
      </c>
      <c r="C69" s="202"/>
      <c r="F69" s="57"/>
      <c r="G69" s="55"/>
      <c r="AI69" s="229"/>
    </row>
    <row r="70" spans="1:36">
      <c r="A70" s="213" t="s">
        <v>231</v>
      </c>
      <c r="B70" s="47">
        <v>1727.3910999597194</v>
      </c>
      <c r="C70" s="74">
        <v>2500</v>
      </c>
      <c r="D70" t="s">
        <v>219</v>
      </c>
      <c r="F70" s="177">
        <v>15</v>
      </c>
      <c r="H70">
        <f>Launch_Cost_LEO_per_kg_def</f>
        <v>2500</v>
      </c>
      <c r="I70" s="47">
        <f t="shared" ref="I70:AI70" si="40">H70*2^(-1/Exp_Launch_LEO_Cost)</f>
        <v>2387.104009776041</v>
      </c>
      <c r="J70" s="47">
        <f t="shared" si="40"/>
        <v>2279.3062213955418</v>
      </c>
      <c r="K70" s="47">
        <f t="shared" si="40"/>
        <v>2176.37640824031</v>
      </c>
      <c r="L70" s="47">
        <f t="shared" si="40"/>
        <v>2078.0947403569689</v>
      </c>
      <c r="M70" s="47">
        <f t="shared" si="40"/>
        <v>1984.2513149602487</v>
      </c>
      <c r="N70" s="47">
        <f t="shared" si="40"/>
        <v>1894.645708137997</v>
      </c>
      <c r="O70" s="47">
        <f t="shared" si="40"/>
        <v>1809.086546800472</v>
      </c>
      <c r="P70" s="47">
        <f t="shared" si="40"/>
        <v>1727.3910999597194</v>
      </c>
      <c r="Q70" s="47">
        <f t="shared" si="40"/>
        <v>1649.3848884661172</v>
      </c>
      <c r="R70" s="47">
        <f t="shared" si="40"/>
        <v>1574.9013123685909</v>
      </c>
      <c r="S70" s="47">
        <f t="shared" si="40"/>
        <v>1503.7812951026451</v>
      </c>
      <c r="T70" s="47">
        <f t="shared" si="40"/>
        <v>1435.872943746293</v>
      </c>
      <c r="U70" s="47">
        <f t="shared" si="40"/>
        <v>1371.0312246182816</v>
      </c>
      <c r="V70" s="47">
        <f t="shared" si="40"/>
        <v>1309.1176535257825</v>
      </c>
      <c r="W70" s="47">
        <f t="shared" si="40"/>
        <v>1249.9999999999991</v>
      </c>
      <c r="X70" s="47">
        <f t="shared" si="40"/>
        <v>1193.5520048880198</v>
      </c>
      <c r="Y70" s="47">
        <f t="shared" si="40"/>
        <v>1139.6531106977702</v>
      </c>
      <c r="Z70" s="47">
        <f t="shared" si="40"/>
        <v>1088.1882041201543</v>
      </c>
      <c r="AA70" s="47">
        <f t="shared" si="40"/>
        <v>1039.0473701784838</v>
      </c>
      <c r="AB70" s="47">
        <f t="shared" si="40"/>
        <v>992.12565748012378</v>
      </c>
      <c r="AC70" s="47">
        <f t="shared" si="40"/>
        <v>947.32285406899791</v>
      </c>
      <c r="AD70" s="47">
        <f t="shared" si="40"/>
        <v>904.54327340023542</v>
      </c>
      <c r="AE70" s="47">
        <f t="shared" si="40"/>
        <v>863.69554997985915</v>
      </c>
      <c r="AF70" s="47">
        <f t="shared" si="40"/>
        <v>824.69244423305804</v>
      </c>
      <c r="AG70" s="47">
        <f t="shared" si="40"/>
        <v>787.45065618429487</v>
      </c>
      <c r="AH70" s="47">
        <f t="shared" si="40"/>
        <v>751.8906475513221</v>
      </c>
      <c r="AI70" s="223">
        <f t="shared" si="40"/>
        <v>717.93647187314605</v>
      </c>
    </row>
    <row r="71" spans="1:36" s="6" customFormat="1">
      <c r="A71" s="211" t="s">
        <v>232</v>
      </c>
      <c r="B71" s="56">
        <v>22443.423195855263</v>
      </c>
      <c r="C71" s="202">
        <v>27000</v>
      </c>
      <c r="D71" s="6" t="s">
        <v>219</v>
      </c>
      <c r="F71" s="58">
        <v>30</v>
      </c>
      <c r="G71" s="55"/>
      <c r="H71" s="56">
        <f>Launch_Cost_GEO_per_kg_def</f>
        <v>27000</v>
      </c>
      <c r="I71" s="56">
        <f t="shared" ref="I71:AI71" si="41">H71*2^(-1/Exp_Launch_GEO_Cost)</f>
        <v>26383.31914772464</v>
      </c>
      <c r="J71" s="56">
        <f t="shared" si="41"/>
        <v>25780.723305581247</v>
      </c>
      <c r="K71" s="56">
        <f t="shared" si="41"/>
        <v>25191.8907714938</v>
      </c>
      <c r="L71" s="56">
        <f t="shared" si="41"/>
        <v>24616.507191071851</v>
      </c>
      <c r="M71" s="56">
        <f t="shared" si="41"/>
        <v>24054.265389789158</v>
      </c>
      <c r="N71" s="56">
        <f t="shared" si="41"/>
        <v>23504.865208995347</v>
      </c>
      <c r="O71" s="56">
        <f t="shared" si="41"/>
        <v>22968.013345673098</v>
      </c>
      <c r="P71" s="56">
        <f t="shared" si="41"/>
        <v>22443.423195855263</v>
      </c>
      <c r="Q71" s="56">
        <f t="shared" si="41"/>
        <v>21930.81470161835</v>
      </c>
      <c r="R71" s="56">
        <f t="shared" si="41"/>
        <v>21429.914201570682</v>
      </c>
      <c r="S71" s="56">
        <f t="shared" si="41"/>
        <v>20940.454284755408</v>
      </c>
      <c r="T71" s="56">
        <f t="shared" si="41"/>
        <v>20462.173647890362</v>
      </c>
      <c r="U71" s="56">
        <f t="shared" si="41"/>
        <v>19994.816955868606</v>
      </c>
      <c r="V71" s="56">
        <f t="shared" si="41"/>
        <v>19538.134705445093</v>
      </c>
      <c r="W71" s="56">
        <f t="shared" si="41"/>
        <v>19091.883092036773</v>
      </c>
      <c r="X71" s="56">
        <f t="shared" si="41"/>
        <v>18655.823879564967</v>
      </c>
      <c r="Y71" s="56">
        <f t="shared" si="41"/>
        <v>18229.724273270553</v>
      </c>
      <c r="Z71" s="56">
        <f t="shared" si="41"/>
        <v>17813.356795434058</v>
      </c>
      <c r="AA71" s="56">
        <f t="shared" si="41"/>
        <v>17406.499163934302</v>
      </c>
      <c r="AB71" s="56">
        <f t="shared" si="41"/>
        <v>17008.934173580772</v>
      </c>
      <c r="AC71" s="56">
        <f t="shared" si="41"/>
        <v>16620.449580156353</v>
      </c>
      <c r="AD71" s="56">
        <f t="shared" si="41"/>
        <v>16240.837987108558</v>
      </c>
      <c r="AE71" s="56">
        <f t="shared" si="41"/>
        <v>15869.896734828701</v>
      </c>
      <c r="AF71" s="56">
        <f t="shared" si="41"/>
        <v>15507.427792459956</v>
      </c>
      <c r="AG71" s="56">
        <f t="shared" si="41"/>
        <v>15153.237652176518</v>
      </c>
      <c r="AH71" s="56">
        <f t="shared" si="41"/>
        <v>14807.137225877434</v>
      </c>
      <c r="AI71" s="228">
        <f t="shared" si="41"/>
        <v>14468.941744239941</v>
      </c>
    </row>
    <row r="72" spans="1:36">
      <c r="A72" s="213" t="s">
        <v>233</v>
      </c>
      <c r="B72" s="74">
        <v>2871745.8874925873</v>
      </c>
      <c r="C72" s="74">
        <v>5000000</v>
      </c>
      <c r="D72" t="s">
        <v>234</v>
      </c>
      <c r="E72" t="s">
        <v>235</v>
      </c>
      <c r="F72" s="177">
        <v>10</v>
      </c>
      <c r="H72" s="74">
        <f>SDC_Design_NRE_def</f>
        <v>5000000</v>
      </c>
      <c r="I72" s="74">
        <f t="shared" ref="I72:AI72" si="42">H72*2^(-1/Exp_NRE_Cost)</f>
        <v>4665164.9576840373</v>
      </c>
      <c r="J72" s="74">
        <f t="shared" si="42"/>
        <v>4352752.8164806208</v>
      </c>
      <c r="K72" s="74">
        <f t="shared" si="42"/>
        <v>4061261.9817811777</v>
      </c>
      <c r="L72" s="74">
        <f t="shared" si="42"/>
        <v>3789291.4162759953</v>
      </c>
      <c r="M72" s="74">
        <f t="shared" si="42"/>
        <v>3535533.9059327375</v>
      </c>
      <c r="N72" s="74">
        <f t="shared" si="42"/>
        <v>3298769.7769322353</v>
      </c>
      <c r="O72" s="74">
        <f t="shared" si="42"/>
        <v>3077861.0333622904</v>
      </c>
      <c r="P72" s="74">
        <f t="shared" si="42"/>
        <v>2871745.8874925873</v>
      </c>
      <c r="Q72" s="74">
        <f t="shared" si="42"/>
        <v>2679433.6563407327</v>
      </c>
      <c r="R72" s="74">
        <f t="shared" si="42"/>
        <v>2500000</v>
      </c>
      <c r="S72" s="74">
        <f t="shared" si="42"/>
        <v>2332582.4788420186</v>
      </c>
      <c r="T72" s="74">
        <f t="shared" si="42"/>
        <v>2176376.4082403104</v>
      </c>
      <c r="U72" s="74">
        <f t="shared" si="42"/>
        <v>2030630.9908905888</v>
      </c>
      <c r="V72" s="74">
        <f t="shared" si="42"/>
        <v>1894645.7081379977</v>
      </c>
      <c r="W72" s="74">
        <f t="shared" si="42"/>
        <v>1767766.9529663688</v>
      </c>
      <c r="X72" s="74">
        <f t="shared" si="42"/>
        <v>1649384.8884661177</v>
      </c>
      <c r="Y72" s="74">
        <f t="shared" si="42"/>
        <v>1538930.5166811452</v>
      </c>
      <c r="Z72" s="74">
        <f t="shared" si="42"/>
        <v>1435872.9437462937</v>
      </c>
      <c r="AA72" s="74">
        <f t="shared" si="42"/>
        <v>1339716.8281703664</v>
      </c>
      <c r="AB72" s="74">
        <f t="shared" si="42"/>
        <v>1250000</v>
      </c>
      <c r="AC72" s="74">
        <f t="shared" si="42"/>
        <v>1166291.2394210093</v>
      </c>
      <c r="AD72" s="74">
        <f t="shared" si="42"/>
        <v>1088188.2041201552</v>
      </c>
      <c r="AE72" s="74">
        <f t="shared" si="42"/>
        <v>1015315.4954452944</v>
      </c>
      <c r="AF72" s="74">
        <f t="shared" si="42"/>
        <v>947322.85406899883</v>
      </c>
      <c r="AG72" s="74">
        <f t="shared" si="42"/>
        <v>883883.47648318438</v>
      </c>
      <c r="AH72" s="74">
        <f t="shared" si="42"/>
        <v>824692.44423305884</v>
      </c>
      <c r="AI72" s="230">
        <f t="shared" si="42"/>
        <v>769465.25834057259</v>
      </c>
    </row>
    <row r="73" spans="1:36" s="6" customFormat="1">
      <c r="A73" s="211"/>
      <c r="F73" s="57"/>
      <c r="G73" s="55"/>
      <c r="AI73" s="229"/>
    </row>
    <row r="74" spans="1:36" ht="17" thickBot="1">
      <c r="A74" s="213"/>
      <c r="F74" s="178"/>
      <c r="AI74" s="209"/>
    </row>
    <row r="75" spans="1:36" s="6" customFormat="1">
      <c r="A75" s="294" t="s">
        <v>1645</v>
      </c>
      <c r="B75" s="295"/>
      <c r="C75" s="295"/>
      <c r="D75" s="295"/>
      <c r="E75" s="295"/>
      <c r="F75" s="296"/>
      <c r="G75" s="297"/>
      <c r="H75" s="295"/>
      <c r="I75" s="295"/>
      <c r="J75" s="295"/>
      <c r="K75" s="295"/>
      <c r="L75" s="295"/>
      <c r="M75" s="295"/>
      <c r="N75" s="295"/>
      <c r="O75" s="295"/>
      <c r="P75" s="295"/>
      <c r="Q75" s="295"/>
      <c r="R75" s="295"/>
      <c r="S75" s="295"/>
      <c r="T75" s="295"/>
      <c r="U75" s="295"/>
      <c r="V75" s="295"/>
      <c r="W75" s="295"/>
      <c r="X75" s="295"/>
      <c r="Y75" s="295"/>
      <c r="Z75" s="295"/>
      <c r="AA75" s="295"/>
      <c r="AB75" s="295"/>
      <c r="AC75" s="295"/>
      <c r="AD75" s="295"/>
      <c r="AE75" s="295"/>
      <c r="AF75" s="295"/>
      <c r="AG75" s="295"/>
      <c r="AH75" s="295"/>
      <c r="AI75" s="298"/>
    </row>
    <row r="76" spans="1:36">
      <c r="A76" s="92" t="s">
        <v>236</v>
      </c>
      <c r="B76">
        <v>3.9372532809214759E-2</v>
      </c>
      <c r="C76">
        <v>0.25</v>
      </c>
      <c r="D76" t="s">
        <v>237</v>
      </c>
      <c r="F76" s="177">
        <v>3</v>
      </c>
      <c r="H76" s="289">
        <f>C76</f>
        <v>0.25</v>
      </c>
      <c r="I76" s="289">
        <f>H76*2^(-1/$F76)</f>
        <v>0.19842513149602492</v>
      </c>
      <c r="J76" s="289">
        <f t="shared" ref="J76:AI76" si="43">I76*2^(-1/$F76)</f>
        <v>0.15749013123685912</v>
      </c>
      <c r="K76" s="289">
        <f t="shared" si="43"/>
        <v>0.12499999999999997</v>
      </c>
      <c r="L76" s="289">
        <f t="shared" si="43"/>
        <v>9.9212565748012432E-2</v>
      </c>
      <c r="M76" s="289">
        <f t="shared" si="43"/>
        <v>7.8745065618429533E-2</v>
      </c>
      <c r="N76" s="289">
        <f t="shared" si="43"/>
        <v>6.2499999999999965E-2</v>
      </c>
      <c r="O76" s="289">
        <f t="shared" si="43"/>
        <v>4.9606282874006202E-2</v>
      </c>
      <c r="P76" s="289">
        <f t="shared" si="43"/>
        <v>3.9372532809214759E-2</v>
      </c>
      <c r="Q76" s="289">
        <f t="shared" si="43"/>
        <v>3.1249999999999976E-2</v>
      </c>
      <c r="R76" s="289">
        <f t="shared" si="43"/>
        <v>2.4803141437003094E-2</v>
      </c>
      <c r="S76" s="289">
        <f t="shared" si="43"/>
        <v>1.9686266404607373E-2</v>
      </c>
      <c r="T76" s="289">
        <f t="shared" si="43"/>
        <v>1.5624999999999983E-2</v>
      </c>
      <c r="U76" s="289">
        <f t="shared" si="43"/>
        <v>1.2401570718501544E-2</v>
      </c>
      <c r="V76" s="289">
        <f t="shared" si="43"/>
        <v>9.8431332023036847E-3</v>
      </c>
      <c r="W76" s="289">
        <f t="shared" si="43"/>
        <v>7.8124999999999896E-3</v>
      </c>
      <c r="X76" s="289">
        <f t="shared" si="43"/>
        <v>6.2007853592507701E-3</v>
      </c>
      <c r="Y76" s="289">
        <f t="shared" si="43"/>
        <v>4.9215666011518406E-3</v>
      </c>
      <c r="Z76" s="289">
        <f t="shared" si="43"/>
        <v>3.9062499999999935E-3</v>
      </c>
      <c r="AA76" s="289">
        <f t="shared" si="43"/>
        <v>3.1003926796253842E-3</v>
      </c>
      <c r="AB76" s="289">
        <f t="shared" si="43"/>
        <v>2.4607833005759199E-3</v>
      </c>
      <c r="AC76" s="289">
        <f t="shared" si="43"/>
        <v>1.9531249999999965E-3</v>
      </c>
      <c r="AD76" s="289">
        <f t="shared" si="43"/>
        <v>1.5501963398126919E-3</v>
      </c>
      <c r="AE76" s="289">
        <f t="shared" si="43"/>
        <v>1.2303916502879597E-3</v>
      </c>
      <c r="AF76" s="289">
        <f t="shared" si="43"/>
        <v>9.7656249999999805E-4</v>
      </c>
      <c r="AG76" s="289">
        <f t="shared" si="43"/>
        <v>7.7509816990634583E-4</v>
      </c>
      <c r="AH76" s="289">
        <f t="shared" si="43"/>
        <v>6.1519582514397975E-4</v>
      </c>
      <c r="AI76" s="299">
        <f t="shared" si="43"/>
        <v>4.8828124999999892E-4</v>
      </c>
      <c r="AJ76" t="s">
        <v>238</v>
      </c>
    </row>
    <row r="77" spans="1:36" s="6" customFormat="1">
      <c r="A77" s="300" t="s">
        <v>239</v>
      </c>
      <c r="B77" s="56">
        <v>1428.6609467713795</v>
      </c>
      <c r="C77" s="6">
        <v>3000</v>
      </c>
      <c r="D77" s="6" t="s">
        <v>240</v>
      </c>
      <c r="E77" s="6" t="s">
        <v>241</v>
      </c>
      <c r="F77" s="58">
        <v>3</v>
      </c>
      <c r="G77" s="55"/>
      <c r="H77" s="56">
        <v>225</v>
      </c>
      <c r="I77" s="56">
        <f>H77*2^(1/$F77)</f>
        <v>283.48223622634646</v>
      </c>
      <c r="J77" s="56">
        <f t="shared" ref="J77:AI77" si="44">I77*2^(1/$F77)</f>
        <v>357.16523669284487</v>
      </c>
      <c r="K77" s="56">
        <f t="shared" si="44"/>
        <v>450</v>
      </c>
      <c r="L77" s="56">
        <f t="shared" si="44"/>
        <v>566.96447245269292</v>
      </c>
      <c r="M77" s="56">
        <f t="shared" si="44"/>
        <v>714.33047338568974</v>
      </c>
      <c r="N77" s="56">
        <f t="shared" si="44"/>
        <v>900</v>
      </c>
      <c r="O77" s="56">
        <f t="shared" si="44"/>
        <v>1133.9289449053858</v>
      </c>
      <c r="P77" s="56">
        <f t="shared" si="44"/>
        <v>1428.6609467713795</v>
      </c>
      <c r="Q77" s="56">
        <f t="shared" si="44"/>
        <v>1800</v>
      </c>
      <c r="R77" s="56">
        <f t="shared" si="44"/>
        <v>2267.8578898107717</v>
      </c>
      <c r="S77" s="56">
        <f t="shared" si="44"/>
        <v>2857.321893542759</v>
      </c>
      <c r="T77" s="56">
        <f t="shared" si="44"/>
        <v>3600</v>
      </c>
      <c r="U77" s="56">
        <f t="shared" si="44"/>
        <v>4535.7157796215433</v>
      </c>
      <c r="V77" s="56">
        <f t="shared" si="44"/>
        <v>5714.6437870855179</v>
      </c>
      <c r="W77" s="56">
        <f t="shared" si="44"/>
        <v>7200</v>
      </c>
      <c r="X77" s="56">
        <f t="shared" si="44"/>
        <v>9071.4315592430867</v>
      </c>
      <c r="Y77" s="56">
        <f t="shared" si="44"/>
        <v>11429.287574171036</v>
      </c>
      <c r="Z77" s="56">
        <f t="shared" si="44"/>
        <v>14400</v>
      </c>
      <c r="AA77" s="56">
        <f t="shared" si="44"/>
        <v>18142.863118486173</v>
      </c>
      <c r="AB77" s="56">
        <f t="shared" si="44"/>
        <v>22858.575148342072</v>
      </c>
      <c r="AC77" s="56">
        <f t="shared" si="44"/>
        <v>28800</v>
      </c>
      <c r="AD77" s="56">
        <f t="shared" si="44"/>
        <v>36285.726236972347</v>
      </c>
      <c r="AE77" s="56">
        <f t="shared" si="44"/>
        <v>45717.150296684144</v>
      </c>
      <c r="AF77" s="56">
        <f t="shared" si="44"/>
        <v>57600</v>
      </c>
      <c r="AG77" s="56">
        <f t="shared" si="44"/>
        <v>72571.452473944693</v>
      </c>
      <c r="AH77" s="56">
        <f t="shared" si="44"/>
        <v>91434.300593368287</v>
      </c>
      <c r="AI77" s="301">
        <f t="shared" si="44"/>
        <v>115200</v>
      </c>
    </row>
    <row r="78" spans="1:36">
      <c r="A78" s="92" t="s">
        <v>242</v>
      </c>
      <c r="B78" s="47"/>
      <c r="C78">
        <v>0.5</v>
      </c>
      <c r="D78" t="s">
        <v>243</v>
      </c>
      <c r="F78" s="177">
        <v>3</v>
      </c>
      <c r="AI78" s="93"/>
    </row>
    <row r="79" spans="1:36" s="6" customFormat="1">
      <c r="A79" s="300" t="s">
        <v>244</v>
      </c>
      <c r="B79" s="56"/>
      <c r="C79" s="6" t="s">
        <v>1636</v>
      </c>
      <c r="D79" s="6" t="s">
        <v>240</v>
      </c>
      <c r="F79" s="58">
        <v>5</v>
      </c>
      <c r="G79" s="55"/>
      <c r="AI79" s="91"/>
      <c r="AJ79" s="6" t="s">
        <v>245</v>
      </c>
    </row>
    <row r="80" spans="1:36">
      <c r="A80" s="92" t="s">
        <v>246</v>
      </c>
      <c r="B80" s="47"/>
      <c r="C80" t="s">
        <v>1636</v>
      </c>
      <c r="D80" t="s">
        <v>237</v>
      </c>
      <c r="F80" s="177">
        <v>3</v>
      </c>
      <c r="AI80" s="93"/>
    </row>
    <row r="81" spans="1:137" s="6" customFormat="1">
      <c r="A81" s="300" t="s">
        <v>247</v>
      </c>
      <c r="B81" s="56">
        <v>4.9999999999999982</v>
      </c>
      <c r="C81" s="6">
        <f>10000/8/1000</f>
        <v>1.25</v>
      </c>
      <c r="D81" s="6" t="s">
        <v>249</v>
      </c>
      <c r="F81" s="58">
        <v>4</v>
      </c>
      <c r="G81" s="55"/>
      <c r="H81" s="56">
        <f>C81</f>
        <v>1.25</v>
      </c>
      <c r="I81" s="56">
        <f>H81*2^(1/$F81)</f>
        <v>1.4865088937534012</v>
      </c>
      <c r="J81" s="56">
        <f t="shared" ref="J81:AI81" si="45">I81*2^(1/$F81)</f>
        <v>1.7677669529663687</v>
      </c>
      <c r="K81" s="56">
        <f t="shared" si="45"/>
        <v>2.1022410381342862</v>
      </c>
      <c r="L81" s="56">
        <f t="shared" si="45"/>
        <v>2.4999999999999996</v>
      </c>
      <c r="M81" s="56">
        <f t="shared" si="45"/>
        <v>2.973017787506802</v>
      </c>
      <c r="N81" s="56">
        <f t="shared" si="45"/>
        <v>3.5355339059327369</v>
      </c>
      <c r="O81" s="56">
        <f t="shared" si="45"/>
        <v>4.2044820762685715</v>
      </c>
      <c r="P81" s="56">
        <f t="shared" si="45"/>
        <v>4.9999999999999982</v>
      </c>
      <c r="Q81" s="56">
        <f t="shared" si="45"/>
        <v>5.9460355750136031</v>
      </c>
      <c r="R81" s="56">
        <f t="shared" si="45"/>
        <v>7.071067811865472</v>
      </c>
      <c r="S81" s="56">
        <f t="shared" si="45"/>
        <v>8.4089641525371412</v>
      </c>
      <c r="T81" s="56">
        <f t="shared" si="45"/>
        <v>9.9999999999999947</v>
      </c>
      <c r="U81" s="56">
        <f t="shared" si="45"/>
        <v>11.892071150027204</v>
      </c>
      <c r="V81" s="56">
        <f t="shared" si="45"/>
        <v>14.142135623730942</v>
      </c>
      <c r="W81" s="56">
        <f t="shared" si="45"/>
        <v>16.817928305074279</v>
      </c>
      <c r="X81" s="56">
        <f t="shared" si="45"/>
        <v>19.999999999999986</v>
      </c>
      <c r="Y81" s="56">
        <f t="shared" si="45"/>
        <v>23.784142300054402</v>
      </c>
      <c r="Z81" s="56">
        <f t="shared" si="45"/>
        <v>28.284271247461877</v>
      </c>
      <c r="AA81" s="56">
        <f t="shared" si="45"/>
        <v>33.635856610148551</v>
      </c>
      <c r="AB81" s="56">
        <f t="shared" si="45"/>
        <v>39.999999999999964</v>
      </c>
      <c r="AC81" s="56">
        <f t="shared" si="45"/>
        <v>47.568284600108797</v>
      </c>
      <c r="AD81" s="56">
        <f t="shared" si="45"/>
        <v>56.568542494923747</v>
      </c>
      <c r="AE81" s="56">
        <f t="shared" si="45"/>
        <v>67.271713220297102</v>
      </c>
      <c r="AF81" s="56">
        <f t="shared" si="45"/>
        <v>79.999999999999929</v>
      </c>
      <c r="AG81" s="56">
        <f t="shared" si="45"/>
        <v>95.136569200217593</v>
      </c>
      <c r="AH81" s="56">
        <f t="shared" si="45"/>
        <v>113.13708498984749</v>
      </c>
      <c r="AI81" s="301">
        <f t="shared" si="45"/>
        <v>134.5434264405942</v>
      </c>
      <c r="AJ81" s="6" t="s">
        <v>248</v>
      </c>
    </row>
    <row r="82" spans="1:137">
      <c r="A82" s="92"/>
      <c r="B82" s="47"/>
      <c r="F82" s="3"/>
      <c r="AI82" s="93"/>
    </row>
    <row r="83" spans="1:137" s="6" customFormat="1">
      <c r="A83" s="300" t="s">
        <v>1311</v>
      </c>
      <c r="B83" s="56">
        <v>3.8390100719329863</v>
      </c>
      <c r="C83" s="56">
        <f>EdgeAI_vs_Download!BQ13/1000</f>
        <v>0.46616391918661393</v>
      </c>
      <c r="D83" s="6" t="s">
        <v>249</v>
      </c>
      <c r="E83" s="6" t="s">
        <v>250</v>
      </c>
      <c r="F83" s="11">
        <v>2.63</v>
      </c>
      <c r="G83" s="55"/>
      <c r="H83" s="56">
        <f>C83</f>
        <v>0.46616391918661393</v>
      </c>
      <c r="I83" s="56">
        <f>H83*2^(1/$F83)</f>
        <v>0.60673455636261464</v>
      </c>
      <c r="J83" s="56">
        <f t="shared" ref="J83:AI83" si="46">I83*2^(1/$F83)</f>
        <v>0.78969393969156787</v>
      </c>
      <c r="K83" s="56">
        <f t="shared" si="46"/>
        <v>1.0278242962197219</v>
      </c>
      <c r="L83" s="56">
        <f t="shared" si="46"/>
        <v>1.3377623035985</v>
      </c>
      <c r="M83" s="56">
        <f t="shared" si="46"/>
        <v>1.741161390629935</v>
      </c>
      <c r="N83" s="56">
        <f t="shared" si="46"/>
        <v>2.2662045268172322</v>
      </c>
      <c r="O83" s="56">
        <f t="shared" si="46"/>
        <v>2.949573190058433</v>
      </c>
      <c r="P83" s="56">
        <f t="shared" si="46"/>
        <v>3.8390100719329863</v>
      </c>
      <c r="Q83" s="56">
        <f t="shared" si="46"/>
        <v>4.9966545607606854</v>
      </c>
      <c r="R83" s="56">
        <f t="shared" si="46"/>
        <v>6.5033840317588965</v>
      </c>
      <c r="S83" s="56">
        <f t="shared" si="46"/>
        <v>8.4644642430710295</v>
      </c>
      <c r="T83" s="56">
        <f t="shared" si="46"/>
        <v>11.016903595473266</v>
      </c>
      <c r="U83" s="56">
        <f t="shared" si="46"/>
        <v>14.339025051858004</v>
      </c>
      <c r="V83" s="56">
        <f t="shared" si="46"/>
        <v>18.662924446601629</v>
      </c>
      <c r="W83" s="56">
        <f t="shared" si="46"/>
        <v>24.290685568920779</v>
      </c>
      <c r="X83" s="56">
        <f t="shared" si="46"/>
        <v>31.615484866607673</v>
      </c>
      <c r="Y83" s="56">
        <f t="shared" si="46"/>
        <v>41.149060223708943</v>
      </c>
      <c r="Z83" s="56">
        <f t="shared" si="46"/>
        <v>53.557462883728654</v>
      </c>
      <c r="AA83" s="56">
        <f t="shared" si="46"/>
        <v>69.707590281473287</v>
      </c>
      <c r="AB83" s="56">
        <f t="shared" si="46"/>
        <v>90.727750741269929</v>
      </c>
      <c r="AC83" s="56">
        <f t="shared" si="46"/>
        <v>118.08649131797289</v>
      </c>
      <c r="AD83" s="56">
        <f t="shared" si="46"/>
        <v>153.69519598865901</v>
      </c>
      <c r="AE83" s="56">
        <f t="shared" si="46"/>
        <v>200.04162208854603</v>
      </c>
      <c r="AF83" s="56">
        <f t="shared" si="46"/>
        <v>260.36370434616219</v>
      </c>
      <c r="AG83" s="56">
        <f t="shared" si="46"/>
        <v>338.87576911793712</v>
      </c>
      <c r="AH83" s="56">
        <f t="shared" si="46"/>
        <v>441.06296299500377</v>
      </c>
      <c r="AI83" s="56">
        <f t="shared" si="46"/>
        <v>574.06446566626175</v>
      </c>
      <c r="AJ83" s="321" t="s">
        <v>1309</v>
      </c>
      <c r="AN83" s="56">
        <f>SUM(H83:Q83)</f>
        <v>20.020782755258288</v>
      </c>
      <c r="AP83" s="6" t="s">
        <v>1628</v>
      </c>
    </row>
    <row r="84" spans="1:137">
      <c r="A84" s="92"/>
      <c r="B84" s="47"/>
      <c r="AI84" s="93"/>
      <c r="AP84" t="s">
        <v>1629</v>
      </c>
    </row>
    <row r="85" spans="1:137" s="6" customFormat="1">
      <c r="A85" s="300" t="s">
        <v>1312</v>
      </c>
      <c r="B85" s="56">
        <v>151.1515500120874</v>
      </c>
      <c r="E85" s="6" t="s">
        <v>1313</v>
      </c>
      <c r="G85" s="55"/>
      <c r="H85" s="202">
        <f>H76*H83*1000</f>
        <v>116.54097979665349</v>
      </c>
      <c r="I85" s="202">
        <f t="shared" ref="I85:AI85" si="47">I76*I83*1000</f>
        <v>120.39138412943414</v>
      </c>
      <c r="J85" s="202">
        <f t="shared" si="47"/>
        <v>124.36900219897734</v>
      </c>
      <c r="K85" s="202">
        <f t="shared" si="47"/>
        <v>128.47803702746521</v>
      </c>
      <c r="L85" s="202">
        <f t="shared" si="47"/>
        <v>132.72283050097874</v>
      </c>
      <c r="M85" s="202">
        <f t="shared" si="47"/>
        <v>137.10786795743024</v>
      </c>
      <c r="N85" s="202">
        <f t="shared" si="47"/>
        <v>141.63778292607694</v>
      </c>
      <c r="O85" s="202">
        <f t="shared" si="47"/>
        <v>146.3173620236235</v>
      </c>
      <c r="P85" s="202">
        <f t="shared" si="47"/>
        <v>151.1515500120874</v>
      </c>
      <c r="Q85" s="202">
        <f t="shared" si="47"/>
        <v>156.14545502377132</v>
      </c>
      <c r="R85" s="202">
        <f t="shared" si="47"/>
        <v>161.30435395886335</v>
      </c>
      <c r="S85" s="202">
        <f t="shared" si="47"/>
        <v>166.63369806136959</v>
      </c>
      <c r="T85" s="202">
        <f t="shared" si="47"/>
        <v>172.13911867926959</v>
      </c>
      <c r="U85" s="202">
        <f t="shared" si="47"/>
        <v>177.8264332149823</v>
      </c>
      <c r="V85" s="202">
        <f t="shared" si="47"/>
        <v>183.70165127242959</v>
      </c>
      <c r="W85" s="202">
        <f t="shared" si="47"/>
        <v>189.77098100719334</v>
      </c>
      <c r="X85" s="202">
        <f t="shared" si="47"/>
        <v>196.04083568647516</v>
      </c>
      <c r="Y85" s="202">
        <f t="shared" si="47"/>
        <v>202.51784046579164</v>
      </c>
      <c r="Z85" s="202">
        <f t="shared" si="47"/>
        <v>209.2088393895647</v>
      </c>
      <c r="AA85" s="202">
        <f t="shared" si="47"/>
        <v>216.12090262300535</v>
      </c>
      <c r="AB85" s="202">
        <f t="shared" si="47"/>
        <v>223.26133392293158</v>
      </c>
      <c r="AC85" s="202">
        <f t="shared" si="47"/>
        <v>230.63767835541537</v>
      </c>
      <c r="AD85" s="202">
        <f>AD76*AD83*1000</f>
        <v>238.25773026841352</v>
      </c>
      <c r="AE85" s="202">
        <f t="shared" si="47"/>
        <v>246.12954152780654</v>
      </c>
      <c r="AF85" s="202">
        <f t="shared" si="47"/>
        <v>254.26143002554852</v>
      </c>
      <c r="AG85" s="202">
        <f t="shared" si="47"/>
        <v>262.66198846891848</v>
      </c>
      <c r="AH85" s="202">
        <f t="shared" si="47"/>
        <v>271.34009346015995</v>
      </c>
      <c r="AI85" s="302">
        <f t="shared" si="47"/>
        <v>280.30491487610374</v>
      </c>
      <c r="CZ85"/>
    </row>
    <row r="86" spans="1:137" ht="17" customHeight="1">
      <c r="A86" s="92"/>
      <c r="B86" s="47"/>
      <c r="AI86" s="93"/>
    </row>
    <row r="87" spans="1:137" s="6" customFormat="1" ht="18" customHeight="1">
      <c r="A87" s="300" t="s">
        <v>1316</v>
      </c>
      <c r="B87" s="56">
        <v>399.70003221667116</v>
      </c>
      <c r="G87" s="55"/>
      <c r="H87" s="202">
        <f>H83*'Use-Case Definitions'!$B24*1000000*temp_data!B105</f>
        <v>3338.1958377512688</v>
      </c>
      <c r="I87" s="202">
        <f>I83*'Use-Case Definitions'!$B24*1000000*temp_data!C105</f>
        <v>2675.4596189532144</v>
      </c>
      <c r="J87" s="202">
        <f>J83*'Use-Case Definitions'!$B24*1000000*temp_data!D105</f>
        <v>1615.5900196339567</v>
      </c>
      <c r="K87" s="202">
        <f>K83*'Use-Case Definitions'!$B24*1000000*temp_data!E105</f>
        <v>1298.1460036779588</v>
      </c>
      <c r="L87" s="202">
        <f>L83*'Use-Case Definitions'!$B24*1000000*temp_data!F105</f>
        <v>1007.646654949064</v>
      </c>
      <c r="M87" s="202">
        <f>M83*'Use-Case Definitions'!$B24*1000000*temp_data!G105</f>
        <v>775.56250084328963</v>
      </c>
      <c r="N87" s="202">
        <f>N83*'Use-Case Definitions'!$B24*1000000*temp_data!H105</f>
        <v>607.69544750095758</v>
      </c>
      <c r="O87" s="202">
        <f>O83*'Use-Case Definitions'!$B24*1000000*temp_data!I105</f>
        <v>490.90960610795906</v>
      </c>
      <c r="P87" s="202">
        <f>P83*'Use-Case Definitions'!$B24*1000000*temp_data!J105</f>
        <v>399.70003221667116</v>
      </c>
      <c r="Q87" s="202">
        <f>Q83*'Use-Case Definitions'!$B24*1000000*temp_data!K105</f>
        <v>323.96966010041416</v>
      </c>
      <c r="R87" s="202">
        <f>R83*'Use-Case Definitions'!$B24*1000000*temp_data!L105</f>
        <v>264.57919800032283</v>
      </c>
      <c r="S87" s="202">
        <f>S83*'Use-Case Definitions'!$B24*1000000*temp_data!M105</f>
        <v>217.76001845300596</v>
      </c>
      <c r="T87" s="202">
        <f>T83*'Use-Case Definitions'!$B24*1000000*temp_data!N105</f>
        <v>180.7885675604953</v>
      </c>
      <c r="U87" s="202">
        <f>U83*'Use-Case Definitions'!$B24*1000000*temp_data!O105</f>
        <v>150.27496244541643</v>
      </c>
      <c r="V87" s="202">
        <f>V83*'Use-Case Definitions'!$B24*1000000*temp_data!P105</f>
        <v>125.76174469440483</v>
      </c>
      <c r="W87" s="202">
        <f>W83*'Use-Case Definitions'!$B24*1000000*temp_data!Q105</f>
        <v>105.72280687482697</v>
      </c>
      <c r="X87" s="202">
        <f>X83*'Use-Case Definitions'!$B24*1000000*temp_data!R105</f>
        <v>89.331393800589311</v>
      </c>
      <c r="Y87" s="202">
        <f>Y83*'Use-Case Definitions'!$B24*1000000*temp_data!S105</f>
        <v>75.859090161517969</v>
      </c>
      <c r="Z87" s="202">
        <f>Z83*'Use-Case Definitions'!$B24*1000000*temp_data!T105</f>
        <v>64.767890936325571</v>
      </c>
      <c r="AA87" s="202">
        <f>AA83*'Use-Case Definitions'!$B24*1000000*temp_data!U105</f>
        <v>55.609101453009103</v>
      </c>
      <c r="AB87" s="202">
        <f>AB83*'Use-Case Definitions'!$B24*1000000*temp_data!V105</f>
        <v>48.027547590173469</v>
      </c>
      <c r="AC87" s="202">
        <f>AC83*'Use-Case Definitions'!$B24*1000000*temp_data!W105</f>
        <v>41.7398401897903</v>
      </c>
      <c r="AD87" s="202">
        <f>AD83*'Use-Case Definitions'!$B24*1000000*temp_data!X105</f>
        <v>36.512490510049638</v>
      </c>
      <c r="AE87" s="202">
        <f>AE83*'Use-Case Definitions'!$B24*1000000*temp_data!Y105</f>
        <v>32.159514642939463</v>
      </c>
      <c r="AF87" s="202">
        <f>AF83*'Use-Case Definitions'!$B24*1000000*temp_data!Z105</f>
        <v>28.528340629880599</v>
      </c>
      <c r="AG87" s="202">
        <f>AG83*'Use-Case Definitions'!$B24*1000000*temp_data!AA105</f>
        <v>25.494821688430193</v>
      </c>
      <c r="AH87" s="202">
        <f>AH83*'Use-Case Definitions'!$B24*1000000*temp_data!AB105</f>
        <v>22.957360236836113</v>
      </c>
      <c r="AI87" s="302">
        <f>AI83*'Use-Case Definitions'!$B24*1000000*temp_data!AC105</f>
        <v>20.831827057546114</v>
      </c>
      <c r="CZ87" s="56"/>
      <c r="DA87" s="56"/>
      <c r="DB87" s="56"/>
      <c r="DC87" s="56"/>
      <c r="DD87" s="56"/>
      <c r="DE87" s="56"/>
      <c r="DF87" s="56"/>
      <c r="DG87" s="56"/>
      <c r="DH87" s="56"/>
      <c r="DI87" s="56"/>
      <c r="DJ87" s="56"/>
      <c r="DK87" s="56"/>
      <c r="DL87" s="56"/>
      <c r="DM87" s="56"/>
      <c r="DN87" s="56"/>
      <c r="DO87" s="56"/>
      <c r="DP87" s="56"/>
      <c r="DQ87" s="56"/>
      <c r="DR87" s="56"/>
      <c r="DS87" s="56"/>
      <c r="DT87" s="56"/>
      <c r="DU87" s="56"/>
      <c r="DV87" s="56"/>
      <c r="DW87" s="56"/>
      <c r="DX87" s="56"/>
      <c r="DY87" s="56"/>
      <c r="DZ87" s="56"/>
      <c r="EA87" s="56"/>
    </row>
    <row r="88" spans="1:137">
      <c r="A88" s="92"/>
      <c r="B88" s="47"/>
      <c r="AI88" s="93"/>
    </row>
    <row r="89" spans="1:137" s="6" customFormat="1">
      <c r="A89" s="300" t="s">
        <v>1318</v>
      </c>
      <c r="B89" s="56">
        <v>0.15115155001208741</v>
      </c>
      <c r="G89" s="55"/>
      <c r="H89" s="56">
        <f>H85/1000</f>
        <v>0.11654097979665348</v>
      </c>
      <c r="I89" s="56">
        <f t="shared" ref="I89:AI89" si="48">I85/1000</f>
        <v>0.12039138412943415</v>
      </c>
      <c r="J89" s="56">
        <f t="shared" si="48"/>
        <v>0.12436900219897734</v>
      </c>
      <c r="K89" s="56">
        <f t="shared" si="48"/>
        <v>0.12847803702746521</v>
      </c>
      <c r="L89" s="56">
        <f t="shared" si="48"/>
        <v>0.13272283050097874</v>
      </c>
      <c r="M89" s="56">
        <f t="shared" si="48"/>
        <v>0.13710786795743024</v>
      </c>
      <c r="N89" s="56">
        <f t="shared" si="48"/>
        <v>0.14163778292607693</v>
      </c>
      <c r="O89" s="56">
        <f t="shared" si="48"/>
        <v>0.1463173620236235</v>
      </c>
      <c r="P89" s="56">
        <f t="shared" si="48"/>
        <v>0.15115155001208741</v>
      </c>
      <c r="Q89" s="56">
        <f t="shared" si="48"/>
        <v>0.15614545502377131</v>
      </c>
      <c r="R89" s="56">
        <f t="shared" si="48"/>
        <v>0.16130435395886333</v>
      </c>
      <c r="S89" s="56">
        <f t="shared" si="48"/>
        <v>0.16663369806136957</v>
      </c>
      <c r="T89" s="56">
        <f t="shared" si="48"/>
        <v>0.17213911867926959</v>
      </c>
      <c r="U89" s="56">
        <f t="shared" si="48"/>
        <v>0.17782643321498232</v>
      </c>
      <c r="V89" s="56">
        <f t="shared" si="48"/>
        <v>0.1837016512724296</v>
      </c>
      <c r="W89" s="56">
        <f t="shared" si="48"/>
        <v>0.18977098100719333</v>
      </c>
      <c r="X89" s="56">
        <f t="shared" si="48"/>
        <v>0.19604083568647515</v>
      </c>
      <c r="Y89" s="56">
        <f>Y85/1000</f>
        <v>0.20251784046579163</v>
      </c>
      <c r="Z89" s="56">
        <f t="shared" si="48"/>
        <v>0.20920883938956469</v>
      </c>
      <c r="AA89" s="56">
        <f t="shared" si="48"/>
        <v>0.21612090262300535</v>
      </c>
      <c r="AB89" s="56">
        <f t="shared" si="48"/>
        <v>0.22326133392293157</v>
      </c>
      <c r="AC89" s="56">
        <f t="shared" si="48"/>
        <v>0.23063767835541538</v>
      </c>
      <c r="AD89" s="56">
        <f t="shared" si="48"/>
        <v>0.23825773026841351</v>
      </c>
      <c r="AE89" s="56">
        <f t="shared" si="48"/>
        <v>0.24612954152780653</v>
      </c>
      <c r="AF89" s="56">
        <f t="shared" si="48"/>
        <v>0.25426143002554852</v>
      </c>
      <c r="AG89" s="56">
        <f t="shared" si="48"/>
        <v>0.26266198846891847</v>
      </c>
      <c r="AH89" s="56">
        <f t="shared" si="48"/>
        <v>0.27134009346015997</v>
      </c>
      <c r="AI89" s="301">
        <f t="shared" si="48"/>
        <v>0.28030491487610376</v>
      </c>
    </row>
    <row r="90" spans="1:137">
      <c r="A90" s="92"/>
      <c r="B90" s="47"/>
      <c r="AI90" s="93"/>
      <c r="BT90" s="289"/>
      <c r="BU90" s="289"/>
      <c r="BV90" s="289"/>
      <c r="BW90" s="289"/>
      <c r="BX90" s="289"/>
      <c r="BY90" s="289"/>
      <c r="BZ90" s="289"/>
      <c r="CA90" s="289"/>
      <c r="CB90" s="289"/>
      <c r="CC90" s="289"/>
      <c r="CD90" s="289"/>
      <c r="CE90" s="289"/>
      <c r="CF90" s="289"/>
      <c r="CG90" s="289"/>
      <c r="CH90" s="289"/>
      <c r="CI90" s="289"/>
      <c r="CJ90" s="289"/>
      <c r="CK90" s="289"/>
      <c r="CL90" s="289"/>
      <c r="CM90" s="289"/>
      <c r="CN90" s="289"/>
      <c r="CO90" s="289"/>
      <c r="CP90" s="289"/>
      <c r="CQ90" s="289"/>
      <c r="CR90" s="289"/>
      <c r="CS90" s="289"/>
      <c r="CT90" s="289"/>
      <c r="CU90" s="289"/>
      <c r="CV90" s="289"/>
      <c r="CW90" s="289"/>
      <c r="CX90" s="289"/>
      <c r="CY90" s="47"/>
      <c r="CZ90" s="47"/>
      <c r="DA90" s="47"/>
      <c r="DB90" s="47"/>
      <c r="DC90" s="47"/>
      <c r="DD90" s="47"/>
      <c r="DE90" s="47"/>
      <c r="DF90" s="47"/>
      <c r="DG90" s="47"/>
      <c r="DH90" s="47"/>
      <c r="DI90" s="47"/>
      <c r="DJ90" s="47"/>
      <c r="DK90" s="47"/>
      <c r="DL90" s="47"/>
      <c r="DM90" s="47"/>
      <c r="DN90" s="47"/>
      <c r="DO90" s="47"/>
      <c r="DP90" s="47"/>
      <c r="DQ90" s="47"/>
      <c r="DR90" s="47"/>
      <c r="DS90" s="47"/>
      <c r="DT90" s="47"/>
      <c r="DU90" s="47"/>
      <c r="DV90" s="47"/>
      <c r="DW90" s="47"/>
      <c r="DX90" s="47"/>
      <c r="DY90" s="47"/>
      <c r="DZ90" s="47"/>
      <c r="EA90" s="47"/>
    </row>
    <row r="91" spans="1:137" s="6" customFormat="1" ht="17" thickBot="1">
      <c r="A91" s="303" t="s">
        <v>1317</v>
      </c>
      <c r="B91" s="323">
        <v>399.85118376668322</v>
      </c>
      <c r="C91" s="304"/>
      <c r="D91" s="304"/>
      <c r="E91" s="304"/>
      <c r="F91" s="304"/>
      <c r="G91" s="305"/>
      <c r="H91" s="306">
        <f>H87+H89</f>
        <v>3338.3123787310656</v>
      </c>
      <c r="I91" s="306">
        <f t="shared" ref="I91:AI91" si="49">I87+I89</f>
        <v>2675.580010337344</v>
      </c>
      <c r="J91" s="306">
        <f t="shared" si="49"/>
        <v>1615.7143886361557</v>
      </c>
      <c r="K91" s="306">
        <f t="shared" si="49"/>
        <v>1298.2744817149862</v>
      </c>
      <c r="L91" s="306">
        <f t="shared" si="49"/>
        <v>1007.7793777795649</v>
      </c>
      <c r="M91" s="306">
        <f t="shared" si="49"/>
        <v>775.69960871124704</v>
      </c>
      <c r="N91" s="306">
        <f t="shared" si="49"/>
        <v>607.83708528388365</v>
      </c>
      <c r="O91" s="306">
        <f t="shared" si="49"/>
        <v>491.0559234699827</v>
      </c>
      <c r="P91" s="306">
        <f t="shared" si="49"/>
        <v>399.85118376668322</v>
      </c>
      <c r="Q91" s="306">
        <f t="shared" si="49"/>
        <v>324.12580555543792</v>
      </c>
      <c r="R91" s="306">
        <f t="shared" si="49"/>
        <v>264.74050235428172</v>
      </c>
      <c r="S91" s="306">
        <f t="shared" si="49"/>
        <v>217.92665215106732</v>
      </c>
      <c r="T91" s="306">
        <f t="shared" si="49"/>
        <v>180.96070667917456</v>
      </c>
      <c r="U91" s="306">
        <f t="shared" si="49"/>
        <v>150.45278887863142</v>
      </c>
      <c r="V91" s="306">
        <f t="shared" si="49"/>
        <v>125.94544634567725</v>
      </c>
      <c r="W91" s="306">
        <f t="shared" si="49"/>
        <v>105.91257785583417</v>
      </c>
      <c r="X91" s="306">
        <f t="shared" si="49"/>
        <v>89.527434636275785</v>
      </c>
      <c r="Y91" s="306">
        <f t="shared" si="49"/>
        <v>76.061608001983757</v>
      </c>
      <c r="Z91" s="306">
        <f t="shared" si="49"/>
        <v>64.977099775715132</v>
      </c>
      <c r="AA91" s="306">
        <f t="shared" si="49"/>
        <v>55.825222355632107</v>
      </c>
      <c r="AB91" s="306">
        <f t="shared" si="49"/>
        <v>48.250808924096404</v>
      </c>
      <c r="AC91" s="306">
        <f t="shared" si="49"/>
        <v>41.970477868145714</v>
      </c>
      <c r="AD91" s="306">
        <f t="shared" si="49"/>
        <v>36.750748240318053</v>
      </c>
      <c r="AE91" s="306">
        <f t="shared" si="49"/>
        <v>32.40564418446727</v>
      </c>
      <c r="AF91" s="306">
        <f t="shared" si="49"/>
        <v>28.782602059906147</v>
      </c>
      <c r="AG91" s="306">
        <f t="shared" si="49"/>
        <v>25.75748367689911</v>
      </c>
      <c r="AH91" s="306">
        <f t="shared" si="49"/>
        <v>23.228700330296274</v>
      </c>
      <c r="AI91" s="307">
        <f t="shared" si="49"/>
        <v>21.112131972422219</v>
      </c>
      <c r="AW91" s="322"/>
      <c r="AX91" s="322"/>
      <c r="AY91" s="322"/>
      <c r="AZ91" s="322"/>
      <c r="BA91" s="322"/>
      <c r="BB91" s="322"/>
      <c r="BC91" s="322"/>
      <c r="BD91" s="322"/>
      <c r="BE91" s="322"/>
      <c r="BF91" s="322"/>
      <c r="BG91" s="322"/>
      <c r="BH91" s="308"/>
      <c r="BI91" s="308"/>
      <c r="BJ91" s="308"/>
      <c r="BK91" s="308"/>
      <c r="BL91" s="308"/>
      <c r="BM91" s="308"/>
      <c r="BN91" s="308"/>
      <c r="BO91" s="308"/>
      <c r="BP91" s="308"/>
      <c r="BQ91" s="308"/>
      <c r="BR91" s="308"/>
      <c r="BS91" s="308"/>
      <c r="BT91" s="308"/>
      <c r="BU91" s="308"/>
      <c r="BV91" s="308"/>
      <c r="BW91" s="308"/>
      <c r="BX91" s="308"/>
      <c r="BY91" s="308"/>
      <c r="BZ91" s="308"/>
      <c r="CA91" s="57"/>
      <c r="CB91" s="57"/>
      <c r="CC91" s="57"/>
      <c r="CD91" s="57"/>
      <c r="CE91" s="57"/>
      <c r="CF91" s="57"/>
      <c r="CG91" s="57"/>
      <c r="CH91" s="56"/>
      <c r="CI91" s="56"/>
      <c r="CJ91" s="56"/>
      <c r="CK91" s="56"/>
      <c r="CL91" s="56"/>
      <c r="CM91" s="56"/>
      <c r="CN91" s="56"/>
      <c r="CO91" s="56"/>
      <c r="CP91" s="56"/>
      <c r="CQ91" s="56"/>
      <c r="CR91" s="56"/>
      <c r="CS91" s="56"/>
      <c r="CT91" s="56"/>
      <c r="CU91" s="56"/>
      <c r="CV91" s="56"/>
      <c r="CW91" s="56"/>
      <c r="CX91" s="56"/>
      <c r="CY91" s="56"/>
      <c r="CZ91" s="56"/>
      <c r="DA91" s="56"/>
      <c r="DB91" s="56"/>
      <c r="DC91" s="56"/>
      <c r="DD91" s="56"/>
      <c r="DE91" s="56"/>
      <c r="DF91" s="56"/>
      <c r="DG91" s="56"/>
      <c r="DH91" s="56"/>
      <c r="DI91" s="56"/>
      <c r="DJ91" s="56"/>
      <c r="DK91" s="56"/>
      <c r="DL91" s="56"/>
      <c r="DM91" s="56"/>
      <c r="DN91" s="56"/>
      <c r="DO91" s="56"/>
      <c r="DP91" s="56"/>
      <c r="DQ91" s="56"/>
      <c r="DR91" s="56"/>
      <c r="DS91" s="56"/>
      <c r="DT91" s="56"/>
      <c r="DU91" s="56"/>
      <c r="DV91" s="56"/>
      <c r="DW91" s="56"/>
      <c r="DX91" s="56"/>
      <c r="DY91" s="56"/>
      <c r="DZ91" s="56"/>
      <c r="EA91" s="56"/>
    </row>
    <row r="92" spans="1:137">
      <c r="A92" s="213"/>
      <c r="AI92" s="209"/>
      <c r="CZ92" s="74"/>
      <c r="DA92" s="74"/>
      <c r="DB92" s="74"/>
      <c r="DC92" s="74"/>
      <c r="DD92" s="74"/>
      <c r="DE92" s="74"/>
      <c r="DF92" s="74"/>
      <c r="DG92" s="74"/>
      <c r="DH92" s="74"/>
      <c r="DI92" s="74"/>
      <c r="DJ92" s="74"/>
      <c r="DK92" s="74"/>
      <c r="DL92" s="74"/>
      <c r="DM92" s="74"/>
      <c r="DN92" s="74"/>
      <c r="DO92" s="74"/>
      <c r="DP92" s="74"/>
      <c r="DQ92" s="74"/>
      <c r="DR92" s="74"/>
      <c r="DS92" s="74"/>
      <c r="DT92" s="74"/>
      <c r="DU92" s="74"/>
      <c r="DV92" s="74"/>
      <c r="DW92" s="74"/>
      <c r="DX92" s="74"/>
      <c r="DY92" s="74"/>
      <c r="DZ92" s="74"/>
      <c r="EA92" s="74"/>
    </row>
    <row r="93" spans="1:137">
      <c r="A93" s="213"/>
      <c r="AI93" s="209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202"/>
      <c r="DA93" s="202"/>
      <c r="DB93" s="202"/>
      <c r="DC93" s="202"/>
      <c r="DD93" s="202"/>
      <c r="DE93" s="202"/>
      <c r="DF93" s="202"/>
      <c r="DG93" s="202"/>
      <c r="DH93" s="202"/>
      <c r="DI93" s="202"/>
      <c r="DJ93" s="202"/>
      <c r="DK93" s="202"/>
      <c r="DL93" s="202"/>
      <c r="DM93" s="202"/>
      <c r="DN93" s="202"/>
      <c r="DO93" s="202"/>
      <c r="DP93" s="202"/>
      <c r="DQ93" s="202"/>
      <c r="DR93" s="202"/>
      <c r="DS93" s="202"/>
      <c r="DT93" s="202"/>
      <c r="DU93" s="202"/>
      <c r="DV93" s="202"/>
      <c r="DW93" s="202"/>
      <c r="DX93" s="202"/>
      <c r="DY93" s="202"/>
      <c r="DZ93" s="202"/>
      <c r="EA93" s="202"/>
      <c r="EB93" s="6"/>
      <c r="EC93" s="6"/>
      <c r="ED93" s="6"/>
      <c r="EE93" s="6"/>
      <c r="EF93" s="6"/>
      <c r="EG93" s="6"/>
    </row>
    <row r="94" spans="1:137">
      <c r="A94" s="213"/>
      <c r="AI94" s="209"/>
    </row>
    <row r="95" spans="1:137">
      <c r="A95" s="213"/>
      <c r="AI95" s="209"/>
    </row>
    <row r="96" spans="1:137">
      <c r="A96" s="213"/>
      <c r="AI96" s="209"/>
    </row>
    <row r="97" spans="1:37">
      <c r="A97" s="213"/>
      <c r="AI97" s="209"/>
    </row>
    <row r="98" spans="1:37">
      <c r="A98" s="213"/>
      <c r="AI98" s="209"/>
    </row>
    <row r="99" spans="1:37">
      <c r="A99" s="213"/>
      <c r="AI99" s="209"/>
    </row>
    <row r="100" spans="1:37">
      <c r="A100" s="213"/>
      <c r="AI100" s="209"/>
    </row>
    <row r="101" spans="1:37" ht="17" thickBot="1">
      <c r="A101" s="231"/>
      <c r="B101" s="232"/>
      <c r="C101" s="232"/>
      <c r="D101" s="232"/>
      <c r="E101" s="232"/>
      <c r="F101" s="232"/>
      <c r="G101" s="233"/>
      <c r="H101" s="232"/>
      <c r="I101" s="232"/>
      <c r="J101" s="232"/>
      <c r="K101" s="232"/>
      <c r="L101" s="232"/>
      <c r="M101" s="232"/>
      <c r="N101" s="232"/>
      <c r="O101" s="232"/>
      <c r="P101" s="232"/>
      <c r="Q101" s="232"/>
      <c r="R101" s="232"/>
      <c r="S101" s="232"/>
      <c r="T101" s="232"/>
      <c r="U101" s="232"/>
      <c r="V101" s="232"/>
      <c r="W101" s="232"/>
      <c r="X101" s="232"/>
      <c r="Y101" s="232"/>
      <c r="Z101" s="232"/>
      <c r="AA101" s="232"/>
      <c r="AB101" s="232"/>
      <c r="AC101" s="232"/>
      <c r="AD101" s="232"/>
      <c r="AE101" s="232"/>
      <c r="AF101" s="232"/>
      <c r="AG101" s="232"/>
      <c r="AH101" s="232"/>
      <c r="AI101" s="234"/>
    </row>
    <row r="102" spans="1:37" ht="22" thickTop="1">
      <c r="AK102" s="4" t="s">
        <v>1632</v>
      </c>
    </row>
    <row r="103" spans="1:37" ht="17" thickBot="1"/>
    <row r="104" spans="1:37" ht="17" thickTop="1">
      <c r="A104" s="235"/>
      <c r="B104" s="206"/>
      <c r="C104" s="206"/>
      <c r="D104" s="206"/>
      <c r="E104" s="206"/>
      <c r="F104" s="206"/>
      <c r="G104" s="292"/>
      <c r="H104" s="206"/>
      <c r="I104" s="206"/>
      <c r="J104" s="206"/>
      <c r="K104" s="206"/>
      <c r="L104" s="206"/>
      <c r="M104" s="206"/>
      <c r="N104" s="206"/>
      <c r="O104" s="206"/>
      <c r="P104" s="206"/>
      <c r="Q104" s="206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  <c r="AD104" s="206"/>
      <c r="AE104" s="206"/>
      <c r="AF104" s="206"/>
      <c r="AG104" s="206"/>
      <c r="AH104" s="206"/>
      <c r="AI104" s="207"/>
    </row>
    <row r="105" spans="1:37" ht="19">
      <c r="A105" s="236" t="s">
        <v>1165</v>
      </c>
      <c r="B105">
        <v>2031</v>
      </c>
      <c r="G105" s="293" t="s">
        <v>116</v>
      </c>
      <c r="H105">
        <f>H1</f>
        <v>2023</v>
      </c>
      <c r="I105">
        <f t="shared" ref="I105:AI105" si="50">I1</f>
        <v>2024</v>
      </c>
      <c r="J105">
        <f t="shared" si="50"/>
        <v>2025</v>
      </c>
      <c r="K105">
        <f t="shared" si="50"/>
        <v>2026</v>
      </c>
      <c r="L105">
        <f t="shared" si="50"/>
        <v>2027</v>
      </c>
      <c r="M105">
        <f t="shared" si="50"/>
        <v>2028</v>
      </c>
      <c r="N105">
        <f t="shared" si="50"/>
        <v>2029</v>
      </c>
      <c r="O105">
        <f t="shared" si="50"/>
        <v>2030</v>
      </c>
      <c r="P105">
        <f t="shared" si="50"/>
        <v>2031</v>
      </c>
      <c r="Q105">
        <f t="shared" si="50"/>
        <v>2032</v>
      </c>
      <c r="R105">
        <f t="shared" si="50"/>
        <v>2033</v>
      </c>
      <c r="S105">
        <f t="shared" si="50"/>
        <v>2034</v>
      </c>
      <c r="T105">
        <f t="shared" si="50"/>
        <v>2035</v>
      </c>
      <c r="U105">
        <f t="shared" si="50"/>
        <v>2036</v>
      </c>
      <c r="V105">
        <f t="shared" si="50"/>
        <v>2037</v>
      </c>
      <c r="W105">
        <f t="shared" si="50"/>
        <v>2038</v>
      </c>
      <c r="X105">
        <f t="shared" si="50"/>
        <v>2039</v>
      </c>
      <c r="Y105">
        <f t="shared" si="50"/>
        <v>2040</v>
      </c>
      <c r="Z105">
        <f t="shared" si="50"/>
        <v>2041</v>
      </c>
      <c r="AA105">
        <f t="shared" si="50"/>
        <v>2042</v>
      </c>
      <c r="AB105">
        <f t="shared" si="50"/>
        <v>2043</v>
      </c>
      <c r="AC105">
        <f t="shared" si="50"/>
        <v>2044</v>
      </c>
      <c r="AD105">
        <f t="shared" si="50"/>
        <v>2045</v>
      </c>
      <c r="AE105">
        <f t="shared" si="50"/>
        <v>2046</v>
      </c>
      <c r="AF105">
        <f t="shared" si="50"/>
        <v>2047</v>
      </c>
      <c r="AG105">
        <f t="shared" si="50"/>
        <v>2048</v>
      </c>
      <c r="AH105">
        <f t="shared" si="50"/>
        <v>2049</v>
      </c>
      <c r="AI105" s="209">
        <f t="shared" si="50"/>
        <v>2050</v>
      </c>
    </row>
    <row r="106" spans="1:37">
      <c r="A106" s="213"/>
      <c r="AI106" s="209"/>
    </row>
    <row r="107" spans="1:37">
      <c r="A107" s="210" t="s">
        <v>118</v>
      </c>
      <c r="AI107" s="209"/>
    </row>
    <row r="108" spans="1:37" s="6" customFormat="1" outlineLevel="1">
      <c r="A108" s="211" t="s">
        <v>119</v>
      </c>
      <c r="B108" s="193">
        <v>0.62499999999999956</v>
      </c>
      <c r="C108" s="6">
        <v>10</v>
      </c>
      <c r="D108" s="6" t="s">
        <v>120</v>
      </c>
      <c r="F108" s="58">
        <v>2</v>
      </c>
      <c r="G108" s="55" t="s">
        <v>121</v>
      </c>
      <c r="H108" s="193">
        <f>Compute_Power_CPU_GFLOPS_def</f>
        <v>10</v>
      </c>
      <c r="I108" s="193">
        <f t="shared" ref="I108:AI108" si="51">H108*2^(-1/Exp_CPU_Performance)</f>
        <v>7.0710678118654746</v>
      </c>
      <c r="J108" s="193">
        <f t="shared" si="51"/>
        <v>4.9999999999999991</v>
      </c>
      <c r="K108" s="193">
        <f t="shared" si="51"/>
        <v>3.5355339059327369</v>
      </c>
      <c r="L108" s="193">
        <f t="shared" si="51"/>
        <v>2.4999999999999991</v>
      </c>
      <c r="M108" s="193">
        <f t="shared" si="51"/>
        <v>1.767766952966368</v>
      </c>
      <c r="N108" s="193">
        <f t="shared" si="51"/>
        <v>1.2499999999999993</v>
      </c>
      <c r="O108" s="193">
        <f t="shared" si="51"/>
        <v>0.88388347648318388</v>
      </c>
      <c r="P108" s="193">
        <f t="shared" si="51"/>
        <v>0.62499999999999956</v>
      </c>
      <c r="Q108" s="193">
        <f t="shared" si="51"/>
        <v>0.44194173824159183</v>
      </c>
      <c r="R108" s="193">
        <f t="shared" si="51"/>
        <v>0.31249999999999972</v>
      </c>
      <c r="S108" s="193">
        <f t="shared" si="51"/>
        <v>0.22097086912079589</v>
      </c>
      <c r="T108" s="193">
        <f t="shared" si="51"/>
        <v>0.15624999999999983</v>
      </c>
      <c r="U108" s="193">
        <f t="shared" si="51"/>
        <v>0.11048543456039793</v>
      </c>
      <c r="V108" s="193">
        <f t="shared" si="51"/>
        <v>7.8124999999999903E-2</v>
      </c>
      <c r="W108" s="193">
        <f t="shared" si="51"/>
        <v>5.5242717280198951E-2</v>
      </c>
      <c r="X108" s="193">
        <f t="shared" si="51"/>
        <v>3.9062499999999944E-2</v>
      </c>
      <c r="Y108" s="193">
        <f t="shared" si="51"/>
        <v>2.7621358640099472E-2</v>
      </c>
      <c r="Z108" s="193">
        <f t="shared" si="51"/>
        <v>1.9531249999999969E-2</v>
      </c>
      <c r="AA108" s="193">
        <f t="shared" si="51"/>
        <v>1.3810679320049733E-2</v>
      </c>
      <c r="AB108" s="193">
        <f t="shared" si="51"/>
        <v>9.7656249999999827E-3</v>
      </c>
      <c r="AC108" s="193">
        <f t="shared" si="51"/>
        <v>6.9053396600248654E-3</v>
      </c>
      <c r="AD108" s="193">
        <f t="shared" si="51"/>
        <v>4.8828124999999905E-3</v>
      </c>
      <c r="AE108" s="193">
        <f t="shared" si="51"/>
        <v>3.4526698300124318E-3</v>
      </c>
      <c r="AF108" s="193">
        <f t="shared" si="51"/>
        <v>2.4414062499999948E-3</v>
      </c>
      <c r="AG108" s="193">
        <f t="shared" si="51"/>
        <v>1.7263349150062157E-3</v>
      </c>
      <c r="AH108" s="193">
        <f t="shared" si="51"/>
        <v>1.2207031249999972E-3</v>
      </c>
      <c r="AI108" s="212">
        <f t="shared" si="51"/>
        <v>8.6316745750310774E-4</v>
      </c>
    </row>
    <row r="109" spans="1:37" ht="21" customHeight="1" outlineLevel="1">
      <c r="A109" s="213" t="s">
        <v>122</v>
      </c>
      <c r="B109" s="194">
        <v>0.16204160499030101</v>
      </c>
      <c r="C109">
        <v>3</v>
      </c>
      <c r="D109" t="s">
        <v>120</v>
      </c>
      <c r="F109" s="177">
        <v>1.9</v>
      </c>
      <c r="G109" s="55" t="s">
        <v>86</v>
      </c>
      <c r="H109" s="194">
        <f>Compute_Power_GPU_GFLOPS_def</f>
        <v>3</v>
      </c>
      <c r="I109" s="194">
        <f t="shared" ref="I109:AI109" si="52">H109*2^(1/-Exp_GPU_Performance)</f>
        <v>2.0829767139219841</v>
      </c>
      <c r="J109" s="194">
        <f t="shared" si="52"/>
        <v>1.4462639969137425</v>
      </c>
      <c r="K109" s="194">
        <f t="shared" si="52"/>
        <v>1.0041780759183541</v>
      </c>
      <c r="L109" s="194">
        <f t="shared" si="52"/>
        <v>0.69722651625630461</v>
      </c>
      <c r="M109" s="194">
        <f t="shared" si="52"/>
        <v>0.48410219923027675</v>
      </c>
      <c r="N109" s="194">
        <f t="shared" si="52"/>
        <v>0.33612453605169584</v>
      </c>
      <c r="O109" s="194">
        <f t="shared" si="52"/>
        <v>0.23337986052450432</v>
      </c>
      <c r="P109" s="194">
        <f t="shared" si="52"/>
        <v>0.16204160499030101</v>
      </c>
      <c r="Q109" s="194">
        <f t="shared" si="52"/>
        <v>0.11250962996044714</v>
      </c>
      <c r="R109" s="194">
        <f t="shared" si="52"/>
        <v>7.8118313099863529E-2</v>
      </c>
      <c r="S109" s="194">
        <f t="shared" si="52"/>
        <v>5.4239542372627479E-2</v>
      </c>
      <c r="T109" s="194">
        <f t="shared" si="52"/>
        <v>3.7659901245322605E-2</v>
      </c>
      <c r="U109" s="194">
        <f t="shared" si="52"/>
        <v>2.6148232447536175E-2</v>
      </c>
      <c r="V109" s="194">
        <f t="shared" si="52"/>
        <v>1.8155386432812368E-2</v>
      </c>
      <c r="W109" s="194">
        <f t="shared" si="52"/>
        <v>1.2605749057267761E-2</v>
      </c>
      <c r="X109" s="194">
        <f t="shared" si="52"/>
        <v>8.7524939159442511E-3</v>
      </c>
      <c r="Y109" s="194">
        <f t="shared" si="52"/>
        <v>6.0770803385519056E-3</v>
      </c>
      <c r="Z109" s="194">
        <f t="shared" si="52"/>
        <v>4.2194722779455825E-3</v>
      </c>
      <c r="AA109" s="194">
        <f t="shared" si="52"/>
        <v>2.9296874999999996E-3</v>
      </c>
      <c r="AB109" s="194">
        <f t="shared" si="52"/>
        <v>2.0341569471894376E-3</v>
      </c>
      <c r="AC109" s="194">
        <f t="shared" si="52"/>
        <v>1.4123671844860767E-3</v>
      </c>
      <c r="AD109" s="194">
        <f t="shared" si="52"/>
        <v>9.8064265226401764E-4</v>
      </c>
      <c r="AE109" s="194">
        <f t="shared" si="52"/>
        <v>6.8088526978154747E-4</v>
      </c>
      <c r="AF109" s="194">
        <f t="shared" si="52"/>
        <v>4.7275605393581714E-4</v>
      </c>
      <c r="AG109" s="194">
        <f t="shared" si="52"/>
        <v>3.2824661723798422E-4</v>
      </c>
      <c r="AH109" s="194">
        <f t="shared" si="52"/>
        <v>2.2791002004346125E-4</v>
      </c>
      <c r="AI109" s="214">
        <f t="shared" si="52"/>
        <v>1.5824375487334083E-4</v>
      </c>
    </row>
    <row r="110" spans="1:37" s="6" customFormat="1" outlineLevel="1">
      <c r="A110" s="211" t="s">
        <v>123</v>
      </c>
      <c r="B110" s="193">
        <v>0.3343323446022044</v>
      </c>
      <c r="C110" s="6">
        <v>2</v>
      </c>
      <c r="D110" s="6" t="s">
        <v>120</v>
      </c>
      <c r="F110" s="58">
        <v>3.1</v>
      </c>
      <c r="G110" s="55" t="s">
        <v>124</v>
      </c>
      <c r="H110" s="193">
        <f>Compute_Power_FPGA_GFLOPS_def</f>
        <v>2</v>
      </c>
      <c r="I110" s="193">
        <f t="shared" ref="I110:AI110" si="53">H110*2^(-1/Exp_FPGA_Performance)</f>
        <v>1.5992764622331681</v>
      </c>
      <c r="J110" s="193">
        <f t="shared" si="53"/>
        <v>1.2788426013265191</v>
      </c>
      <c r="K110" s="193">
        <f t="shared" si="53"/>
        <v>1.0226114356012685</v>
      </c>
      <c r="L110" s="193">
        <f t="shared" si="53"/>
        <v>0.81771919948378902</v>
      </c>
      <c r="M110" s="193">
        <f t="shared" si="53"/>
        <v>0.65387953422528622</v>
      </c>
      <c r="N110" s="193">
        <f t="shared" si="53"/>
        <v>0.52286707411124378</v>
      </c>
      <c r="O110" s="193">
        <f t="shared" si="53"/>
        <v>0.41810450225141882</v>
      </c>
      <c r="P110" s="193">
        <f t="shared" si="53"/>
        <v>0.3343323446022044</v>
      </c>
      <c r="Q110" s="193">
        <f t="shared" si="53"/>
        <v>0.26734492464276693</v>
      </c>
      <c r="R110" s="193">
        <f t="shared" si="53"/>
        <v>0.2137792226393386</v>
      </c>
      <c r="S110" s="193">
        <f t="shared" si="53"/>
        <v>0.17094603944079911</v>
      </c>
      <c r="T110" s="193">
        <f t="shared" si="53"/>
        <v>0.13669498859482643</v>
      </c>
      <c r="U110" s="193">
        <f t="shared" si="53"/>
        <v>0.10930653888246863</v>
      </c>
      <c r="V110" s="193">
        <f t="shared" si="53"/>
        <v>8.7405687401453339E-2</v>
      </c>
      <c r="W110" s="193">
        <f t="shared" si="53"/>
        <v>6.9892929263227238E-2</v>
      </c>
      <c r="X110" s="193">
        <f t="shared" si="53"/>
        <v>5.5889058323603566E-2</v>
      </c>
      <c r="Y110" s="193">
        <f t="shared" si="53"/>
        <v>4.4691027736657951E-2</v>
      </c>
      <c r="Z110" s="193">
        <f t="shared" si="53"/>
        <v>3.573665436612336E-2</v>
      </c>
      <c r="AA110" s="193">
        <f t="shared" si="53"/>
        <v>2.8576395083351636E-2</v>
      </c>
      <c r="AB110" s="193">
        <f t="shared" si="53"/>
        <v>2.2850778016139953E-2</v>
      </c>
      <c r="AC110" s="193">
        <f t="shared" si="53"/>
        <v>1.8272355712463877E-2</v>
      </c>
      <c r="AD110" s="193">
        <f t="shared" si="53"/>
        <v>1.4611274200247625E-2</v>
      </c>
      <c r="AE110" s="193">
        <f t="shared" si="53"/>
        <v>1.1683733455845393E-2</v>
      </c>
      <c r="AF110" s="193">
        <f t="shared" si="53"/>
        <v>9.3427599534698629E-3</v>
      </c>
      <c r="AG110" s="193">
        <f t="shared" si="53"/>
        <v>7.4708280429395006E-3</v>
      </c>
      <c r="AH110" s="193">
        <f t="shared" si="53"/>
        <v>5.9739597212323135E-3</v>
      </c>
      <c r="AI110" s="212">
        <f t="shared" si="53"/>
        <v>4.777006584247929E-3</v>
      </c>
    </row>
    <row r="111" spans="1:37" outlineLevel="1">
      <c r="A111" s="213" t="s">
        <v>125</v>
      </c>
      <c r="B111" s="194">
        <v>6.2499999999999958E-2</v>
      </c>
      <c r="C111">
        <v>1</v>
      </c>
      <c r="D111" t="s">
        <v>120</v>
      </c>
      <c r="F111" s="177">
        <v>2</v>
      </c>
      <c r="G111" s="55" t="s">
        <v>126</v>
      </c>
      <c r="H111" s="194">
        <f>Compute_Power_ASIC_GFLOPS_def</f>
        <v>1</v>
      </c>
      <c r="I111" s="194">
        <f t="shared" ref="I111:AI111" si="54">H111*2^(-1/Exp_ASIC_Performance)</f>
        <v>0.70710678118654746</v>
      </c>
      <c r="J111" s="194">
        <f t="shared" si="54"/>
        <v>0.49999999999999989</v>
      </c>
      <c r="K111" s="194">
        <f t="shared" si="54"/>
        <v>0.35355339059327368</v>
      </c>
      <c r="L111" s="194">
        <f t="shared" si="54"/>
        <v>0.24999999999999992</v>
      </c>
      <c r="M111" s="194">
        <f t="shared" si="54"/>
        <v>0.17677669529663681</v>
      </c>
      <c r="N111" s="194">
        <f t="shared" si="54"/>
        <v>0.12499999999999994</v>
      </c>
      <c r="O111" s="194">
        <f t="shared" si="54"/>
        <v>8.8388347648318391E-2</v>
      </c>
      <c r="P111" s="194">
        <f t="shared" si="54"/>
        <v>6.2499999999999958E-2</v>
      </c>
      <c r="Q111" s="194">
        <f t="shared" si="54"/>
        <v>4.4194173824159189E-2</v>
      </c>
      <c r="R111" s="194">
        <f t="shared" si="54"/>
        <v>3.1249999999999976E-2</v>
      </c>
      <c r="S111" s="194">
        <f t="shared" si="54"/>
        <v>2.2097086912079591E-2</v>
      </c>
      <c r="T111" s="194">
        <f t="shared" si="54"/>
        <v>1.5624999999999984E-2</v>
      </c>
      <c r="U111" s="194">
        <f t="shared" si="54"/>
        <v>1.1048543456039794E-2</v>
      </c>
      <c r="V111" s="194">
        <f t="shared" si="54"/>
        <v>7.8124999999999913E-3</v>
      </c>
      <c r="W111" s="194">
        <f t="shared" si="54"/>
        <v>5.524271728019896E-3</v>
      </c>
      <c r="X111" s="194">
        <f t="shared" si="54"/>
        <v>3.9062499999999952E-3</v>
      </c>
      <c r="Y111" s="194">
        <f t="shared" si="54"/>
        <v>2.7621358640099476E-3</v>
      </c>
      <c r="Z111" s="194">
        <f t="shared" si="54"/>
        <v>1.9531249999999972E-3</v>
      </c>
      <c r="AA111" s="194">
        <f t="shared" si="54"/>
        <v>1.3810679320049736E-3</v>
      </c>
      <c r="AB111" s="194">
        <f t="shared" si="54"/>
        <v>9.7656249999999848E-4</v>
      </c>
      <c r="AC111" s="194">
        <f t="shared" si="54"/>
        <v>6.9053396600248667E-4</v>
      </c>
      <c r="AD111" s="194">
        <f t="shared" si="54"/>
        <v>4.8828124999999913E-4</v>
      </c>
      <c r="AE111" s="194">
        <f t="shared" si="54"/>
        <v>3.4526698300124328E-4</v>
      </c>
      <c r="AF111" s="194">
        <f t="shared" si="54"/>
        <v>2.4414062499999954E-4</v>
      </c>
      <c r="AG111" s="194">
        <f t="shared" si="54"/>
        <v>1.7263349150062161E-4</v>
      </c>
      <c r="AH111" s="194">
        <f t="shared" si="54"/>
        <v>1.2207031249999974E-4</v>
      </c>
      <c r="AI111" s="214">
        <f t="shared" si="54"/>
        <v>8.6316745750310793E-5</v>
      </c>
      <c r="AJ111" t="s">
        <v>127</v>
      </c>
    </row>
    <row r="112" spans="1:37" s="6" customFormat="1" outlineLevel="1">
      <c r="A112" s="211" t="s">
        <v>128</v>
      </c>
      <c r="B112" s="193">
        <v>6.299605249474366E-2</v>
      </c>
      <c r="C112" s="6">
        <v>0.1</v>
      </c>
      <c r="D112" s="6" t="s">
        <v>120</v>
      </c>
      <c r="E112" s="6" t="s">
        <v>129</v>
      </c>
      <c r="F112" s="58">
        <v>1.5</v>
      </c>
      <c r="G112" s="55" t="s">
        <v>130</v>
      </c>
      <c r="H112" s="56"/>
      <c r="I112" s="56"/>
      <c r="J112" s="56"/>
      <c r="K112" s="56"/>
      <c r="L112" s="56"/>
      <c r="M112" s="56"/>
      <c r="N112" s="56"/>
      <c r="O112" s="193">
        <f>Compute_Power_Q_GFLOPS_def</f>
        <v>0.1</v>
      </c>
      <c r="P112" s="193">
        <f t="shared" ref="P112:AI112" si="55">O112*2^(-1/Exp_Q_Performance)</f>
        <v>6.299605249474366E-2</v>
      </c>
      <c r="Q112" s="193">
        <f t="shared" si="55"/>
        <v>3.9685026299204985E-2</v>
      </c>
      <c r="R112" s="193">
        <f t="shared" si="55"/>
        <v>2.4999999999999998E-2</v>
      </c>
      <c r="S112" s="193">
        <f t="shared" si="55"/>
        <v>1.5749013123685915E-2</v>
      </c>
      <c r="T112" s="193">
        <f t="shared" si="55"/>
        <v>9.9212565748012464E-3</v>
      </c>
      <c r="U112" s="193">
        <f t="shared" si="55"/>
        <v>6.2499999999999995E-3</v>
      </c>
      <c r="V112" s="193">
        <f t="shared" si="55"/>
        <v>3.9372532809214787E-3</v>
      </c>
      <c r="W112" s="193">
        <f t="shared" si="55"/>
        <v>2.4803141437003116E-3</v>
      </c>
      <c r="X112" s="193">
        <f t="shared" si="55"/>
        <v>1.5624999999999999E-3</v>
      </c>
      <c r="Y112" s="193">
        <f t="shared" si="55"/>
        <v>9.8431332023036968E-4</v>
      </c>
      <c r="Z112" s="193">
        <f t="shared" si="55"/>
        <v>6.200785359250779E-4</v>
      </c>
      <c r="AA112" s="193">
        <f t="shared" si="55"/>
        <v>3.9062499999999997E-4</v>
      </c>
      <c r="AB112" s="193">
        <f t="shared" si="55"/>
        <v>2.4607833005759242E-4</v>
      </c>
      <c r="AC112" s="193">
        <f t="shared" si="55"/>
        <v>1.5501963398126947E-4</v>
      </c>
      <c r="AD112" s="193">
        <f t="shared" si="55"/>
        <v>9.7656249999999992E-5</v>
      </c>
      <c r="AE112" s="193">
        <f t="shared" si="55"/>
        <v>6.1519582514398105E-5</v>
      </c>
      <c r="AF112" s="193">
        <f t="shared" si="55"/>
        <v>3.8754908495317369E-5</v>
      </c>
      <c r="AG112" s="193">
        <f t="shared" si="55"/>
        <v>2.4414062499999998E-5</v>
      </c>
      <c r="AH112" s="193">
        <f t="shared" si="55"/>
        <v>1.5379895628599526E-5</v>
      </c>
      <c r="AI112" s="212">
        <f t="shared" si="55"/>
        <v>9.6887271238293421E-6</v>
      </c>
    </row>
    <row r="113" spans="1:36" ht="18" customHeight="1">
      <c r="A113" s="210" t="s">
        <v>131</v>
      </c>
      <c r="B113" s="194"/>
      <c r="F113" s="177"/>
      <c r="H113" s="47"/>
      <c r="I113" s="47"/>
      <c r="J113" s="47"/>
      <c r="K113" s="47"/>
      <c r="L113" s="47"/>
      <c r="M113" s="47"/>
      <c r="N113" s="47"/>
      <c r="O113" s="194"/>
      <c r="P113" s="194"/>
      <c r="Q113" s="194"/>
      <c r="R113" s="194"/>
      <c r="S113" s="194"/>
      <c r="T113" s="194"/>
      <c r="U113" s="194"/>
      <c r="V113" s="194"/>
      <c r="W113" s="194"/>
      <c r="X113" s="194"/>
      <c r="Y113" s="194"/>
      <c r="Z113" s="194"/>
      <c r="AA113" s="194"/>
      <c r="AB113" s="194"/>
      <c r="AC113" s="194"/>
      <c r="AD113" s="194"/>
      <c r="AE113" s="194"/>
      <c r="AF113" s="194"/>
      <c r="AG113" s="194"/>
      <c r="AH113" s="194"/>
      <c r="AI113" s="214"/>
    </row>
    <row r="114" spans="1:36" s="59" customFormat="1" outlineLevel="1">
      <c r="A114" s="215" t="s">
        <v>132</v>
      </c>
      <c r="B114" s="59">
        <v>0.93749999999999933</v>
      </c>
      <c r="C114" s="59">
        <v>15</v>
      </c>
      <c r="D114" s="59" t="s">
        <v>133</v>
      </c>
      <c r="F114" s="58">
        <v>2</v>
      </c>
      <c r="G114" s="196" t="s">
        <v>121</v>
      </c>
      <c r="H114" s="59">
        <f>Compute_Cost_CPU_GFLOPS_def</f>
        <v>15</v>
      </c>
      <c r="I114" s="59">
        <f t="shared" ref="I114:AI114" si="56">H114*2^(-1/Exp_CPU_Cost)</f>
        <v>10.606601717798211</v>
      </c>
      <c r="J114" s="59">
        <f t="shared" si="56"/>
        <v>7.4999999999999982</v>
      </c>
      <c r="K114" s="59">
        <f t="shared" si="56"/>
        <v>5.3033008588991049</v>
      </c>
      <c r="L114" s="59">
        <f t="shared" si="56"/>
        <v>3.7499999999999987</v>
      </c>
      <c r="M114" s="59">
        <f t="shared" si="56"/>
        <v>2.651650429449552</v>
      </c>
      <c r="N114" s="59">
        <f t="shared" si="56"/>
        <v>1.8749999999999989</v>
      </c>
      <c r="O114" s="59">
        <f t="shared" si="56"/>
        <v>1.3258252147247758</v>
      </c>
      <c r="P114" s="59">
        <f t="shared" si="56"/>
        <v>0.93749999999999933</v>
      </c>
      <c r="Q114" s="59">
        <f t="shared" si="56"/>
        <v>0.66291260736238777</v>
      </c>
      <c r="R114" s="59">
        <f t="shared" si="56"/>
        <v>0.46874999999999956</v>
      </c>
      <c r="S114" s="59">
        <f t="shared" si="56"/>
        <v>0.33145630368119383</v>
      </c>
      <c r="T114" s="59">
        <f t="shared" si="56"/>
        <v>0.23437499999999975</v>
      </c>
      <c r="U114" s="59">
        <f t="shared" si="56"/>
        <v>0.16572815184059689</v>
      </c>
      <c r="V114" s="59">
        <f t="shared" si="56"/>
        <v>0.11718749999999986</v>
      </c>
      <c r="W114" s="59">
        <f t="shared" si="56"/>
        <v>8.286407592029843E-2</v>
      </c>
      <c r="X114" s="59">
        <f t="shared" si="56"/>
        <v>5.8593749999999917E-2</v>
      </c>
      <c r="Y114" s="59">
        <f t="shared" si="56"/>
        <v>4.1432037960149208E-2</v>
      </c>
      <c r="Z114" s="59">
        <f t="shared" si="56"/>
        <v>2.9296874999999955E-2</v>
      </c>
      <c r="AA114" s="59">
        <f t="shared" si="56"/>
        <v>2.0716018980074601E-2</v>
      </c>
      <c r="AB114" s="59">
        <f t="shared" si="56"/>
        <v>1.4648437499999974E-2</v>
      </c>
      <c r="AC114" s="59">
        <f t="shared" si="56"/>
        <v>1.0358009490037299E-2</v>
      </c>
      <c r="AD114" s="59">
        <f t="shared" si="56"/>
        <v>7.3242187499999861E-3</v>
      </c>
      <c r="AE114" s="59">
        <f t="shared" si="56"/>
        <v>5.1790047450186484E-3</v>
      </c>
      <c r="AF114" s="59">
        <f t="shared" si="56"/>
        <v>3.6621093749999926E-3</v>
      </c>
      <c r="AG114" s="59">
        <f t="shared" si="56"/>
        <v>2.5895023725093238E-3</v>
      </c>
      <c r="AH114" s="59">
        <f t="shared" si="56"/>
        <v>1.8310546874999959E-3</v>
      </c>
      <c r="AI114" s="216">
        <f t="shared" si="56"/>
        <v>1.2947511862546617E-3</v>
      </c>
    </row>
    <row r="115" spans="1:36" s="60" customFormat="1" outlineLevel="1">
      <c r="A115" s="217" t="s">
        <v>134</v>
      </c>
      <c r="B115" s="60">
        <v>1.2727511769638475</v>
      </c>
      <c r="C115" s="60">
        <v>10</v>
      </c>
      <c r="D115" s="60" t="s">
        <v>133</v>
      </c>
      <c r="F115" s="177">
        <v>2.69</v>
      </c>
      <c r="G115" s="196" t="s">
        <v>86</v>
      </c>
      <c r="H115" s="60">
        <f>Compute_Cost_GPU_GFLOPS_def</f>
        <v>10</v>
      </c>
      <c r="I115" s="60">
        <f t="shared" ref="I115:AI115" si="57">H115*2^(-1/Exp_GPU_Cost)</f>
        <v>7.7284595535972498</v>
      </c>
      <c r="J115" s="60">
        <f t="shared" si="57"/>
        <v>5.9729087071588607</v>
      </c>
      <c r="K115" s="60">
        <f t="shared" si="57"/>
        <v>4.6161383360606099</v>
      </c>
      <c r="L115" s="60">
        <f t="shared" si="57"/>
        <v>3.5675638424054132</v>
      </c>
      <c r="M115" s="60">
        <f t="shared" si="57"/>
        <v>2.7571772860906232</v>
      </c>
      <c r="N115" s="60">
        <f t="shared" si="57"/>
        <v>2.1308733137648415</v>
      </c>
      <c r="O115" s="60">
        <f t="shared" si="57"/>
        <v>1.6468368219271319</v>
      </c>
      <c r="P115" s="60">
        <f t="shared" si="57"/>
        <v>1.2727511769638475</v>
      </c>
      <c r="Q115" s="60">
        <f t="shared" si="57"/>
        <v>0.98364059929583914</v>
      </c>
      <c r="R115" s="60">
        <f t="shared" si="57"/>
        <v>0.7602026586934052</v>
      </c>
      <c r="S115" s="60">
        <f t="shared" si="57"/>
        <v>0.58751955002490774</v>
      </c>
      <c r="T115" s="60">
        <f t="shared" si="57"/>
        <v>0.45406210793151558</v>
      </c>
      <c r="U115" s="60">
        <f t="shared" si="57"/>
        <v>0.35092006359698275</v>
      </c>
      <c r="V115" s="60">
        <f t="shared" si="57"/>
        <v>0.27120715180550559</v>
      </c>
      <c r="W115" s="60">
        <f t="shared" si="57"/>
        <v>0.20960135033751592</v>
      </c>
      <c r="X115" s="60">
        <f t="shared" si="57"/>
        <v>0.16198955584628591</v>
      </c>
      <c r="Y115" s="60">
        <f t="shared" si="57"/>
        <v>0.12519297304632035</v>
      </c>
      <c r="Z115" s="60">
        <f t="shared" si="57"/>
        <v>9.6754882858307759E-2</v>
      </c>
      <c r="AA115" s="60">
        <f t="shared" si="57"/>
        <v>7.4776619878347134E-2</v>
      </c>
      <c r="AB115" s="60">
        <f t="shared" si="57"/>
        <v>5.7790808228452194E-2</v>
      </c>
      <c r="AC115" s="60">
        <f t="shared" si="57"/>
        <v>4.4663392396328792E-2</v>
      </c>
      <c r="AD115" s="60">
        <f t="shared" si="57"/>
        <v>3.4517922166147005E-2</v>
      </c>
      <c r="AE115" s="60">
        <f t="shared" si="57"/>
        <v>2.6677036533528511E-2</v>
      </c>
      <c r="AF115" s="60">
        <f t="shared" si="57"/>
        <v>2.0617239785921129E-2</v>
      </c>
      <c r="AG115" s="60">
        <f t="shared" si="57"/>
        <v>1.5933950379230746E-2</v>
      </c>
      <c r="AH115" s="60">
        <f t="shared" si="57"/>
        <v>1.2314489103491038E-2</v>
      </c>
      <c r="AI115" s="218">
        <f t="shared" si="57"/>
        <v>9.5172030959544546E-3</v>
      </c>
      <c r="AJ115" s="60" t="s">
        <v>135</v>
      </c>
    </row>
    <row r="116" spans="1:36" s="59" customFormat="1" outlineLevel="1">
      <c r="A116" s="215" t="s">
        <v>136</v>
      </c>
      <c r="B116" s="59">
        <v>1.1701632061077152</v>
      </c>
      <c r="C116" s="59">
        <v>7</v>
      </c>
      <c r="D116" s="59" t="s">
        <v>133</v>
      </c>
      <c r="F116" s="58">
        <v>3.1</v>
      </c>
      <c r="G116" s="196" t="s">
        <v>124</v>
      </c>
      <c r="H116" s="59">
        <f>Compute_Cost_FPGA_GFLOPS_def</f>
        <v>7</v>
      </c>
      <c r="I116" s="59">
        <f t="shared" ref="I116:AI116" si="58">H116*2^(-1/Exp_FPGA_Cost)</f>
        <v>5.597467617816088</v>
      </c>
      <c r="J116" s="59">
        <f t="shared" si="58"/>
        <v>4.4759491046428161</v>
      </c>
      <c r="K116" s="59">
        <f t="shared" si="58"/>
        <v>3.5791400246044396</v>
      </c>
      <c r="L116" s="59">
        <f t="shared" si="58"/>
        <v>2.8620171981932612</v>
      </c>
      <c r="M116" s="59">
        <f t="shared" si="58"/>
        <v>2.2885783697885014</v>
      </c>
      <c r="N116" s="59">
        <f t="shared" si="58"/>
        <v>1.8300347593893529</v>
      </c>
      <c r="O116" s="59">
        <f t="shared" si="58"/>
        <v>1.4633657578799657</v>
      </c>
      <c r="P116" s="59">
        <f t="shared" si="58"/>
        <v>1.1701632061077152</v>
      </c>
      <c r="Q116" s="59">
        <f t="shared" si="58"/>
        <v>0.9357072362496841</v>
      </c>
      <c r="R116" s="59">
        <f t="shared" si="58"/>
        <v>0.74822727923768506</v>
      </c>
      <c r="S116" s="59">
        <f t="shared" si="58"/>
        <v>0.5983111380427969</v>
      </c>
      <c r="T116" s="59">
        <f t="shared" si="58"/>
        <v>0.47843246008189244</v>
      </c>
      <c r="U116" s="59">
        <f t="shared" si="58"/>
        <v>0.38257288608864021</v>
      </c>
      <c r="V116" s="59">
        <f t="shared" si="58"/>
        <v>0.30591990590508666</v>
      </c>
      <c r="W116" s="59">
        <f t="shared" si="58"/>
        <v>0.24462525242129535</v>
      </c>
      <c r="X116" s="59">
        <f t="shared" si="58"/>
        <v>0.19561170413261247</v>
      </c>
      <c r="Y116" s="59">
        <f t="shared" si="58"/>
        <v>0.15641859707830283</v>
      </c>
      <c r="Z116" s="59">
        <f t="shared" si="58"/>
        <v>0.12507829028143175</v>
      </c>
      <c r="AA116" s="59">
        <f t="shared" si="58"/>
        <v>0.10001738279173071</v>
      </c>
      <c r="AB116" s="59">
        <f t="shared" si="58"/>
        <v>7.9977723056489813E-2</v>
      </c>
      <c r="AC116" s="59">
        <f t="shared" si="58"/>
        <v>6.3953244993623551E-2</v>
      </c>
      <c r="AD116" s="59">
        <f t="shared" si="58"/>
        <v>5.1139459700866668E-2</v>
      </c>
      <c r="AE116" s="59">
        <f t="shared" si="58"/>
        <v>4.0893067095458854E-2</v>
      </c>
      <c r="AF116" s="59">
        <f t="shared" si="58"/>
        <v>3.2699659837144505E-2</v>
      </c>
      <c r="AG116" s="59">
        <f t="shared" si="58"/>
        <v>2.6147898150288239E-2</v>
      </c>
      <c r="AH116" s="59">
        <f t="shared" si="58"/>
        <v>2.0908859024313088E-2</v>
      </c>
      <c r="AI116" s="216">
        <f t="shared" si="58"/>
        <v>1.6719523044867745E-2</v>
      </c>
    </row>
    <row r="117" spans="1:36" s="60" customFormat="1" outlineLevel="1">
      <c r="A117" s="217" t="s">
        <v>137</v>
      </c>
      <c r="B117" s="60">
        <v>0.31249999999999978</v>
      </c>
      <c r="C117" s="60">
        <v>5</v>
      </c>
      <c r="D117" s="60" t="s">
        <v>133</v>
      </c>
      <c r="F117" s="177">
        <v>2</v>
      </c>
      <c r="G117" s="196" t="s">
        <v>126</v>
      </c>
      <c r="H117" s="60">
        <f>Compute_Cost_ASIC_GFLOPS_def</f>
        <v>5</v>
      </c>
      <c r="I117" s="60">
        <f t="shared" ref="I117:AI117" si="59">H117*2^(-1/Exp_ASIC_Cost)</f>
        <v>3.5355339059327373</v>
      </c>
      <c r="J117" s="60">
        <f t="shared" si="59"/>
        <v>2.4999999999999996</v>
      </c>
      <c r="K117" s="60">
        <f t="shared" si="59"/>
        <v>1.7677669529663684</v>
      </c>
      <c r="L117" s="60">
        <f t="shared" si="59"/>
        <v>1.2499999999999996</v>
      </c>
      <c r="M117" s="60">
        <f t="shared" si="59"/>
        <v>0.88388347648318399</v>
      </c>
      <c r="N117" s="60">
        <f t="shared" si="59"/>
        <v>0.62499999999999967</v>
      </c>
      <c r="O117" s="60">
        <f t="shared" si="59"/>
        <v>0.44194173824159194</v>
      </c>
      <c r="P117" s="60">
        <f t="shared" si="59"/>
        <v>0.31249999999999978</v>
      </c>
      <c r="Q117" s="60">
        <f t="shared" si="59"/>
        <v>0.22097086912079592</v>
      </c>
      <c r="R117" s="60">
        <f t="shared" si="59"/>
        <v>0.15624999999999986</v>
      </c>
      <c r="S117" s="60">
        <f t="shared" si="59"/>
        <v>0.11048543456039794</v>
      </c>
      <c r="T117" s="60">
        <f t="shared" si="59"/>
        <v>7.8124999999999917E-2</v>
      </c>
      <c r="U117" s="60">
        <f t="shared" si="59"/>
        <v>5.5242717280198965E-2</v>
      </c>
      <c r="V117" s="60">
        <f t="shared" si="59"/>
        <v>3.9062499999999951E-2</v>
      </c>
      <c r="W117" s="60">
        <f t="shared" si="59"/>
        <v>2.7621358640099476E-2</v>
      </c>
      <c r="X117" s="60">
        <f t="shared" si="59"/>
        <v>1.9531249999999972E-2</v>
      </c>
      <c r="Y117" s="60">
        <f t="shared" si="59"/>
        <v>1.3810679320049736E-2</v>
      </c>
      <c r="Z117" s="60">
        <f t="shared" si="59"/>
        <v>9.7656249999999844E-3</v>
      </c>
      <c r="AA117" s="60">
        <f t="shared" si="59"/>
        <v>6.9053396600248663E-3</v>
      </c>
      <c r="AB117" s="60">
        <f t="shared" si="59"/>
        <v>4.8828124999999913E-3</v>
      </c>
      <c r="AC117" s="60">
        <f t="shared" si="59"/>
        <v>3.4526698300124327E-3</v>
      </c>
      <c r="AD117" s="60">
        <f t="shared" si="59"/>
        <v>2.4414062499999952E-3</v>
      </c>
      <c r="AE117" s="60">
        <f t="shared" si="59"/>
        <v>1.7263349150062159E-3</v>
      </c>
      <c r="AF117" s="60">
        <f t="shared" si="59"/>
        <v>1.2207031249999974E-3</v>
      </c>
      <c r="AG117" s="60">
        <f t="shared" si="59"/>
        <v>8.6316745750310785E-4</v>
      </c>
      <c r="AH117" s="60">
        <f t="shared" si="59"/>
        <v>6.1035156249999859E-4</v>
      </c>
      <c r="AI117" s="218">
        <f t="shared" si="59"/>
        <v>4.3158372875155387E-4</v>
      </c>
    </row>
    <row r="118" spans="1:36" s="59" customFormat="1" outlineLevel="1">
      <c r="A118" s="215" t="s">
        <v>138</v>
      </c>
      <c r="B118" s="59">
        <v>6.299605249474366E-2</v>
      </c>
      <c r="C118" s="59">
        <v>0.1</v>
      </c>
      <c r="D118" s="59" t="s">
        <v>133</v>
      </c>
      <c r="F118" s="58">
        <v>1.5</v>
      </c>
      <c r="G118" s="196" t="s">
        <v>130</v>
      </c>
      <c r="O118" s="59">
        <f>Compute_Cost_Q_GFLOPS_def</f>
        <v>0.1</v>
      </c>
      <c r="P118" s="59">
        <f t="shared" ref="P118:AI118" si="60">O118*2^(-1/Exp_Q_Cost)</f>
        <v>6.299605249474366E-2</v>
      </c>
      <c r="Q118" s="59">
        <f t="shared" si="60"/>
        <v>3.9685026299204985E-2</v>
      </c>
      <c r="R118" s="59">
        <f t="shared" si="60"/>
        <v>2.4999999999999998E-2</v>
      </c>
      <c r="S118" s="59">
        <f t="shared" si="60"/>
        <v>1.5749013123685915E-2</v>
      </c>
      <c r="T118" s="59">
        <f t="shared" si="60"/>
        <v>9.9212565748012464E-3</v>
      </c>
      <c r="U118" s="59">
        <f t="shared" si="60"/>
        <v>6.2499999999999995E-3</v>
      </c>
      <c r="V118" s="59">
        <f t="shared" si="60"/>
        <v>3.9372532809214787E-3</v>
      </c>
      <c r="W118" s="59">
        <f t="shared" si="60"/>
        <v>2.4803141437003116E-3</v>
      </c>
      <c r="X118" s="59">
        <f t="shared" si="60"/>
        <v>1.5624999999999999E-3</v>
      </c>
      <c r="Y118" s="59">
        <f t="shared" si="60"/>
        <v>9.8431332023036968E-4</v>
      </c>
      <c r="Z118" s="59">
        <f t="shared" si="60"/>
        <v>6.200785359250779E-4</v>
      </c>
      <c r="AA118" s="59">
        <f t="shared" si="60"/>
        <v>3.9062499999999997E-4</v>
      </c>
      <c r="AB118" s="59">
        <f t="shared" si="60"/>
        <v>2.4607833005759242E-4</v>
      </c>
      <c r="AC118" s="59">
        <f t="shared" si="60"/>
        <v>1.5501963398126947E-4</v>
      </c>
      <c r="AD118" s="59">
        <f t="shared" si="60"/>
        <v>9.7656249999999992E-5</v>
      </c>
      <c r="AE118" s="59">
        <f t="shared" si="60"/>
        <v>6.1519582514398105E-5</v>
      </c>
      <c r="AF118" s="59">
        <f t="shared" si="60"/>
        <v>3.8754908495317369E-5</v>
      </c>
      <c r="AG118" s="59">
        <f t="shared" si="60"/>
        <v>2.4414062499999998E-5</v>
      </c>
      <c r="AH118" s="59">
        <f t="shared" si="60"/>
        <v>1.5379895628599526E-5</v>
      </c>
      <c r="AI118" s="216">
        <f t="shared" si="60"/>
        <v>9.6887271238293421E-6</v>
      </c>
    </row>
    <row r="119" spans="1:36" ht="18" customHeight="1">
      <c r="A119" s="210" t="s">
        <v>139</v>
      </c>
      <c r="B119" s="194"/>
      <c r="F119" s="177"/>
      <c r="H119" s="194"/>
      <c r="I119" s="194"/>
      <c r="J119" s="194"/>
      <c r="K119" s="194"/>
      <c r="L119" s="194"/>
      <c r="M119" s="194"/>
      <c r="N119" s="194"/>
      <c r="O119" s="194"/>
      <c r="P119" s="194"/>
      <c r="Q119" s="194"/>
      <c r="R119" s="194"/>
      <c r="S119" s="194"/>
      <c r="T119" s="194"/>
      <c r="U119" s="194"/>
      <c r="V119" s="194"/>
      <c r="W119" s="194"/>
      <c r="X119" s="194"/>
      <c r="Y119" s="194"/>
      <c r="Z119" s="194"/>
      <c r="AA119" s="194"/>
      <c r="AB119" s="194"/>
      <c r="AC119" s="194"/>
      <c r="AD119" s="194"/>
      <c r="AE119" s="194"/>
      <c r="AF119" s="194"/>
      <c r="AG119" s="194"/>
      <c r="AH119" s="194"/>
      <c r="AI119" s="214"/>
    </row>
    <row r="120" spans="1:36" s="59" customFormat="1" outlineLevel="1">
      <c r="A120" s="215" t="s">
        <v>140</v>
      </c>
      <c r="B120" s="59">
        <v>6.2499999999999958E-2</v>
      </c>
      <c r="C120" s="59">
        <v>1</v>
      </c>
      <c r="D120" s="59" t="s">
        <v>141</v>
      </c>
      <c r="F120" s="58">
        <v>2</v>
      </c>
      <c r="G120" s="196" t="s">
        <v>121</v>
      </c>
      <c r="H120" s="59">
        <f>Compute_SpecWeight_CPU_def</f>
        <v>1</v>
      </c>
      <c r="I120" s="59">
        <f t="shared" ref="I120:AI120" si="61">H120*2^(-1/Exp_CPU_Weight)</f>
        <v>0.70710678118654746</v>
      </c>
      <c r="J120" s="59">
        <f t="shared" si="61"/>
        <v>0.49999999999999989</v>
      </c>
      <c r="K120" s="59">
        <f t="shared" si="61"/>
        <v>0.35355339059327368</v>
      </c>
      <c r="L120" s="59">
        <f t="shared" si="61"/>
        <v>0.24999999999999992</v>
      </c>
      <c r="M120" s="59">
        <f t="shared" si="61"/>
        <v>0.17677669529663681</v>
      </c>
      <c r="N120" s="59">
        <f t="shared" si="61"/>
        <v>0.12499999999999994</v>
      </c>
      <c r="O120" s="59">
        <f t="shared" si="61"/>
        <v>8.8388347648318391E-2</v>
      </c>
      <c r="P120" s="59">
        <f t="shared" si="61"/>
        <v>6.2499999999999958E-2</v>
      </c>
      <c r="Q120" s="59">
        <f t="shared" si="61"/>
        <v>4.4194173824159189E-2</v>
      </c>
      <c r="R120" s="59">
        <f t="shared" si="61"/>
        <v>3.1249999999999976E-2</v>
      </c>
      <c r="S120" s="59">
        <f t="shared" si="61"/>
        <v>2.2097086912079591E-2</v>
      </c>
      <c r="T120" s="59">
        <f t="shared" si="61"/>
        <v>1.5624999999999984E-2</v>
      </c>
      <c r="U120" s="59">
        <f t="shared" si="61"/>
        <v>1.1048543456039794E-2</v>
      </c>
      <c r="V120" s="59">
        <f t="shared" si="61"/>
        <v>7.8124999999999913E-3</v>
      </c>
      <c r="W120" s="59">
        <f t="shared" si="61"/>
        <v>5.524271728019896E-3</v>
      </c>
      <c r="X120" s="59">
        <f t="shared" si="61"/>
        <v>3.9062499999999952E-3</v>
      </c>
      <c r="Y120" s="59">
        <f t="shared" si="61"/>
        <v>2.7621358640099476E-3</v>
      </c>
      <c r="Z120" s="59">
        <f t="shared" si="61"/>
        <v>1.9531249999999972E-3</v>
      </c>
      <c r="AA120" s="59">
        <f t="shared" si="61"/>
        <v>1.3810679320049736E-3</v>
      </c>
      <c r="AB120" s="59">
        <f t="shared" si="61"/>
        <v>9.7656249999999848E-4</v>
      </c>
      <c r="AC120" s="59">
        <f t="shared" si="61"/>
        <v>6.9053396600248667E-4</v>
      </c>
      <c r="AD120" s="59">
        <f t="shared" si="61"/>
        <v>4.8828124999999913E-4</v>
      </c>
      <c r="AE120" s="59">
        <f t="shared" si="61"/>
        <v>3.4526698300124328E-4</v>
      </c>
      <c r="AF120" s="59">
        <f t="shared" si="61"/>
        <v>2.4414062499999954E-4</v>
      </c>
      <c r="AG120" s="59">
        <f t="shared" si="61"/>
        <v>1.7263349150062161E-4</v>
      </c>
      <c r="AH120" s="59">
        <f t="shared" si="61"/>
        <v>1.2207031249999974E-4</v>
      </c>
      <c r="AI120" s="216">
        <f t="shared" si="61"/>
        <v>8.6316745750310793E-5</v>
      </c>
    </row>
    <row r="121" spans="1:36" s="60" customFormat="1" outlineLevel="1">
      <c r="A121" s="217" t="s">
        <v>142</v>
      </c>
      <c r="B121" s="60">
        <v>7.6365070617830849E-2</v>
      </c>
      <c r="C121" s="60">
        <v>0.6</v>
      </c>
      <c r="D121" s="60" t="s">
        <v>141</v>
      </c>
      <c r="F121" s="177">
        <v>2.69</v>
      </c>
      <c r="G121" s="196" t="s">
        <v>86</v>
      </c>
      <c r="H121" s="60">
        <f>Compute_SpecWeight_GPU_def</f>
        <v>0.6</v>
      </c>
      <c r="I121" s="60">
        <f t="shared" ref="I121:AI121" si="62">H121*2^(-1/Exp_GPU_Weight)</f>
        <v>0.463707573215835</v>
      </c>
      <c r="J121" s="60">
        <f t="shared" si="62"/>
        <v>0.35837452242953161</v>
      </c>
      <c r="K121" s="60">
        <f t="shared" si="62"/>
        <v>0.27696830016363655</v>
      </c>
      <c r="L121" s="60">
        <f t="shared" si="62"/>
        <v>0.21405383054432478</v>
      </c>
      <c r="M121" s="60">
        <f t="shared" si="62"/>
        <v>0.16543063716543738</v>
      </c>
      <c r="N121" s="60">
        <f t="shared" si="62"/>
        <v>0.12785239882589047</v>
      </c>
      <c r="O121" s="60">
        <f t="shared" si="62"/>
        <v>9.8810209315627909E-2</v>
      </c>
      <c r="P121" s="60">
        <f t="shared" si="62"/>
        <v>7.6365070617830849E-2</v>
      </c>
      <c r="Q121" s="60">
        <f t="shared" si="62"/>
        <v>5.9018435957750345E-2</v>
      </c>
      <c r="R121" s="60">
        <f t="shared" si="62"/>
        <v>4.5612159521604315E-2</v>
      </c>
      <c r="S121" s="60">
        <f t="shared" si="62"/>
        <v>3.5251173001494461E-2</v>
      </c>
      <c r="T121" s="60">
        <f t="shared" si="62"/>
        <v>2.724372647589093E-2</v>
      </c>
      <c r="U121" s="60">
        <f t="shared" si="62"/>
        <v>2.1055203815818959E-2</v>
      </c>
      <c r="V121" s="60">
        <f t="shared" si="62"/>
        <v>1.6272429108330332E-2</v>
      </c>
      <c r="W121" s="60">
        <f t="shared" si="62"/>
        <v>1.2576081020250953E-2</v>
      </c>
      <c r="X121" s="60">
        <f t="shared" si="62"/>
        <v>9.7193733507771538E-3</v>
      </c>
      <c r="Y121" s="60">
        <f t="shared" si="62"/>
        <v>7.5115783827792212E-3</v>
      </c>
      <c r="Z121" s="60">
        <f t="shared" si="62"/>
        <v>5.8052929714984651E-3</v>
      </c>
      <c r="AA121" s="60">
        <f t="shared" si="62"/>
        <v>4.4865971927008277E-3</v>
      </c>
      <c r="AB121" s="60">
        <f t="shared" si="62"/>
        <v>3.4674484937071313E-3</v>
      </c>
      <c r="AC121" s="60">
        <f t="shared" si="62"/>
        <v>2.6798035437797271E-3</v>
      </c>
      <c r="AD121" s="60">
        <f t="shared" si="62"/>
        <v>2.07107532996882E-3</v>
      </c>
      <c r="AE121" s="60">
        <f t="shared" si="62"/>
        <v>1.6006221920117105E-3</v>
      </c>
      <c r="AF121" s="60">
        <f t="shared" si="62"/>
        <v>1.2370343871552676E-3</v>
      </c>
      <c r="AG121" s="60">
        <f t="shared" si="62"/>
        <v>9.5603702275384478E-4</v>
      </c>
      <c r="AH121" s="60">
        <f t="shared" si="62"/>
        <v>7.3886934620946232E-4</v>
      </c>
      <c r="AI121" s="218">
        <f t="shared" si="62"/>
        <v>5.7103218575726728E-4</v>
      </c>
    </row>
    <row r="122" spans="1:36" s="59" customFormat="1" outlineLevel="1">
      <c r="A122" s="215" t="s">
        <v>143</v>
      </c>
      <c r="B122" s="59">
        <v>6.6866468920440889E-2</v>
      </c>
      <c r="C122" s="59">
        <v>0.4</v>
      </c>
      <c r="D122" s="59" t="s">
        <v>141</v>
      </c>
      <c r="F122" s="58">
        <v>3.1</v>
      </c>
      <c r="G122" s="196" t="s">
        <v>124</v>
      </c>
      <c r="H122" s="59">
        <f>Compute_SpecWeight_FPGA_def</f>
        <v>0.4</v>
      </c>
      <c r="I122" s="59">
        <f t="shared" ref="I122:AI122" si="63">H122*2^(-1/Exp_FPGA_Weight)</f>
        <v>0.31985529244663363</v>
      </c>
      <c r="J122" s="59">
        <f t="shared" si="63"/>
        <v>0.25576852026530383</v>
      </c>
      <c r="K122" s="59">
        <f t="shared" si="63"/>
        <v>0.20452228712025375</v>
      </c>
      <c r="L122" s="59">
        <f t="shared" si="63"/>
        <v>0.16354383989675783</v>
      </c>
      <c r="M122" s="59">
        <f t="shared" si="63"/>
        <v>0.13077590684505727</v>
      </c>
      <c r="N122" s="59">
        <f t="shared" si="63"/>
        <v>0.10457341482224877</v>
      </c>
      <c r="O122" s="59">
        <f t="shared" si="63"/>
        <v>8.362090045028378E-2</v>
      </c>
      <c r="P122" s="59">
        <f t="shared" si="63"/>
        <v>6.6866468920440889E-2</v>
      </c>
      <c r="Q122" s="59">
        <f t="shared" si="63"/>
        <v>5.3468984928553398E-2</v>
      </c>
      <c r="R122" s="59">
        <f t="shared" si="63"/>
        <v>4.275584452786773E-2</v>
      </c>
      <c r="S122" s="59">
        <f t="shared" si="63"/>
        <v>3.418920788815983E-2</v>
      </c>
      <c r="T122" s="59">
        <f t="shared" si="63"/>
        <v>2.7338997718965287E-2</v>
      </c>
      <c r="U122" s="59">
        <f t="shared" si="63"/>
        <v>2.1861307776493727E-2</v>
      </c>
      <c r="V122" s="59">
        <f t="shared" si="63"/>
        <v>1.7481137480290666E-2</v>
      </c>
      <c r="W122" s="59">
        <f t="shared" si="63"/>
        <v>1.3978585852645447E-2</v>
      </c>
      <c r="X122" s="59">
        <f t="shared" si="63"/>
        <v>1.1177811664720712E-2</v>
      </c>
      <c r="Y122" s="59">
        <f t="shared" si="63"/>
        <v>8.9382055473315892E-3</v>
      </c>
      <c r="Z122" s="59">
        <f t="shared" si="63"/>
        <v>7.1473308732246709E-3</v>
      </c>
      <c r="AA122" s="59">
        <f t="shared" si="63"/>
        <v>5.7152790166703259E-3</v>
      </c>
      <c r="AB122" s="59">
        <f t="shared" si="63"/>
        <v>4.5701556032279895E-3</v>
      </c>
      <c r="AC122" s="59">
        <f t="shared" si="63"/>
        <v>3.6544711424927748E-3</v>
      </c>
      <c r="AD122" s="59">
        <f t="shared" si="63"/>
        <v>2.9222548400495243E-3</v>
      </c>
      <c r="AE122" s="59">
        <f t="shared" si="63"/>
        <v>2.3367466911690779E-3</v>
      </c>
      <c r="AF122" s="59">
        <f t="shared" si="63"/>
        <v>1.8685519906939722E-3</v>
      </c>
      <c r="AG122" s="59">
        <f t="shared" si="63"/>
        <v>1.4941656085878997E-3</v>
      </c>
      <c r="AH122" s="59">
        <f t="shared" si="63"/>
        <v>1.1947919442464624E-3</v>
      </c>
      <c r="AI122" s="216">
        <f t="shared" si="63"/>
        <v>9.5540131684958556E-4</v>
      </c>
    </row>
    <row r="123" spans="1:36" s="60" customFormat="1" ht="17" customHeight="1" outlineLevel="1">
      <c r="A123" s="217" t="s">
        <v>144</v>
      </c>
      <c r="B123" s="60">
        <v>1.2499999999999992E-2</v>
      </c>
      <c r="C123" s="60">
        <v>0.2</v>
      </c>
      <c r="D123" s="60" t="s">
        <v>141</v>
      </c>
      <c r="F123" s="177">
        <v>2</v>
      </c>
      <c r="G123" s="196" t="s">
        <v>126</v>
      </c>
      <c r="H123" s="60">
        <f>Compute_SpecWeight_ASIC_def</f>
        <v>0.2</v>
      </c>
      <c r="I123" s="60">
        <f t="shared" ref="I123:AI123" si="64">H123*2^(-1/Exp_ASIC_Weight)</f>
        <v>0.1414213562373095</v>
      </c>
      <c r="J123" s="60">
        <f t="shared" si="64"/>
        <v>9.9999999999999992E-2</v>
      </c>
      <c r="K123" s="60">
        <f t="shared" si="64"/>
        <v>7.0710678118654738E-2</v>
      </c>
      <c r="L123" s="60">
        <f t="shared" si="64"/>
        <v>4.9999999999999982E-2</v>
      </c>
      <c r="M123" s="60">
        <f t="shared" si="64"/>
        <v>3.5355339059327362E-2</v>
      </c>
      <c r="N123" s="60">
        <f t="shared" si="64"/>
        <v>2.4999999999999988E-2</v>
      </c>
      <c r="O123" s="60">
        <f t="shared" si="64"/>
        <v>1.7677669529663678E-2</v>
      </c>
      <c r="P123" s="60">
        <f t="shared" si="64"/>
        <v>1.2499999999999992E-2</v>
      </c>
      <c r="Q123" s="60">
        <f t="shared" si="64"/>
        <v>8.838834764831837E-3</v>
      </c>
      <c r="R123" s="60">
        <f t="shared" si="64"/>
        <v>6.2499999999999943E-3</v>
      </c>
      <c r="S123" s="60">
        <f t="shared" si="64"/>
        <v>4.4194173824159176E-3</v>
      </c>
      <c r="T123" s="60">
        <f t="shared" si="64"/>
        <v>3.1249999999999967E-3</v>
      </c>
      <c r="U123" s="60">
        <f t="shared" si="64"/>
        <v>2.2097086912079584E-3</v>
      </c>
      <c r="V123" s="60">
        <f t="shared" si="64"/>
        <v>1.5624999999999979E-3</v>
      </c>
      <c r="W123" s="60">
        <f t="shared" si="64"/>
        <v>1.104854345603979E-3</v>
      </c>
      <c r="X123" s="60">
        <f t="shared" si="64"/>
        <v>7.8124999999999885E-4</v>
      </c>
      <c r="Y123" s="60">
        <f t="shared" si="64"/>
        <v>5.5242717280198938E-4</v>
      </c>
      <c r="Z123" s="60">
        <f t="shared" si="64"/>
        <v>3.9062499999999937E-4</v>
      </c>
      <c r="AA123" s="60">
        <f t="shared" si="64"/>
        <v>2.7621358640099464E-4</v>
      </c>
      <c r="AB123" s="60">
        <f t="shared" si="64"/>
        <v>1.9531249999999963E-4</v>
      </c>
      <c r="AC123" s="60">
        <f t="shared" si="64"/>
        <v>1.3810679320049729E-4</v>
      </c>
      <c r="AD123" s="60">
        <f t="shared" si="64"/>
        <v>9.7656249999999802E-5</v>
      </c>
      <c r="AE123" s="60">
        <f t="shared" si="64"/>
        <v>6.9053396600248632E-5</v>
      </c>
      <c r="AF123" s="60">
        <f t="shared" si="64"/>
        <v>4.8828124999999888E-5</v>
      </c>
      <c r="AG123" s="60">
        <f t="shared" si="64"/>
        <v>3.4526698300124309E-5</v>
      </c>
      <c r="AH123" s="60">
        <f t="shared" si="64"/>
        <v>2.441406249999994E-5</v>
      </c>
      <c r="AI123" s="218">
        <f t="shared" si="64"/>
        <v>1.7263349150062151E-5</v>
      </c>
    </row>
    <row r="124" spans="1:36" s="59" customFormat="1" outlineLevel="1">
      <c r="A124" s="215" t="s">
        <v>145</v>
      </c>
      <c r="B124" s="59">
        <v>0.3149802624737183</v>
      </c>
      <c r="C124" s="59">
        <v>0.5</v>
      </c>
      <c r="D124" s="59" t="s">
        <v>141</v>
      </c>
      <c r="F124" s="58">
        <v>1.5</v>
      </c>
      <c r="G124" s="196" t="s">
        <v>130</v>
      </c>
      <c r="H124" s="195"/>
      <c r="O124" s="59">
        <f>Compute_SpecWeight_Q_def</f>
        <v>0.5</v>
      </c>
      <c r="P124" s="59">
        <f t="shared" ref="P124:AI124" si="65">O124*2^(-1/Exp_Q_Weight)</f>
        <v>0.3149802624737183</v>
      </c>
      <c r="Q124" s="59">
        <f t="shared" si="65"/>
        <v>0.19842513149602495</v>
      </c>
      <c r="R124" s="59">
        <f t="shared" si="65"/>
        <v>0.125</v>
      </c>
      <c r="S124" s="59">
        <f t="shared" si="65"/>
        <v>7.8745065618429574E-2</v>
      </c>
      <c r="T124" s="59">
        <f t="shared" si="65"/>
        <v>4.9606282874006237E-2</v>
      </c>
      <c r="U124" s="59">
        <f t="shared" si="65"/>
        <v>3.125E-2</v>
      </c>
      <c r="V124" s="59">
        <f t="shared" si="65"/>
        <v>1.9686266404607394E-2</v>
      </c>
      <c r="W124" s="59">
        <f t="shared" si="65"/>
        <v>1.2401570718501559E-2</v>
      </c>
      <c r="X124" s="59">
        <f t="shared" si="65"/>
        <v>7.8125E-3</v>
      </c>
      <c r="Y124" s="59">
        <f t="shared" si="65"/>
        <v>4.9215666011518484E-3</v>
      </c>
      <c r="Z124" s="59">
        <f t="shared" si="65"/>
        <v>3.1003926796253898E-3</v>
      </c>
      <c r="AA124" s="59">
        <f t="shared" si="65"/>
        <v>1.953125E-3</v>
      </c>
      <c r="AB124" s="59">
        <f t="shared" si="65"/>
        <v>1.2303916502879621E-3</v>
      </c>
      <c r="AC124" s="59">
        <f t="shared" si="65"/>
        <v>7.7509816990634745E-4</v>
      </c>
      <c r="AD124" s="59">
        <f t="shared" si="65"/>
        <v>4.8828125E-4</v>
      </c>
      <c r="AE124" s="59">
        <f t="shared" si="65"/>
        <v>3.0759791257199053E-4</v>
      </c>
      <c r="AF124" s="59">
        <f t="shared" si="65"/>
        <v>1.9377454247658686E-4</v>
      </c>
      <c r="AG124" s="59">
        <f t="shared" si="65"/>
        <v>1.220703125E-4</v>
      </c>
      <c r="AH124" s="59">
        <f t="shared" si="65"/>
        <v>7.6899478142997631E-5</v>
      </c>
      <c r="AI124" s="59">
        <f t="shared" si="65"/>
        <v>4.8443635619146716E-5</v>
      </c>
    </row>
    <row r="125" spans="1:36" ht="17" customHeight="1">
      <c r="A125" s="213"/>
      <c r="B125" s="194"/>
      <c r="F125" s="177"/>
      <c r="H125" s="197"/>
      <c r="I125" s="197"/>
      <c r="J125" s="197"/>
      <c r="K125" s="197"/>
      <c r="L125" s="197"/>
      <c r="M125" s="197"/>
      <c r="N125" s="197"/>
      <c r="O125" s="197"/>
      <c r="P125" s="197"/>
      <c r="Q125" s="197"/>
      <c r="R125" s="197"/>
      <c r="S125" s="197"/>
      <c r="T125" s="197"/>
      <c r="U125" s="197"/>
      <c r="V125" s="197"/>
      <c r="W125" s="197"/>
      <c r="X125" s="197"/>
      <c r="Y125" s="197"/>
      <c r="Z125" s="197"/>
      <c r="AA125" s="197"/>
      <c r="AB125" s="197"/>
      <c r="AC125" s="197"/>
      <c r="AD125" s="197"/>
      <c r="AE125" s="197"/>
      <c r="AF125" s="197"/>
      <c r="AG125" s="197"/>
      <c r="AH125" s="197"/>
      <c r="AI125" s="219"/>
    </row>
    <row r="126" spans="1:36">
      <c r="A126" s="208"/>
      <c r="F126" s="177"/>
      <c r="AI126" s="209"/>
    </row>
    <row r="127" spans="1:36">
      <c r="A127" s="210" t="s">
        <v>1158</v>
      </c>
      <c r="B127" s="1"/>
      <c r="F127" s="177"/>
      <c r="AI127" s="209"/>
    </row>
    <row r="128" spans="1:36" s="6" customFormat="1">
      <c r="A128" s="238" t="s">
        <v>1168</v>
      </c>
      <c r="F128" s="58"/>
      <c r="G128" s="55"/>
      <c r="AI128" s="229"/>
    </row>
    <row r="129" spans="1:35" ht="19" customHeight="1">
      <c r="A129" t="s">
        <v>1169</v>
      </c>
      <c r="F129" s="177"/>
      <c r="AI129" s="209"/>
    </row>
    <row r="130" spans="1:35" s="6" customFormat="1" ht="19" customHeight="1">
      <c r="A130" s="6" t="s">
        <v>1170</v>
      </c>
      <c r="F130" s="58"/>
      <c r="G130" s="55"/>
      <c r="AI130" s="229"/>
    </row>
    <row r="131" spans="1:35">
      <c r="A131" t="s">
        <v>1171</v>
      </c>
      <c r="F131" s="177"/>
      <c r="AI131" s="209"/>
    </row>
    <row r="132" spans="1:35" s="6" customFormat="1">
      <c r="A132" s="6" t="s">
        <v>1172</v>
      </c>
      <c r="G132" s="55"/>
      <c r="AI132" s="229"/>
    </row>
    <row r="133" spans="1:35">
      <c r="A133" t="s">
        <v>1173</v>
      </c>
      <c r="AI133" s="209"/>
    </row>
    <row r="134" spans="1:35" s="6" customFormat="1">
      <c r="A134" s="6" t="s">
        <v>1174</v>
      </c>
      <c r="G134" s="55"/>
      <c r="AI134" s="229"/>
    </row>
    <row r="135" spans="1:35">
      <c r="A135" t="s">
        <v>1175</v>
      </c>
      <c r="AI135" s="209"/>
    </row>
    <row r="136" spans="1:35" s="6" customFormat="1">
      <c r="A136" s="6" t="s">
        <v>1176</v>
      </c>
      <c r="G136" s="55"/>
      <c r="AI136" s="229"/>
    </row>
    <row r="137" spans="1:35">
      <c r="A137" t="s">
        <v>1177</v>
      </c>
      <c r="AI137" s="209"/>
    </row>
    <row r="138" spans="1:35" s="6" customFormat="1">
      <c r="A138" s="6" t="s">
        <v>1178</v>
      </c>
      <c r="G138" s="55"/>
      <c r="AI138" s="229"/>
    </row>
    <row r="139" spans="1:35">
      <c r="A139" t="s">
        <v>1179</v>
      </c>
      <c r="AI139" s="209"/>
    </row>
    <row r="140" spans="1:35" s="6" customFormat="1">
      <c r="G140" s="55"/>
      <c r="AI140" s="229"/>
    </row>
    <row r="141" spans="1:35">
      <c r="AI141" s="209"/>
    </row>
    <row r="142" spans="1:35" s="6" customFormat="1">
      <c r="G142" s="55"/>
      <c r="AI142" s="229"/>
    </row>
    <row r="143" spans="1:35">
      <c r="A143" s="213"/>
      <c r="AI143" s="209"/>
    </row>
    <row r="144" spans="1:35" s="6" customFormat="1">
      <c r="A144" s="211"/>
      <c r="G144" s="55"/>
      <c r="AI144" s="229"/>
    </row>
    <row r="145" spans="1:35">
      <c r="A145" s="213"/>
      <c r="AI145" s="209"/>
    </row>
    <row r="146" spans="1:35" s="6" customFormat="1">
      <c r="A146" s="211"/>
      <c r="G146" s="55"/>
      <c r="AI146" s="229"/>
    </row>
    <row r="147" spans="1:35" ht="17" thickBot="1">
      <c r="A147" s="231"/>
      <c r="B147" s="232"/>
      <c r="C147" s="232"/>
      <c r="D147" s="232"/>
      <c r="E147" s="232"/>
      <c r="F147" s="232"/>
      <c r="G147" s="233"/>
      <c r="H147" s="232"/>
      <c r="I147" s="232"/>
      <c r="J147" s="232"/>
      <c r="K147" s="232"/>
      <c r="L147" s="232"/>
      <c r="M147" s="232"/>
      <c r="N147" s="232"/>
      <c r="O147" s="232"/>
      <c r="P147" s="232"/>
      <c r="Q147" s="232"/>
      <c r="R147" s="232"/>
      <c r="S147" s="232"/>
      <c r="T147" s="232"/>
      <c r="U147" s="232"/>
      <c r="V147" s="232"/>
      <c r="W147" s="232"/>
      <c r="X147" s="232"/>
      <c r="Y147" s="232"/>
      <c r="Z147" s="232"/>
      <c r="AA147" s="232"/>
      <c r="AB147" s="232"/>
      <c r="AC147" s="232"/>
      <c r="AD147" s="232"/>
      <c r="AE147" s="232"/>
      <c r="AF147" s="232"/>
      <c r="AG147" s="232"/>
      <c r="AH147" s="232"/>
      <c r="AI147" s="234"/>
    </row>
    <row r="148" spans="1:35" ht="17" thickTop="1"/>
    <row r="151" spans="1:35" s="84" customFormat="1">
      <c r="A151" s="84" t="s">
        <v>1159</v>
      </c>
      <c r="G151" s="55"/>
    </row>
    <row r="160" spans="1:35" ht="19">
      <c r="A160" s="2" t="s">
        <v>1157</v>
      </c>
    </row>
    <row r="162" spans="1:35">
      <c r="A162" s="79" t="s">
        <v>251</v>
      </c>
      <c r="B162" s="79">
        <v>0.54047670435309791</v>
      </c>
      <c r="C162" s="79"/>
      <c r="D162" s="79" t="s">
        <v>252</v>
      </c>
      <c r="E162" s="79"/>
      <c r="F162" s="79"/>
      <c r="G162" s="173" t="s">
        <v>121</v>
      </c>
      <c r="H162" s="79">
        <f t="shared" ref="H162:AI162" si="66">2.09*10^-170*EXP(1.92826*10^-1*H$1)</f>
        <v>0.54047670435309791</v>
      </c>
      <c r="I162" s="79">
        <f t="shared" si="66"/>
        <v>0.65542084185898952</v>
      </c>
      <c r="J162" s="79">
        <f t="shared" si="66"/>
        <v>0.79481035257067467</v>
      </c>
      <c r="K162" s="79">
        <f t="shared" si="66"/>
        <v>0.96384407728289512</v>
      </c>
      <c r="L162" s="79">
        <f t="shared" si="66"/>
        <v>1.168826503465374</v>
      </c>
      <c r="M162" s="79">
        <f t="shared" si="66"/>
        <v>1.4174029050989261</v>
      </c>
      <c r="N162" s="79">
        <f t="shared" si="66"/>
        <v>1.7188444901157891</v>
      </c>
      <c r="O162" s="79">
        <f t="shared" si="66"/>
        <v>2.0843941906520742</v>
      </c>
      <c r="P162" s="79">
        <f t="shared" si="66"/>
        <v>2.5276859931238982</v>
      </c>
      <c r="Q162" s="79">
        <f t="shared" si="66"/>
        <v>3.0652534479748943</v>
      </c>
      <c r="R162" s="79">
        <f t="shared" si="66"/>
        <v>3.7171463250900052</v>
      </c>
      <c r="S162" s="79">
        <f t="shared" si="66"/>
        <v>4.5076784144090505</v>
      </c>
      <c r="T162" s="79">
        <f t="shared" si="66"/>
        <v>5.4663343626211569</v>
      </c>
      <c r="U162" s="79">
        <f t="shared" si="66"/>
        <v>6.628869368421543</v>
      </c>
      <c r="V162" s="79">
        <f t="shared" si="66"/>
        <v>8.0386427519097783</v>
      </c>
      <c r="W162" s="79">
        <f t="shared" si="66"/>
        <v>9.7482351365471427</v>
      </c>
      <c r="X162" s="79">
        <f t="shared" si="66"/>
        <v>11.821409560070501</v>
      </c>
      <c r="Y162" s="79">
        <f t="shared" si="66"/>
        <v>14.335489658328513</v>
      </c>
      <c r="Z162" s="79">
        <f t="shared" si="66"/>
        <v>17.384243621689265</v>
      </c>
      <c r="AA162" s="79">
        <f t="shared" si="66"/>
        <v>21.081381487564638</v>
      </c>
      <c r="AB162" s="79">
        <f t="shared" si="66"/>
        <v>25.56479620831626</v>
      </c>
      <c r="AC162" s="79">
        <f t="shared" si="66"/>
        <v>31.001706674597958</v>
      </c>
      <c r="AD162" s="79">
        <f t="shared" si="66"/>
        <v>37.594894514555456</v>
      </c>
      <c r="AE162" s="79">
        <f t="shared" si="66"/>
        <v>45.590267284178843</v>
      </c>
      <c r="AF162" s="79">
        <f t="shared" si="66"/>
        <v>55.28603013470449</v>
      </c>
      <c r="AG162" s="79">
        <f t="shared" si="66"/>
        <v>67.043808034798204</v>
      </c>
      <c r="AH162" s="79">
        <f t="shared" si="66"/>
        <v>81.302133375377281</v>
      </c>
      <c r="AI162" s="79">
        <f t="shared" si="66"/>
        <v>98.592802007254818</v>
      </c>
    </row>
    <row r="163" spans="1:35">
      <c r="A163" t="s">
        <v>253</v>
      </c>
      <c r="D163" t="s">
        <v>254</v>
      </c>
      <c r="G163" s="55" t="s">
        <v>121</v>
      </c>
      <c r="H163">
        <f t="shared" ref="H163:AI163" si="67">1.68156*10^-44*EXP(4.9871*10^-2*H$1)</f>
        <v>1.099670777966935</v>
      </c>
      <c r="I163">
        <f t="shared" si="67"/>
        <v>1.1559029833030201</v>
      </c>
      <c r="J163">
        <f t="shared" si="67"/>
        <v>1.2150106500775044</v>
      </c>
      <c r="K163">
        <f t="shared" si="67"/>
        <v>1.2771408164232929</v>
      </c>
      <c r="L163">
        <f t="shared" si="67"/>
        <v>1.3424480393404861</v>
      </c>
      <c r="M163">
        <f t="shared" si="67"/>
        <v>1.4110947791772783</v>
      </c>
      <c r="N163">
        <f t="shared" si="67"/>
        <v>1.4832518037715821</v>
      </c>
      <c r="O163">
        <f t="shared" si="67"/>
        <v>1.5590986132585121</v>
      </c>
      <c r="P163">
        <f t="shared" si="67"/>
        <v>1.6388238866008158</v>
      </c>
      <c r="Q163">
        <f t="shared" si="67"/>
        <v>1.7226259509526756</v>
      </c>
      <c r="R163">
        <f t="shared" si="67"/>
        <v>1.8107132750246373</v>
      </c>
      <c r="S163">
        <f t="shared" si="67"/>
        <v>1.9033049876772234</v>
      </c>
      <c r="T163">
        <f t="shared" si="67"/>
        <v>2.000631423032841</v>
      </c>
      <c r="U163">
        <f t="shared" si="67"/>
        <v>2.1029346934624042</v>
      </c>
      <c r="V163">
        <f t="shared" si="67"/>
        <v>2.2104692918717386</v>
      </c>
      <c r="W163">
        <f t="shared" si="67"/>
        <v>2.3235027247864934</v>
      </c>
      <c r="X163">
        <f t="shared" si="67"/>
        <v>2.4423161778098637</v>
      </c>
      <c r="Y163">
        <f t="shared" si="67"/>
        <v>2.5672052151090035</v>
      </c>
      <c r="Z163">
        <f t="shared" si="67"/>
        <v>2.698480514669813</v>
      </c>
      <c r="AA163">
        <f t="shared" si="67"/>
        <v>2.8364686411497</v>
      </c>
      <c r="AB163">
        <f t="shared" si="67"/>
        <v>2.9815128582502282</v>
      </c>
      <c r="AC163">
        <f t="shared" si="67"/>
        <v>3.1339739826308062</v>
      </c>
      <c r="AD163">
        <f t="shared" si="67"/>
        <v>3.294231281488067</v>
      </c>
      <c r="AE163">
        <f t="shared" si="67"/>
        <v>3.4626834160329767</v>
      </c>
      <c r="AF163">
        <f t="shared" si="67"/>
        <v>3.6397494332133786</v>
      </c>
      <c r="AG163">
        <f t="shared" si="67"/>
        <v>3.8258698081484557</v>
      </c>
      <c r="AH163">
        <f t="shared" si="67"/>
        <v>4.0215075398691047</v>
      </c>
      <c r="AI163">
        <f t="shared" si="67"/>
        <v>4.2271493030890772</v>
      </c>
    </row>
    <row r="164" spans="1:35" s="55" customFormat="1">
      <c r="A164" s="55" t="s">
        <v>255</v>
      </c>
      <c r="D164" s="55" t="s">
        <v>256</v>
      </c>
      <c r="G164" s="55" t="s">
        <v>121</v>
      </c>
      <c r="H164" s="55">
        <f t="shared" ref="H164:AI164" si="68">3.53726*10^-165*EXP(1.87174*10^-1*H$1)</f>
        <v>0.98986577300127487</v>
      </c>
      <c r="I164" s="55">
        <f t="shared" si="68"/>
        <v>1.1936168557323781</v>
      </c>
      <c r="J164" s="55">
        <f t="shared" si="68"/>
        <v>1.4393074668786765</v>
      </c>
      <c r="K164" s="55">
        <f t="shared" si="68"/>
        <v>1.7355703166086205</v>
      </c>
      <c r="L164" s="55">
        <f t="shared" si="68"/>
        <v>2.0928150469650029</v>
      </c>
      <c r="M164" s="55">
        <f t="shared" si="68"/>
        <v>2.5235939903384845</v>
      </c>
      <c r="N164" s="55">
        <f t="shared" si="68"/>
        <v>3.0430432145964268</v>
      </c>
      <c r="O164" s="55">
        <f t="shared" si="68"/>
        <v>3.6694143516564006</v>
      </c>
      <c r="P164" s="55">
        <f t="shared" si="68"/>
        <v>4.4247158960990625</v>
      </c>
      <c r="Q164" s="55">
        <f t="shared" si="68"/>
        <v>5.3354865068195787</v>
      </c>
      <c r="R164" s="55">
        <f t="shared" si="68"/>
        <v>6.4337274828310997</v>
      </c>
      <c r="S164" s="55">
        <f t="shared" si="68"/>
        <v>7.7580271771715799</v>
      </c>
      <c r="T164" s="55">
        <f t="shared" si="68"/>
        <v>9.3549168568832073</v>
      </c>
      <c r="U164" s="55">
        <f t="shared" si="68"/>
        <v>11.280505649260764</v>
      </c>
      <c r="V164" s="55">
        <f t="shared" si="68"/>
        <v>13.602452020657809</v>
      </c>
      <c r="W164" s="55">
        <f t="shared" si="68"/>
        <v>16.402341058747968</v>
      </c>
      <c r="X164" s="55">
        <f t="shared" si="68"/>
        <v>19.77855108761954</v>
      </c>
      <c r="Y164" s="55">
        <f t="shared" si="68"/>
        <v>23.849710338571569</v>
      </c>
      <c r="Z164" s="55">
        <f t="shared" si="68"/>
        <v>28.758865131924818</v>
      </c>
      <c r="AA164" s="55">
        <f t="shared" si="68"/>
        <v>34.678506025236018</v>
      </c>
      <c r="AB164" s="55">
        <f t="shared" si="68"/>
        <v>41.816628529172192</v>
      </c>
      <c r="AC164" s="55">
        <f t="shared" si="68"/>
        <v>50.424041343487367</v>
      </c>
      <c r="AD164" s="55">
        <f t="shared" si="68"/>
        <v>60.803178898935307</v>
      </c>
      <c r="AE164" s="55">
        <f t="shared" si="68"/>
        <v>73.318727847141133</v>
      </c>
      <c r="AF164" s="55">
        <f t="shared" si="68"/>
        <v>88.410440876093261</v>
      </c>
      <c r="AG164" s="55">
        <f t="shared" si="68"/>
        <v>106.60858808409355</v>
      </c>
      <c r="AH164" s="55">
        <f t="shared" si="68"/>
        <v>128.55258881937331</v>
      </c>
      <c r="AI164" s="55">
        <f t="shared" si="68"/>
        <v>155.01347864326175</v>
      </c>
    </row>
    <row r="165" spans="1:35">
      <c r="A165" t="s">
        <v>257</v>
      </c>
      <c r="D165" t="s">
        <v>258</v>
      </c>
      <c r="G165" s="55" t="s">
        <v>121</v>
      </c>
      <c r="H165">
        <f t="shared" ref="H165:AI165" si="69">H163*H164</f>
        <v>1.0885264646791535</v>
      </c>
      <c r="I165">
        <f t="shared" si="69"/>
        <v>1.3797052844618263</v>
      </c>
      <c r="J165">
        <f t="shared" si="69"/>
        <v>1.7487739009936669</v>
      </c>
      <c r="K165">
        <f t="shared" si="69"/>
        <v>2.2165676911135663</v>
      </c>
      <c r="L165">
        <f t="shared" si="69"/>
        <v>2.8094954565004353</v>
      </c>
      <c r="M165">
        <f t="shared" si="69"/>
        <v>3.5610303045297904</v>
      </c>
      <c r="N165">
        <f t="shared" si="69"/>
        <v>4.5135993370050231</v>
      </c>
      <c r="O165">
        <f t="shared" si="69"/>
        <v>5.7209788271383761</v>
      </c>
      <c r="P165">
        <f t="shared" si="69"/>
        <v>7.2513301019494767</v>
      </c>
      <c r="Q165">
        <f t="shared" si="69"/>
        <v>9.1910475176052451</v>
      </c>
      <c r="R165">
        <f t="shared" si="69"/>
        <v>11.649635761053117</v>
      </c>
      <c r="S165">
        <f t="shared" si="69"/>
        <v>14.765891820846118</v>
      </c>
      <c r="T165">
        <f t="shared" si="69"/>
        <v>18.715740623740164</v>
      </c>
      <c r="U165">
        <f t="shared" si="69"/>
        <v>23.722166689629105</v>
      </c>
      <c r="V165">
        <f t="shared" si="69"/>
        <v>30.067802485822767</v>
      </c>
      <c r="W165">
        <f t="shared" si="69"/>
        <v>38.110884142878284</v>
      </c>
      <c r="X165">
        <f t="shared" si="69"/>
        <v>48.30547529493208</v>
      </c>
      <c r="Y165">
        <f t="shared" si="69"/>
        <v>61.227100760020051</v>
      </c>
      <c r="Z165">
        <f t="shared" si="69"/>
        <v>77.60523718251622</v>
      </c>
      <c r="AA165">
        <f t="shared" si="69"/>
        <v>98.364494862502895</v>
      </c>
      <c r="AB165">
        <f t="shared" si="69"/>
        <v>124.67681564840022</v>
      </c>
      <c r="AC165">
        <f t="shared" si="69"/>
        <v>158.02763366958953</v>
      </c>
      <c r="AD165">
        <f t="shared" si="69"/>
        <v>200.29973394278784</v>
      </c>
      <c r="AE165">
        <f t="shared" si="69"/>
        <v>253.87954300093079</v>
      </c>
      <c r="AF165">
        <f t="shared" si="69"/>
        <v>321.79185206890537</v>
      </c>
      <c r="AG165">
        <f t="shared" si="69"/>
        <v>407.87057844026873</v>
      </c>
      <c r="AH165">
        <f t="shared" si="69"/>
        <v>516.97520520680257</v>
      </c>
      <c r="AI165">
        <f t="shared" si="69"/>
        <v>655.26511821627741</v>
      </c>
    </row>
    <row r="166" spans="1:35">
      <c r="A166" s="79" t="s">
        <v>259</v>
      </c>
      <c r="B166" s="79"/>
      <c r="C166" s="79"/>
      <c r="D166" s="79" t="s">
        <v>260</v>
      </c>
      <c r="E166" s="79"/>
      <c r="F166" s="79"/>
      <c r="G166" s="173" t="s">
        <v>86</v>
      </c>
      <c r="H166" s="79">
        <v>673796036505.66382</v>
      </c>
      <c r="I166" s="79">
        <v>709026147921.55286</v>
      </c>
      <c r="J166" s="79">
        <v>746098301562.5824</v>
      </c>
      <c r="K166" s="79">
        <v>785108810480.93567</v>
      </c>
      <c r="L166" s="79">
        <v>826159023554.7356</v>
      </c>
      <c r="M166" s="79">
        <v>869355588791.32922</v>
      </c>
      <c r="N166" s="79">
        <v>914810730397.65234</v>
      </c>
      <c r="O166" s="79">
        <v>962642540337.49756</v>
      </c>
      <c r="P166" s="79">
        <v>1012975285133.1541</v>
      </c>
      <c r="Q166" s="79">
        <v>1065939728708.4803</v>
      </c>
      <c r="R166" s="79">
        <v>1121673472112.1587</v>
      </c>
      <c r="S166" s="79">
        <v>1180321311003.7224</v>
      </c>
      <c r="T166" s="79">
        <v>1242035611831.1057</v>
      </c>
      <c r="U166" s="79">
        <v>1306976707677.02</v>
      </c>
      <c r="V166" s="79">
        <v>1375313314802.5591</v>
      </c>
      <c r="W166" s="79">
        <v>1447222970970.2122</v>
      </c>
      <c r="X166" s="79">
        <v>1522892496685.0396</v>
      </c>
      <c r="Y166" s="79">
        <v>1602518480552.3167</v>
      </c>
      <c r="Z166" s="79">
        <v>1686307790012.5906</v>
      </c>
      <c r="AA166" s="79">
        <v>1774478108781.0442</v>
      </c>
      <c r="AB166" s="79">
        <v>1867258502387.4204</v>
      </c>
      <c r="AC166" s="79">
        <v>1964890013285.7805</v>
      </c>
      <c r="AD166" s="79">
        <v>2067626287080.1777</v>
      </c>
      <c r="AE166" s="79">
        <v>2175734231493.1794</v>
      </c>
      <c r="AF166" s="79">
        <v>2289494709789.2314</v>
      </c>
      <c r="AG166" s="79">
        <v>2409203270454.3613</v>
      </c>
      <c r="AH166" s="79">
        <v>2535170915027.9395</v>
      </c>
      <c r="AI166" s="79">
        <v>2667724906081.291</v>
      </c>
    </row>
    <row r="167" spans="1:35">
      <c r="A167" t="s">
        <v>261</v>
      </c>
      <c r="D167" t="s">
        <v>260</v>
      </c>
      <c r="G167" s="55" t="s">
        <v>86</v>
      </c>
      <c r="H167">
        <v>48496792111285.852</v>
      </c>
      <c r="I167">
        <v>62560222556567.234</v>
      </c>
      <c r="J167">
        <v>80701862451979.281</v>
      </c>
      <c r="K167">
        <v>104104338780593.17</v>
      </c>
      <c r="L167">
        <v>134293224761614.06</v>
      </c>
      <c r="M167">
        <v>173236489738267.88</v>
      </c>
      <c r="N167">
        <v>223472788222263.38</v>
      </c>
      <c r="O167">
        <v>288276951070088.69</v>
      </c>
      <c r="P167">
        <v>371873466918990.31</v>
      </c>
      <c r="Q167">
        <v>479711870425349.62</v>
      </c>
      <c r="R167">
        <v>618821989462125.38</v>
      </c>
      <c r="S167">
        <v>798272209320811.75</v>
      </c>
      <c r="T167">
        <v>1029760627491295.2</v>
      </c>
      <c r="U167">
        <v>1328377635535483</v>
      </c>
      <c r="V167">
        <v>1713589639652208.5</v>
      </c>
      <c r="W167">
        <v>2210508047238913</v>
      </c>
      <c r="X167">
        <v>2851526242828901.5</v>
      </c>
      <c r="Y167">
        <v>3678431265472381.5</v>
      </c>
      <c r="Z167">
        <v>4745127844722630</v>
      </c>
      <c r="AA167">
        <v>6121152371150953</v>
      </c>
      <c r="AB167">
        <v>7896205871991008</v>
      </c>
      <c r="AC167">
        <v>1.0186001489968102E+16</v>
      </c>
      <c r="AD167">
        <v>1.3139807653909454E+16</v>
      </c>
      <c r="AE167">
        <v>1.6950178669400374E+16</v>
      </c>
      <c r="AF167">
        <v>2.186550705246532E+16</v>
      </c>
      <c r="AG167">
        <v>2.82062158745566E+16</v>
      </c>
      <c r="AH167">
        <v>3.6385646674147672E+16</v>
      </c>
      <c r="AI167">
        <v>4.6937004587352432E+16</v>
      </c>
    </row>
    <row r="168" spans="1:35">
      <c r="A168" t="s">
        <v>262</v>
      </c>
      <c r="D168" t="s">
        <v>260</v>
      </c>
      <c r="G168" s="55" t="s">
        <v>86</v>
      </c>
      <c r="H168">
        <v>107537529974380.47</v>
      </c>
      <c r="I168">
        <v>244508458322263.47</v>
      </c>
      <c r="J168">
        <v>555939737553697.88</v>
      </c>
      <c r="K168">
        <v>1264042127262199.5</v>
      </c>
      <c r="L168">
        <v>2874057009352053</v>
      </c>
      <c r="M168">
        <v>6534753482383156</v>
      </c>
      <c r="N168">
        <v>1.4858091866850626E+16</v>
      </c>
      <c r="O168">
        <v>3.3782895486252196E+16</v>
      </c>
      <c r="P168">
        <v>7.681228771921368E+16</v>
      </c>
      <c r="Q168">
        <v>1.7464836745744E+17</v>
      </c>
      <c r="R168">
        <v>3.9709860441924134E+17</v>
      </c>
      <c r="S168">
        <v>9.0288448685405491E+17</v>
      </c>
      <c r="T168">
        <v>2.0528916181761533E+18</v>
      </c>
      <c r="U168">
        <v>4.6676668580962519E+18</v>
      </c>
      <c r="V168">
        <v>1.0612890473743772E+19</v>
      </c>
      <c r="W168">
        <v>2.4130566219033858E+19</v>
      </c>
      <c r="X168">
        <v>5.4865752877761782E+19</v>
      </c>
      <c r="Y168">
        <v>1.2474845436777115E+20</v>
      </c>
      <c r="Z168">
        <v>2.8364099735985852E+20</v>
      </c>
      <c r="AA168">
        <v>6.4491552854125104E+20</v>
      </c>
      <c r="AB168">
        <v>1.4663466946774408E+21</v>
      </c>
      <c r="AC168">
        <v>3.3340376124218613E+21</v>
      </c>
      <c r="AD168">
        <v>7.5806129896783128E+21</v>
      </c>
      <c r="AE168">
        <v>1.7236066289467022E+22</v>
      </c>
      <c r="AF168">
        <v>3.9189704254709402E+22</v>
      </c>
      <c r="AG168">
        <v>8.9105767741804113E+22</v>
      </c>
      <c r="AH168">
        <v>2.0260009601634629E+23</v>
      </c>
      <c r="AI168">
        <v>4.6065254748459528E+23</v>
      </c>
    </row>
    <row r="169" spans="1:35">
      <c r="A169" t="s">
        <v>263</v>
      </c>
      <c r="D169" t="s">
        <v>264</v>
      </c>
      <c r="G169" s="55" t="s">
        <v>86</v>
      </c>
      <c r="H169">
        <v>27870798981.378315</v>
      </c>
      <c r="I169">
        <v>32516820497.959347</v>
      </c>
      <c r="J169">
        <v>37937327021.122223</v>
      </c>
      <c r="K169">
        <v>44261424071.209328</v>
      </c>
      <c r="L169">
        <v>51639738870.39225</v>
      </c>
      <c r="M169">
        <v>60248007978.958847</v>
      </c>
      <c r="N169">
        <v>70291262985.333466</v>
      </c>
      <c r="O169">
        <v>82008713944.515289</v>
      </c>
      <c r="P169">
        <v>95679446878.57753</v>
      </c>
      <c r="Q169">
        <v>111629071042.18523</v>
      </c>
      <c r="R169">
        <v>130237474277.57375</v>
      </c>
      <c r="S169">
        <v>151947871175.88528</v>
      </c>
      <c r="T169">
        <v>177277359553.79376</v>
      </c>
      <c r="U169">
        <v>206829236679.3797</v>
      </c>
      <c r="V169">
        <v>241307368594.88272</v>
      </c>
      <c r="W169">
        <v>281532954784.58771</v>
      </c>
      <c r="X169">
        <v>328464087488.38153</v>
      </c>
      <c r="Y169">
        <v>383218571524.336</v>
      </c>
      <c r="Z169">
        <v>447100548142.41217</v>
      </c>
      <c r="AA169">
        <v>521631557035.7243</v>
      </c>
      <c r="AB169">
        <v>608586776343.74963</v>
      </c>
      <c r="AC169">
        <v>710037303811.18701</v>
      </c>
      <c r="AD169">
        <v>828399486154.29395</v>
      </c>
      <c r="AE169">
        <v>966492471560.59839</v>
      </c>
      <c r="AF169">
        <v>1127605356106.3308</v>
      </c>
      <c r="AG169">
        <v>1315575523383.6431</v>
      </c>
      <c r="AH169">
        <v>1534880043229.3633</v>
      </c>
      <c r="AI169">
        <v>1790742306488.4478</v>
      </c>
    </row>
    <row r="170" spans="1:35">
      <c r="A170" t="s">
        <v>265</v>
      </c>
      <c r="D170" t="s">
        <v>266</v>
      </c>
      <c r="G170" s="55" t="s">
        <v>86</v>
      </c>
      <c r="H170">
        <v>790832616673.42542</v>
      </c>
      <c r="I170">
        <v>881949092076.6449</v>
      </c>
      <c r="J170">
        <v>983563632323.00171</v>
      </c>
      <c r="K170">
        <v>1096885781185.5947</v>
      </c>
      <c r="L170">
        <v>1223264441087.0371</v>
      </c>
      <c r="M170">
        <v>1364203929428.8125</v>
      </c>
      <c r="N170">
        <v>1521381884864.7429</v>
      </c>
      <c r="O170">
        <v>1696669236661.4968</v>
      </c>
      <c r="P170">
        <v>1892152474846.5327</v>
      </c>
      <c r="Q170">
        <v>2110158486230.7222</v>
      </c>
      <c r="R170">
        <v>2353282251935.1592</v>
      </c>
      <c r="S170">
        <v>2624417736112.8784</v>
      </c>
      <c r="T170">
        <v>2926792333541.8184</v>
      </c>
      <c r="U170">
        <v>3264005286127.4849</v>
      </c>
      <c r="V170">
        <v>3640070525596.7705</v>
      </c>
      <c r="W170">
        <v>4059464452350.4087</v>
      </c>
      <c r="X170">
        <v>4527179219197.9346</v>
      </c>
      <c r="Y170">
        <v>5048782154225.0283</v>
      </c>
      <c r="Z170">
        <v>5630482030118.7744</v>
      </c>
      <c r="AA170">
        <v>6279202968771.5146</v>
      </c>
      <c r="AB170">
        <v>7002666860868.6182</v>
      </c>
      <c r="AC170">
        <v>7809485281521.5459</v>
      </c>
      <c r="AD170">
        <v>8709261996041.4082</v>
      </c>
      <c r="AE170">
        <v>9712707276005.3789</v>
      </c>
      <c r="AF170">
        <v>10831765386349.186</v>
      </c>
      <c r="AG170">
        <v>12079756760997.174</v>
      </c>
      <c r="AH170">
        <v>13471536559382.488</v>
      </c>
      <c r="AI170">
        <v>15023671491196.293</v>
      </c>
    </row>
    <row r="171" spans="1:35">
      <c r="A171" t="s">
        <v>267</v>
      </c>
      <c r="D171" t="s">
        <v>268</v>
      </c>
      <c r="G171" s="55" t="s">
        <v>86</v>
      </c>
      <c r="H171">
        <v>2.4292921986824223</v>
      </c>
      <c r="I171">
        <v>2.2987282578920527</v>
      </c>
      <c r="J171">
        <v>2.1751815637894039</v>
      </c>
      <c r="K171">
        <v>2.0582749697382901</v>
      </c>
      <c r="L171">
        <v>1.9476515991017871</v>
      </c>
      <c r="M171">
        <v>1.8429737558175106</v>
      </c>
      <c r="N171">
        <v>1.7439218935247522</v>
      </c>
      <c r="O171">
        <v>1.6501936400965769</v>
      </c>
      <c r="P171">
        <v>1.5615028745990911</v>
      </c>
      <c r="Q171">
        <v>1.4775788538601593</v>
      </c>
      <c r="R171">
        <v>1.398165385981271</v>
      </c>
      <c r="S171">
        <v>1.3230200482695651</v>
      </c>
      <c r="T171">
        <v>1.2519134472026254</v>
      </c>
      <c r="U171">
        <v>1.1846285181669645</v>
      </c>
      <c r="V171">
        <v>1.1209598628325326</v>
      </c>
      <c r="W171">
        <v>1.0607131221404793</v>
      </c>
      <c r="X171">
        <v>1.0037043829901082</v>
      </c>
      <c r="Y171">
        <v>0.94975961681384014</v>
      </c>
      <c r="Z171">
        <v>0.89871414832634289</v>
      </c>
      <c r="AA171">
        <v>0.85041215282609384</v>
      </c>
      <c r="AB171">
        <v>0.8047061805148098</v>
      </c>
      <c r="AC171">
        <v>0.76145670638264695</v>
      </c>
      <c r="AD171">
        <v>0.72053170428512425</v>
      </c>
      <c r="AE171">
        <v>0.68180624391156708</v>
      </c>
      <c r="AF171">
        <v>0.64516210941475549</v>
      </c>
      <c r="AG171">
        <v>0.61048743853757348</v>
      </c>
      <c r="AH171">
        <v>0.57767638113504494</v>
      </c>
      <c r="AI171">
        <v>0.54662877604932514</v>
      </c>
    </row>
    <row r="172" spans="1:35" s="55" customFormat="1">
      <c r="A172" s="55" t="s">
        <v>269</v>
      </c>
      <c r="D172" s="55" t="s">
        <v>268</v>
      </c>
      <c r="G172" s="55" t="s">
        <v>86</v>
      </c>
      <c r="H172" s="55">
        <v>3.3751709846665791E-2</v>
      </c>
      <c r="I172" s="55">
        <v>2.605266531078166E-2</v>
      </c>
      <c r="J172" s="55">
        <v>2.0109836594327586E-2</v>
      </c>
      <c r="K172" s="55">
        <v>1.5522616324526192E-2</v>
      </c>
      <c r="L172" s="55">
        <v>1.198177898802086E-2</v>
      </c>
      <c r="M172" s="55">
        <v>9.2486359719491495E-3</v>
      </c>
      <c r="N172" s="55">
        <v>7.1389455127782138E-3</v>
      </c>
      <c r="O172" s="55">
        <v>5.5104929190629027E-3</v>
      </c>
      <c r="P172" s="55">
        <v>4.2535038482490427E-3</v>
      </c>
      <c r="Q172" s="55">
        <v>3.2832443944318017E-3</v>
      </c>
      <c r="R172" s="55">
        <v>2.5343091573798212E-3</v>
      </c>
      <c r="S172" s="55">
        <v>1.9562122503191635E-3</v>
      </c>
      <c r="T172" s="55">
        <v>1.5099840353554946E-3</v>
      </c>
      <c r="U172" s="55">
        <v>1.1655441717310921E-3</v>
      </c>
      <c r="V172" s="55">
        <v>8.9967389352993215E-4</v>
      </c>
      <c r="W172" s="55">
        <v>6.9445082763113929E-4</v>
      </c>
      <c r="X172" s="55">
        <v>5.3604084264953717E-4</v>
      </c>
      <c r="Y172" s="55">
        <v>4.137654871383459E-4</v>
      </c>
      <c r="Z172" s="55">
        <v>3.1938215286099746E-4</v>
      </c>
      <c r="AA172" s="55">
        <v>2.4652843878208611E-4</v>
      </c>
      <c r="AB172" s="55">
        <v>1.9029326023356109E-4</v>
      </c>
      <c r="AC172" s="55">
        <v>1.4688579163204041E-4</v>
      </c>
      <c r="AD172" s="55">
        <v>1.1337992610400441E-4</v>
      </c>
      <c r="AE172" s="55">
        <v>8.7517025986776366E-5</v>
      </c>
      <c r="AF172" s="55">
        <v>6.7553667573783832E-5</v>
      </c>
      <c r="AG172" s="55">
        <v>5.2144116544348974E-5</v>
      </c>
      <c r="AH172" s="55">
        <v>4.0249611721241973E-5</v>
      </c>
      <c r="AI172" s="55">
        <v>3.1068341954415706E-5</v>
      </c>
    </row>
    <row r="173" spans="1:35" s="55" customFormat="1">
      <c r="A173" s="55" t="s">
        <v>270</v>
      </c>
      <c r="D173" s="55" t="s">
        <v>268</v>
      </c>
      <c r="G173" s="55" t="s">
        <v>86</v>
      </c>
      <c r="H173" s="55">
        <v>8.0452535902616404E-3</v>
      </c>
      <c r="I173" s="55">
        <v>2.9334004153443861E-3</v>
      </c>
      <c r="J173" s="55">
        <v>1.0695546013811579E-3</v>
      </c>
      <c r="K173" s="55">
        <v>3.899730290320103E-4</v>
      </c>
      <c r="L173" s="55">
        <v>1.4218905998442281E-4</v>
      </c>
      <c r="M173" s="55">
        <v>5.1843915538051958E-5</v>
      </c>
      <c r="N173" s="55">
        <v>1.8902942171578599E-5</v>
      </c>
      <c r="O173" s="55">
        <v>6.8922499204324379E-6</v>
      </c>
      <c r="P173" s="55">
        <v>2.5130008087907051E-6</v>
      </c>
      <c r="Q173" s="55">
        <v>9.1627162942264691E-7</v>
      </c>
      <c r="R173" s="55">
        <v>3.3408413397560291E-7</v>
      </c>
      <c r="S173" s="55">
        <v>1.2181126752179013E-7</v>
      </c>
      <c r="T173" s="55">
        <v>4.4413916694256099E-8</v>
      </c>
      <c r="U173" s="55">
        <v>1.619387135735579E-8</v>
      </c>
      <c r="V173" s="55">
        <v>5.9044887066333215E-9</v>
      </c>
      <c r="W173" s="55">
        <v>2.1528506752602127E-9</v>
      </c>
      <c r="X173" s="55">
        <v>7.8495637137242199E-10</v>
      </c>
      <c r="Y173" s="55">
        <v>2.8620494307329877E-10</v>
      </c>
      <c r="Z173" s="55">
        <v>1.0435391370398404E-10</v>
      </c>
      <c r="AA173" s="55">
        <v>3.8048746427659091E-11</v>
      </c>
      <c r="AB173" s="55">
        <v>1.3873050404443331E-11</v>
      </c>
      <c r="AC173" s="55">
        <v>5.0582882642440385E-12</v>
      </c>
      <c r="AD173" s="55">
        <v>1.8443153753693613E-12</v>
      </c>
      <c r="AE173" s="55">
        <v>6.7246052935897308E-13</v>
      </c>
      <c r="AF173" s="55">
        <v>2.451875474145454E-13</v>
      </c>
      <c r="AG173" s="55">
        <v>8.9398456537615008E-14</v>
      </c>
      <c r="AH173" s="55">
        <v>3.259579907537253E-14</v>
      </c>
      <c r="AI173" s="55">
        <v>1.1884837373170983E-14</v>
      </c>
    </row>
    <row r="174" spans="1:35">
      <c r="A174" t="s">
        <v>271</v>
      </c>
      <c r="D174" t="s">
        <v>271</v>
      </c>
      <c r="G174" s="55" t="s">
        <v>86</v>
      </c>
      <c r="H174">
        <v>58.729746423869869</v>
      </c>
      <c r="I174">
        <v>50.123469518599855</v>
      </c>
      <c r="J174">
        <v>42.778359341951685</v>
      </c>
      <c r="K174">
        <v>36.509604094945438</v>
      </c>
      <c r="L174">
        <v>31.159474362132993</v>
      </c>
      <c r="M174">
        <v>26.59335444995531</v>
      </c>
      <c r="N174">
        <v>22.696355294118852</v>
      </c>
      <c r="O174">
        <v>19.370423712670902</v>
      </c>
      <c r="P174">
        <v>16.531875270106905</v>
      </c>
      <c r="Q174">
        <v>14.109288676405919</v>
      </c>
      <c r="R174">
        <v>12.041708741543687</v>
      </c>
      <c r="S174">
        <v>10.277112669659147</v>
      </c>
      <c r="T174">
        <v>8.7711011029925352</v>
      </c>
      <c r="U174">
        <v>7.4857809806874807</v>
      </c>
      <c r="V174">
        <v>6.3888121038422039</v>
      </c>
      <c r="W174">
        <v>5.4525934172405002</v>
      </c>
      <c r="X174">
        <v>4.6535685336331065</v>
      </c>
      <c r="Y174">
        <v>3.9716330267258222</v>
      </c>
      <c r="Z174">
        <v>3.3896285796535688</v>
      </c>
      <c r="AA174">
        <v>2.8929112611081713</v>
      </c>
      <c r="AB174">
        <v>2.4689830664284171</v>
      </c>
      <c r="AC174">
        <v>2.1071774527833815</v>
      </c>
      <c r="AD174">
        <v>1.7983909561363489</v>
      </c>
      <c r="AE174">
        <v>1.5348541371496391</v>
      </c>
      <c r="AF174">
        <v>1.3099360927539911</v>
      </c>
      <c r="AG174">
        <v>1.1179776146587022</v>
      </c>
      <c r="AH174">
        <v>0.95414879687011556</v>
      </c>
      <c r="AI174">
        <v>0.81432750945251908</v>
      </c>
    </row>
    <row r="175" spans="1:35">
      <c r="A175" t="s">
        <v>272</v>
      </c>
      <c r="D175" t="s">
        <v>272</v>
      </c>
      <c r="G175" s="55" t="s">
        <v>86</v>
      </c>
      <c r="H175">
        <v>2.0697760803743042</v>
      </c>
      <c r="I175">
        <v>1.8480174719512203</v>
      </c>
      <c r="J175">
        <v>1.650018380741636</v>
      </c>
      <c r="K175">
        <v>1.4732331799388498</v>
      </c>
      <c r="L175">
        <v>1.3153889846349442</v>
      </c>
      <c r="M175">
        <v>1.1744564298848923</v>
      </c>
      <c r="N175">
        <v>1.0486235796483987</v>
      </c>
      <c r="O175">
        <v>0.93627263116299142</v>
      </c>
      <c r="P175">
        <v>0.83595911524209232</v>
      </c>
      <c r="Q175">
        <v>0.74639332508127743</v>
      </c>
      <c r="R175">
        <v>0.66642373480735295</v>
      </c>
      <c r="S175">
        <v>0.59502219458650596</v>
      </c>
      <c r="T175">
        <v>0.53127071194859143</v>
      </c>
      <c r="U175">
        <v>0.47434964937821195</v>
      </c>
      <c r="V175">
        <v>0.42352718643184967</v>
      </c>
      <c r="W175">
        <v>0.37814991089802186</v>
      </c>
      <c r="X175">
        <v>0.33763441803326066</v>
      </c>
      <c r="Y175">
        <v>0.30145980986731197</v>
      </c>
      <c r="Z175">
        <v>0.26916099814291861</v>
      </c>
      <c r="AA175">
        <v>0.24032272478769287</v>
      </c>
      <c r="AB175">
        <v>0.21457422304071899</v>
      </c>
      <c r="AC175">
        <v>0.19158445059327189</v>
      </c>
      <c r="AD175">
        <v>0.17105783345728595</v>
      </c>
      <c r="AE175">
        <v>0.15273046584151209</v>
      </c>
      <c r="AF175">
        <v>0.13636671717808274</v>
      </c>
      <c r="AG175">
        <v>0.12175620267683906</v>
      </c>
      <c r="AH175">
        <v>0.1087110784585652</v>
      </c>
      <c r="AI175">
        <v>9.7063626491304858E-2</v>
      </c>
    </row>
    <row r="176" spans="1:35">
      <c r="A176" t="s">
        <v>273</v>
      </c>
      <c r="D176" t="s">
        <v>252</v>
      </c>
      <c r="G176" s="55" t="s">
        <v>86</v>
      </c>
      <c r="H176">
        <f t="shared" ref="H176:AI176" si="70">6.81779*10^-35*EXP(4.06097*10^-2*H$1)</f>
        <v>32.540329171017895</v>
      </c>
      <c r="I176">
        <f t="shared" si="70"/>
        <v>33.888981011120102</v>
      </c>
      <c r="J176">
        <f t="shared" si="70"/>
        <v>35.293528468511106</v>
      </c>
      <c r="K176">
        <f t="shared" si="70"/>
        <v>36.756288167793777</v>
      </c>
      <c r="L176">
        <f t="shared" si="70"/>
        <v>38.279672747350311</v>
      </c>
      <c r="M176">
        <f t="shared" si="70"/>
        <v>39.866194838687562</v>
      </c>
      <c r="N176">
        <f t="shared" si="70"/>
        <v>41.518471210708888</v>
      </c>
      <c r="O176">
        <f t="shared" si="70"/>
        <v>43.239227085742392</v>
      </c>
      <c r="P176">
        <f t="shared" si="70"/>
        <v>45.031300634454404</v>
      </c>
      <c r="Q176">
        <f t="shared" si="70"/>
        <v>46.897647657057462</v>
      </c>
      <c r="R176">
        <f t="shared" si="70"/>
        <v>48.841346458527731</v>
      </c>
      <c r="S176">
        <f t="shared" si="70"/>
        <v>50.86560292588414</v>
      </c>
      <c r="T176">
        <f t="shared" si="70"/>
        <v>52.973755815898571</v>
      </c>
      <c r="U176">
        <f t="shared" si="70"/>
        <v>55.16928226195148</v>
      </c>
      <c r="V176">
        <f t="shared" si="70"/>
        <v>57.455803509128678</v>
      </c>
      <c r="W176">
        <f t="shared" si="70"/>
        <v>59.837090887012735</v>
      </c>
      <c r="X176">
        <f t="shared" si="70"/>
        <v>62.317072030012604</v>
      </c>
      <c r="Y176">
        <f t="shared" si="70"/>
        <v>64.899837355506378</v>
      </c>
      <c r="Z176">
        <f t="shared" si="70"/>
        <v>67.589646810469205</v>
      </c>
      <c r="AA176">
        <f t="shared" si="70"/>
        <v>70.390936897724529</v>
      </c>
      <c r="AB176">
        <f t="shared" si="70"/>
        <v>73.308327993392567</v>
      </c>
      <c r="AC176">
        <f t="shared" si="70"/>
        <v>76.346631967622983</v>
      </c>
      <c r="AD176">
        <f t="shared" si="70"/>
        <v>79.510860121173664</v>
      </c>
      <c r="AE176">
        <f t="shared" si="70"/>
        <v>82.806231450915362</v>
      </c>
      <c r="AF176">
        <f t="shared" si="70"/>
        <v>86.238181257914604</v>
      </c>
      <c r="AG176">
        <f t="shared" si="70"/>
        <v>89.812370112283716</v>
      </c>
      <c r="AH176">
        <f t="shared" si="70"/>
        <v>93.53469318957309</v>
      </c>
      <c r="AI176">
        <f t="shared" si="70"/>
        <v>97.411289994126008</v>
      </c>
    </row>
    <row r="177" spans="1:35">
      <c r="A177" t="s">
        <v>274</v>
      </c>
      <c r="D177" t="s">
        <v>252</v>
      </c>
      <c r="G177" s="55" t="s">
        <v>86</v>
      </c>
      <c r="H177">
        <f t="shared" ref="H177:AI177" si="71">6.05339*10^-32*EXP(3.76111*10^-2*H$1)</f>
        <v>67.030703115903776</v>
      </c>
      <c r="I177">
        <f t="shared" si="71"/>
        <v>69.599812257376001</v>
      </c>
      <c r="J177">
        <f t="shared" si="71"/>
        <v>72.267388541128554</v>
      </c>
      <c r="K177">
        <f t="shared" si="71"/>
        <v>75.037205951671098</v>
      </c>
      <c r="L177">
        <f t="shared" si="71"/>
        <v>77.913183120338246</v>
      </c>
      <c r="M177">
        <f t="shared" si="71"/>
        <v>80.899388869210497</v>
      </c>
      <c r="N177">
        <f t="shared" si="71"/>
        <v>84.00004796753602</v>
      </c>
      <c r="O177">
        <f t="shared" si="71"/>
        <v>87.219547108763123</v>
      </c>
      <c r="P177">
        <f t="shared" si="71"/>
        <v>90.562441116675018</v>
      </c>
      <c r="Q177">
        <f t="shared" si="71"/>
        <v>94.033459389369924</v>
      </c>
      <c r="R177">
        <f t="shared" si="71"/>
        <v>97.637512590242025</v>
      </c>
      <c r="S177">
        <f t="shared" si="71"/>
        <v>101.37969959538898</v>
      </c>
      <c r="T177">
        <f t="shared" si="71"/>
        <v>105.26531470731709</v>
      </c>
      <c r="U177">
        <f t="shared" si="71"/>
        <v>109.29985514510724</v>
      </c>
      <c r="V177">
        <f t="shared" si="71"/>
        <v>113.4890288216737</v>
      </c>
      <c r="W177">
        <f t="shared" si="71"/>
        <v>117.83876241910484</v>
      </c>
      <c r="X177">
        <f t="shared" si="71"/>
        <v>122.35520977349438</v>
      </c>
      <c r="Y177">
        <f t="shared" si="71"/>
        <v>127.0447605811656</v>
      </c>
      <c r="Z177">
        <f t="shared" si="71"/>
        <v>131.91404943855463</v>
      </c>
      <c r="AA177">
        <f t="shared" si="71"/>
        <v>136.96996522859698</v>
      </c>
      <c r="AB177">
        <f t="shared" si="71"/>
        <v>142.21966086683994</v>
      </c>
      <c r="AC177">
        <f t="shared" si="71"/>
        <v>147.67056342112821</v>
      </c>
      <c r="AD177">
        <f t="shared" si="71"/>
        <v>153.33038461911832</v>
      </c>
      <c r="AE177">
        <f t="shared" si="71"/>
        <v>159.20713175855147</v>
      </c>
      <c r="AF177">
        <f t="shared" si="71"/>
        <v>165.30911903565374</v>
      </c>
      <c r="AG177">
        <f t="shared" si="71"/>
        <v>171.64497930775966</v>
      </c>
      <c r="AH177">
        <f t="shared" si="71"/>
        <v>178.22367630673114</v>
      </c>
      <c r="AI177">
        <f t="shared" si="71"/>
        <v>185.05451732050787</v>
      </c>
    </row>
    <row r="178" spans="1:35">
      <c r="A178" t="s">
        <v>275</v>
      </c>
      <c r="D178" t="s">
        <v>252</v>
      </c>
      <c r="G178" s="55" t="s">
        <v>86</v>
      </c>
      <c r="H178">
        <f t="shared" ref="H178:AI178" si="72">5.30245*10^-31*EXP(3.82676*10^-2*H$1)</f>
        <v>2215.8378993582091</v>
      </c>
      <c r="I178">
        <f t="shared" si="72"/>
        <v>2302.2760397021066</v>
      </c>
      <c r="J178">
        <f t="shared" si="72"/>
        <v>2392.0860657368648</v>
      </c>
      <c r="K178">
        <f t="shared" si="72"/>
        <v>2485.3995121422777</v>
      </c>
      <c r="L178">
        <f t="shared" si="72"/>
        <v>2582.3530446653172</v>
      </c>
      <c r="M178">
        <f t="shared" si="72"/>
        <v>2683.0886602791325</v>
      </c>
      <c r="N178">
        <f t="shared" si="72"/>
        <v>2787.7538951501442</v>
      </c>
      <c r="O178">
        <f t="shared" si="72"/>
        <v>2896.5020407175748</v>
      </c>
      <c r="P178">
        <f t="shared" si="72"/>
        <v>3009.4923682024719</v>
      </c>
      <c r="Q178">
        <f t="shared" si="72"/>
        <v>3126.8903618742652</v>
      </c>
      <c r="R178">
        <f t="shared" si="72"/>
        <v>3248.8679614170624</v>
      </c>
      <c r="S178">
        <f t="shared" si="72"/>
        <v>3375.6038137504875</v>
      </c>
      <c r="T178">
        <f t="shared" si="72"/>
        <v>3507.2835346736069</v>
      </c>
      <c r="U178">
        <f t="shared" si="72"/>
        <v>3644.0999807158769</v>
      </c>
      <c r="V178">
        <f t="shared" si="72"/>
        <v>3786.2535315922955</v>
      </c>
      <c r="W178">
        <f t="shared" si="72"/>
        <v>3933.9523836771637</v>
      </c>
      <c r="X178">
        <f t="shared" si="72"/>
        <v>4087.4128549259799</v>
      </c>
      <c r="Y178">
        <f t="shared" si="72"/>
        <v>4246.8597016921667</v>
      </c>
      <c r="Z178">
        <f t="shared" si="72"/>
        <v>4412.5264479022726</v>
      </c>
      <c r="AA178">
        <f t="shared" si="72"/>
        <v>4584.6557270726526</v>
      </c>
      <c r="AB178">
        <f t="shared" si="72"/>
        <v>4763.4996376673498</v>
      </c>
      <c r="AC178">
        <f t="shared" si="72"/>
        <v>4949.3201123185208</v>
      </c>
      <c r="AD178">
        <f t="shared" si="72"/>
        <v>5142.389301449808</v>
      </c>
      <c r="AE178">
        <f t="shared" si="72"/>
        <v>5342.9899718646384</v>
      </c>
      <c r="AF178">
        <f t="shared" si="72"/>
        <v>5551.4159208827687</v>
      </c>
      <c r="AG178">
        <f t="shared" si="72"/>
        <v>5767.9724066327399</v>
      </c>
      <c r="AH178">
        <f t="shared" si="72"/>
        <v>5992.9765951289546</v>
      </c>
      <c r="AI178">
        <f t="shared" si="72"/>
        <v>6226.7580247892602</v>
      </c>
    </row>
    <row r="179" spans="1:35">
      <c r="A179" t="s">
        <v>276</v>
      </c>
      <c r="D179" t="s">
        <v>277</v>
      </c>
      <c r="G179" s="55" t="s">
        <v>86</v>
      </c>
      <c r="H179">
        <f t="shared" ref="H179:AI179" si="73">9.04932*10^-31*EXP(3.83456*10^-2*H$1)</f>
        <v>4427.9877792829802</v>
      </c>
      <c r="I179">
        <f t="shared" si="73"/>
        <v>4601.0790633264969</v>
      </c>
      <c r="J179">
        <f t="shared" si="73"/>
        <v>4780.9365342036826</v>
      </c>
      <c r="K179">
        <f t="shared" si="73"/>
        <v>4967.8246840553247</v>
      </c>
      <c r="L179">
        <f t="shared" si="73"/>
        <v>5162.0183440941637</v>
      </c>
      <c r="M179">
        <f t="shared" si="73"/>
        <v>5363.8030887621198</v>
      </c>
      <c r="N179">
        <f t="shared" si="73"/>
        <v>5573.4756556861312</v>
      </c>
      <c r="O179">
        <f t="shared" si="73"/>
        <v>5791.3443820501889</v>
      </c>
      <c r="P179">
        <f t="shared" si="73"/>
        <v>6017.7296580252723</v>
      </c>
      <c r="Q179">
        <f t="shared" si="73"/>
        <v>6252.9643979239927</v>
      </c>
      <c r="R179">
        <f t="shared" si="73"/>
        <v>6497.394529772896</v>
      </c>
      <c r="S179">
        <f t="shared" si="73"/>
        <v>6751.3795040218138</v>
      </c>
      <c r="T179">
        <f t="shared" si="73"/>
        <v>7015.2928221397433</v>
      </c>
      <c r="U179">
        <f t="shared" si="73"/>
        <v>7289.5225858727554</v>
      </c>
      <c r="V179">
        <f t="shared" si="73"/>
        <v>7574.4720679730081</v>
      </c>
      <c r="W179">
        <f t="shared" si="73"/>
        <v>7870.5603052376327</v>
      </c>
      <c r="X179">
        <f t="shared" si="73"/>
        <v>8178.2227147296735</v>
      </c>
      <c r="Y179">
        <f t="shared" si="73"/>
        <v>8497.9117340872726</v>
      </c>
      <c r="Z179">
        <f t="shared" si="73"/>
        <v>8830.0974868627291</v>
      </c>
      <c r="AA179">
        <f t="shared" si="73"/>
        <v>9175.2684738698317</v>
      </c>
      <c r="AB179">
        <f t="shared" si="73"/>
        <v>9533.9322915561806</v>
      </c>
      <c r="AC179">
        <f t="shared" si="73"/>
        <v>9906.6163784568525</v>
      </c>
      <c r="AD179">
        <f t="shared" si="73"/>
        <v>10293.868790827171</v>
      </c>
      <c r="AE179">
        <f t="shared" si="73"/>
        <v>10696.25900859518</v>
      </c>
      <c r="AF179">
        <f t="shared" si="73"/>
        <v>11114.378772819002</v>
      </c>
      <c r="AG179">
        <f t="shared" si="73"/>
        <v>11548.842955880675</v>
      </c>
      <c r="AH179">
        <f t="shared" si="73"/>
        <v>12000.290465696071</v>
      </c>
      <c r="AI179">
        <f t="shared" si="73"/>
        <v>12469.38518527067</v>
      </c>
    </row>
    <row r="180" spans="1:35">
      <c r="A180" t="s">
        <v>278</v>
      </c>
      <c r="D180" t="s">
        <v>279</v>
      </c>
      <c r="G180" s="55" t="s">
        <v>86</v>
      </c>
      <c r="H180">
        <f t="shared" ref="H180:AI180" si="74">1.92507*10^-75*EXP(8.56926*10^-2*H$1)</f>
        <v>3.7329923706109818</v>
      </c>
      <c r="I180">
        <f t="shared" si="74"/>
        <v>4.0669883246213381</v>
      </c>
      <c r="J180">
        <f t="shared" si="74"/>
        <v>4.4308673553221247</v>
      </c>
      <c r="K180">
        <f t="shared" si="74"/>
        <v>4.8273031426237596</v>
      </c>
      <c r="L180">
        <f t="shared" si="74"/>
        <v>5.2592085842506027</v>
      </c>
      <c r="M180">
        <f t="shared" si="74"/>
        <v>5.7297571988861957</v>
      </c>
      <c r="N180">
        <f t="shared" si="74"/>
        <v>6.2424064442895943</v>
      </c>
      <c r="O180">
        <f t="shared" si="74"/>
        <v>6.8009231217130894</v>
      </c>
      <c r="P180">
        <f t="shared" si="74"/>
        <v>7.4094110532905875</v>
      </c>
      <c r="Q180">
        <f t="shared" si="74"/>
        <v>8.0723412357582482</v>
      </c>
      <c r="R180">
        <f t="shared" si="74"/>
        <v>8.7945846920696642</v>
      </c>
      <c r="S180">
        <f t="shared" si="74"/>
        <v>9.5814482622925361</v>
      </c>
      <c r="T180">
        <f t="shared" si="74"/>
        <v>10.438713596762398</v>
      </c>
      <c r="U180">
        <f t="shared" si="74"/>
        <v>11.372679638011528</v>
      </c>
      <c r="V180">
        <f t="shared" si="74"/>
        <v>12.390208903609819</v>
      </c>
      <c r="W180">
        <f t="shared" si="74"/>
        <v>13.498777909999964</v>
      </c>
      <c r="X180">
        <f t="shared" si="74"/>
        <v>14.706532107816995</v>
      </c>
      <c r="Y180">
        <f t="shared" si="74"/>
        <v>16.022345732351766</v>
      </c>
      <c r="Z180">
        <f t="shared" si="74"/>
        <v>17.455887008913919</v>
      </c>
      <c r="AA180">
        <f t="shared" si="74"/>
        <v>19.01768919220768</v>
      </c>
      <c r="AB180">
        <f t="shared" si="74"/>
        <v>20.719227961703329</v>
      </c>
      <c r="AC180">
        <f t="shared" si="74"/>
        <v>22.573005741670915</v>
      </c>
      <c r="AD180">
        <f t="shared" si="74"/>
        <v>24.592643565452288</v>
      </c>
      <c r="AE180">
        <f t="shared" si="74"/>
        <v>26.792981158945825</v>
      </c>
      <c r="AF180">
        <f t="shared" si="74"/>
        <v>29.190185978708701</v>
      </c>
      <c r="AG180">
        <f t="shared" si="74"/>
        <v>31.80187200583628</v>
      </c>
      <c r="AH180">
        <f t="shared" si="74"/>
        <v>34.647229168504708</v>
      </c>
      <c r="AI180">
        <f t="shared" si="74"/>
        <v>37.747164344118303</v>
      </c>
    </row>
    <row r="181" spans="1:35">
      <c r="A181" s="79" t="s">
        <v>280</v>
      </c>
      <c r="B181" s="79"/>
      <c r="C181" s="79"/>
      <c r="D181" s="79" t="s">
        <v>281</v>
      </c>
      <c r="E181" s="79"/>
      <c r="F181" s="79"/>
      <c r="G181" s="173" t="s">
        <v>124</v>
      </c>
      <c r="H181" s="79">
        <f t="shared" ref="H181:AI181" si="75">0.540526672*EXP(0.233535753*(H$1-1988))</f>
        <v>1917.0446967850257</v>
      </c>
      <c r="I181" s="79">
        <f t="shared" si="75"/>
        <v>2421.3386122515844</v>
      </c>
      <c r="J181" s="79">
        <f t="shared" si="75"/>
        <v>3058.2910690672761</v>
      </c>
      <c r="K181" s="79">
        <f t="shared" si="75"/>
        <v>3862.798955838417</v>
      </c>
      <c r="L181" s="79">
        <f t="shared" si="75"/>
        <v>4878.9390663777031</v>
      </c>
      <c r="M181" s="79">
        <f t="shared" si="75"/>
        <v>6162.3829470720902</v>
      </c>
      <c r="N181" s="79">
        <f t="shared" si="75"/>
        <v>7783.4469891338194</v>
      </c>
      <c r="O181" s="79">
        <f t="shared" si="75"/>
        <v>9830.9448719736629</v>
      </c>
      <c r="P181" s="79">
        <f t="shared" si="75"/>
        <v>12417.053422566016</v>
      </c>
      <c r="Q181" s="79">
        <f t="shared" si="75"/>
        <v>15683.458477974822</v>
      </c>
      <c r="R181" s="79">
        <f t="shared" si="75"/>
        <v>19809.117466092837</v>
      </c>
      <c r="S181" s="79">
        <f t="shared" si="75"/>
        <v>25020.063995230114</v>
      </c>
      <c r="T181" s="79">
        <f t="shared" si="75"/>
        <v>31601.791619285272</v>
      </c>
      <c r="U181" s="79">
        <f t="shared" si="75"/>
        <v>39914.895251231988</v>
      </c>
      <c r="V181" s="79">
        <f t="shared" si="75"/>
        <v>50414.827175322396</v>
      </c>
      <c r="W181" s="79">
        <f t="shared" si="75"/>
        <v>63676.850036057076</v>
      </c>
      <c r="X181" s="79">
        <f t="shared" si="75"/>
        <v>80427.553910157236</v>
      </c>
      <c r="Y181" s="79">
        <f t="shared" si="75"/>
        <v>101584.66419598962</v>
      </c>
      <c r="Z181" s="79">
        <f t="shared" si="75"/>
        <v>128307.32128617838</v>
      </c>
      <c r="AA181" s="79">
        <f t="shared" si="75"/>
        <v>162059.5867095904</v>
      </c>
      <c r="AB181" s="79">
        <f t="shared" si="75"/>
        <v>204690.655071079</v>
      </c>
      <c r="AC181" s="79">
        <f t="shared" si="75"/>
        <v>258536.16638248513</v>
      </c>
      <c r="AD181" s="79">
        <f t="shared" si="75"/>
        <v>326546.16941130726</v>
      </c>
      <c r="AE181" s="79">
        <f t="shared" si="75"/>
        <v>412446.74681005155</v>
      </c>
      <c r="AF181" s="79">
        <f t="shared" si="75"/>
        <v>520944.15702646517</v>
      </c>
      <c r="AG181" s="79">
        <f t="shared" si="75"/>
        <v>657982.6773733705</v>
      </c>
      <c r="AH181" s="79">
        <f t="shared" si="75"/>
        <v>831070.27477694617</v>
      </c>
      <c r="AI181" s="79">
        <f t="shared" si="75"/>
        <v>1049689.9468158879</v>
      </c>
    </row>
    <row r="182" spans="1:35">
      <c r="A182" t="s">
        <v>282</v>
      </c>
      <c r="D182" t="s">
        <v>283</v>
      </c>
      <c r="G182" s="55" t="s">
        <v>124</v>
      </c>
      <c r="H182">
        <f t="shared" ref="H182:AI182" si="76">0.511445*EXP(0.39039*(H$1-1988))</f>
        <v>439386.52592375438</v>
      </c>
      <c r="I182">
        <f t="shared" si="76"/>
        <v>649218.60576979618</v>
      </c>
      <c r="J182">
        <f t="shared" si="76"/>
        <v>959257.449216404</v>
      </c>
      <c r="K182">
        <f t="shared" si="76"/>
        <v>1417357.490526763</v>
      </c>
      <c r="L182">
        <f t="shared" si="76"/>
        <v>2094226.380616955</v>
      </c>
      <c r="M182">
        <f t="shared" si="76"/>
        <v>3094338.6990123498</v>
      </c>
      <c r="N182">
        <f t="shared" si="76"/>
        <v>4572061.5845669387</v>
      </c>
      <c r="O182">
        <f t="shared" si="76"/>
        <v>6755481.2728628572</v>
      </c>
      <c r="P182">
        <f t="shared" si="76"/>
        <v>9981608.1616327167</v>
      </c>
      <c r="Q182">
        <f t="shared" si="76"/>
        <v>14748394.299100814</v>
      </c>
      <c r="R182">
        <f t="shared" si="76"/>
        <v>21791592.184296872</v>
      </c>
      <c r="S182">
        <f t="shared" si="76"/>
        <v>32198318.019993592</v>
      </c>
      <c r="T182">
        <f t="shared" si="76"/>
        <v>47574847.88393379</v>
      </c>
      <c r="U182">
        <f t="shared" si="76"/>
        <v>70294546.12424162</v>
      </c>
      <c r="V182">
        <f t="shared" si="76"/>
        <v>103864193.67789163</v>
      </c>
      <c r="W182">
        <f t="shared" si="76"/>
        <v>153465259.01585323</v>
      </c>
      <c r="X182">
        <f t="shared" si="76"/>
        <v>226753656.77840984</v>
      </c>
      <c r="Y182">
        <f t="shared" si="76"/>
        <v>335041436.68808717</v>
      </c>
      <c r="Z182">
        <f t="shared" si="76"/>
        <v>495042796.19055557</v>
      </c>
      <c r="AA182">
        <f t="shared" si="76"/>
        <v>731453913.52984738</v>
      </c>
      <c r="AB182">
        <f t="shared" si="76"/>
        <v>1080764797.9836144</v>
      </c>
      <c r="AC182">
        <f t="shared" si="76"/>
        <v>1596891515.5895188</v>
      </c>
      <c r="AD182">
        <f t="shared" si="76"/>
        <v>2359498123.2914405</v>
      </c>
      <c r="AE182">
        <f t="shared" si="76"/>
        <v>3486292800.3976483</v>
      </c>
      <c r="AF182">
        <f t="shared" si="76"/>
        <v>5151196082.8134174</v>
      </c>
      <c r="AG182">
        <f t="shared" si="76"/>
        <v>7611185463.414238</v>
      </c>
      <c r="AH182">
        <f t="shared" si="76"/>
        <v>11245959817.326275</v>
      </c>
      <c r="AI182">
        <f t="shared" si="76"/>
        <v>16616545848.323658</v>
      </c>
    </row>
    <row r="183" spans="1:35">
      <c r="A183" t="s">
        <v>284</v>
      </c>
      <c r="D183" t="s">
        <v>285</v>
      </c>
      <c r="G183" s="55" t="s">
        <v>124</v>
      </c>
      <c r="H183">
        <f t="shared" ref="H183:AI183" si="77">35230.9*EXP(-0.364591*(H$1-1988))</f>
        <v>0.10116462054792066</v>
      </c>
      <c r="I183">
        <f t="shared" si="77"/>
        <v>7.0256869956001486E-2</v>
      </c>
      <c r="J183">
        <f t="shared" si="77"/>
        <v>4.8792035686787839E-2</v>
      </c>
      <c r="K183">
        <f t="shared" si="77"/>
        <v>3.3885123945198208E-2</v>
      </c>
      <c r="L183">
        <f t="shared" si="77"/>
        <v>2.353256240735942E-2</v>
      </c>
      <c r="M183">
        <f t="shared" si="77"/>
        <v>1.6342908892760358E-2</v>
      </c>
      <c r="N183">
        <f t="shared" si="77"/>
        <v>1.134983375178629E-2</v>
      </c>
      <c r="O183">
        <f t="shared" si="77"/>
        <v>7.8822397553872312E-3</v>
      </c>
      <c r="P183">
        <f t="shared" si="77"/>
        <v>5.474062873531413E-3</v>
      </c>
      <c r="Q183">
        <f t="shared" si="77"/>
        <v>3.801630662515021E-3</v>
      </c>
      <c r="R183">
        <f t="shared" si="77"/>
        <v>2.6401588779799453E-3</v>
      </c>
      <c r="S183">
        <f t="shared" si="77"/>
        <v>1.8335392150811761E-3</v>
      </c>
      <c r="T183">
        <f t="shared" si="77"/>
        <v>1.2733574790819962E-3</v>
      </c>
      <c r="U183">
        <f t="shared" si="77"/>
        <v>8.8432211113754176E-4</v>
      </c>
      <c r="V183">
        <f t="shared" si="77"/>
        <v>6.1414458162255313E-4</v>
      </c>
      <c r="W183">
        <f t="shared" si="77"/>
        <v>4.2651151925983708E-4</v>
      </c>
      <c r="X183">
        <f t="shared" si="77"/>
        <v>2.9620399089205947E-4</v>
      </c>
      <c r="Y183">
        <f t="shared" si="77"/>
        <v>2.0570793579653048E-4</v>
      </c>
      <c r="Z183">
        <f t="shared" si="77"/>
        <v>1.4286017795448968E-4</v>
      </c>
      <c r="AA183">
        <f t="shared" si="77"/>
        <v>9.9213627156199451E-5</v>
      </c>
      <c r="AB183">
        <f t="shared" si="77"/>
        <v>6.8901942825698478E-5</v>
      </c>
      <c r="AC183">
        <f t="shared" si="77"/>
        <v>4.7851065032442674E-5</v>
      </c>
      <c r="AD183">
        <f t="shared" si="77"/>
        <v>3.323163804729546E-5</v>
      </c>
      <c r="AE183">
        <f t="shared" si="77"/>
        <v>2.3078729105772751E-5</v>
      </c>
      <c r="AF183">
        <f t="shared" si="77"/>
        <v>1.6027730453118243E-5</v>
      </c>
      <c r="AG183">
        <f t="shared" si="77"/>
        <v>1.1130948428765852E-5</v>
      </c>
      <c r="AH183">
        <f t="shared" si="77"/>
        <v>7.7302281371808492E-6</v>
      </c>
      <c r="AI183">
        <f t="shared" si="77"/>
        <v>5.3684937483344553E-6</v>
      </c>
    </row>
    <row r="184" spans="1:35">
      <c r="A184" t="s">
        <v>286</v>
      </c>
      <c r="D184" t="s">
        <v>287</v>
      </c>
      <c r="G184" s="55" t="s">
        <v>124</v>
      </c>
      <c r="H184">
        <f t="shared" ref="H184:AI184" si="78">13835*EXP(-0.37548*(H$1-1988))</f>
        <v>2.7137381572174574E-2</v>
      </c>
      <c r="I184">
        <f t="shared" si="78"/>
        <v>1.8642280966217083E-2</v>
      </c>
      <c r="J184">
        <f t="shared" si="78"/>
        <v>1.2806491248946649E-2</v>
      </c>
      <c r="K184">
        <f t="shared" si="78"/>
        <v>8.7975403013479773E-3</v>
      </c>
      <c r="L184">
        <f t="shared" si="78"/>
        <v>6.0435535268263041E-3</v>
      </c>
      <c r="M184">
        <f t="shared" si="78"/>
        <v>4.1516762618317707E-3</v>
      </c>
      <c r="N184">
        <f t="shared" si="78"/>
        <v>2.8520332791871399E-3</v>
      </c>
      <c r="O184">
        <f t="shared" si="78"/>
        <v>1.9592312388061993E-3</v>
      </c>
      <c r="P184">
        <f t="shared" si="78"/>
        <v>1.3459124320625408E-3</v>
      </c>
      <c r="Q184">
        <f t="shared" si="78"/>
        <v>9.2458727632593266E-4</v>
      </c>
      <c r="R184">
        <f t="shared" si="78"/>
        <v>6.3515397523580016E-4</v>
      </c>
      <c r="S184">
        <f t="shared" si="78"/>
        <v>4.3632503127333423E-4</v>
      </c>
      <c r="T184">
        <f t="shared" si="78"/>
        <v>2.9973760747541237E-4</v>
      </c>
      <c r="U184">
        <f t="shared" si="78"/>
        <v>2.0590758470330066E-4</v>
      </c>
      <c r="V184">
        <f t="shared" si="78"/>
        <v>1.4145016301241034E-4</v>
      </c>
      <c r="W184">
        <f t="shared" si="78"/>
        <v>9.7170527472642096E-5</v>
      </c>
      <c r="X184">
        <f t="shared" si="78"/>
        <v>6.6752212993088187E-5</v>
      </c>
      <c r="Y184">
        <f t="shared" si="78"/>
        <v>4.5856064131473938E-5</v>
      </c>
      <c r="Z184">
        <f t="shared" si="78"/>
        <v>3.1501257012221938E-5</v>
      </c>
      <c r="AA184">
        <f t="shared" si="78"/>
        <v>2.1640086478092712E-5</v>
      </c>
      <c r="AB184">
        <f t="shared" si="78"/>
        <v>1.4865862101872362E-5</v>
      </c>
      <c r="AC184">
        <f t="shared" si="78"/>
        <v>1.0212244588560566E-5</v>
      </c>
      <c r="AD184">
        <f t="shared" si="78"/>
        <v>7.0153980187566249E-6</v>
      </c>
      <c r="AE184">
        <f t="shared" si="78"/>
        <v>4.8192940283377439E-6</v>
      </c>
      <c r="AF184">
        <f t="shared" si="78"/>
        <v>3.3106596189517738E-6</v>
      </c>
      <c r="AG184">
        <f t="shared" si="78"/>
        <v>2.2742889411000134E-6</v>
      </c>
      <c r="AH184">
        <f t="shared" si="78"/>
        <v>1.5623443008156574E-6</v>
      </c>
      <c r="AI184">
        <f t="shared" si="78"/>
        <v>1.0732671958166216E-6</v>
      </c>
    </row>
    <row r="185" spans="1:35">
      <c r="A185" s="80" t="s">
        <v>288</v>
      </c>
      <c r="B185" s="80"/>
      <c r="C185" s="80"/>
      <c r="D185" s="80" t="s">
        <v>289</v>
      </c>
      <c r="E185" s="80"/>
      <c r="F185" s="80"/>
      <c r="G185" s="174" t="s">
        <v>124</v>
      </c>
      <c r="H185" s="80">
        <f t="shared" ref="H185:AI185" si="79">H184*H182/10000</f>
        <v>1.1923799811665099</v>
      </c>
      <c r="I185" s="80">
        <f t="shared" si="79"/>
        <v>1.2102915657256264</v>
      </c>
      <c r="J185" s="80">
        <f t="shared" si="79"/>
        <v>1.2284722128876764</v>
      </c>
      <c r="K185" s="80">
        <f t="shared" si="79"/>
        <v>1.2469259644326631</v>
      </c>
      <c r="L185" s="80">
        <f t="shared" si="79"/>
        <v>1.2656569228550285</v>
      </c>
      <c r="M185" s="80">
        <f t="shared" si="79"/>
        <v>1.2846692522756977</v>
      </c>
      <c r="N185" s="80">
        <f t="shared" si="79"/>
        <v>1.3039671793677996</v>
      </c>
      <c r="O185" s="80">
        <f t="shared" si="79"/>
        <v>1.3235549942963176</v>
      </c>
      <c r="P185" s="80">
        <f t="shared" si="79"/>
        <v>1.3434370516718397</v>
      </c>
      <c r="Q185" s="80">
        <f t="shared" si="79"/>
        <v>1.3636177715186535</v>
      </c>
      <c r="R185" s="80">
        <f t="shared" si="79"/>
        <v>1.3841016402573552</v>
      </c>
      <c r="S185" s="80">
        <f t="shared" si="79"/>
        <v>1.4048932117022466</v>
      </c>
      <c r="T185" s="80">
        <f t="shared" si="79"/>
        <v>1.4259971080736999</v>
      </c>
      <c r="U185" s="80">
        <f t="shared" si="79"/>
        <v>1.4474180210257357</v>
      </c>
      <c r="V185" s="80">
        <f t="shared" si="79"/>
        <v>1.4691607126890331</v>
      </c>
      <c r="W185" s="80">
        <f t="shared" si="79"/>
        <v>1.4912300167296102</v>
      </c>
      <c r="X185" s="80">
        <f t="shared" si="79"/>
        <v>1.5136308394234028</v>
      </c>
      <c r="Y185" s="80">
        <f t="shared" si="79"/>
        <v>1.536368160747009</v>
      </c>
      <c r="Z185" s="80">
        <f t="shared" si="79"/>
        <v>1.5594470354847696</v>
      </c>
      <c r="AA185" s="80">
        <f t="shared" si="79"/>
        <v>1.5828725943525246</v>
      </c>
      <c r="AB185" s="80">
        <f t="shared" si="79"/>
        <v>1.6066500451382353</v>
      </c>
      <c r="AC185" s="80">
        <f t="shared" si="79"/>
        <v>1.6307846738597345</v>
      </c>
      <c r="AD185" s="80">
        <f t="shared" si="79"/>
        <v>1.6552818459398746</v>
      </c>
      <c r="AE185" s="80">
        <f t="shared" si="79"/>
        <v>1.6801470073993257</v>
      </c>
      <c r="AF185" s="80">
        <f t="shared" si="79"/>
        <v>1.7053856860672938</v>
      </c>
      <c r="AG185" s="80">
        <f t="shared" si="79"/>
        <v>1.7310034928104181</v>
      </c>
      <c r="AH185" s="80">
        <f t="shared" si="79"/>
        <v>1.7570061227801599</v>
      </c>
      <c r="AI185" s="80">
        <f t="shared" si="79"/>
        <v>1.7833993566788657</v>
      </c>
    </row>
    <row r="186" spans="1:35">
      <c r="A186" s="81" t="s">
        <v>290</v>
      </c>
      <c r="B186" s="81"/>
      <c r="C186" s="81"/>
      <c r="D186" s="81" t="s">
        <v>291</v>
      </c>
      <c r="E186" s="81"/>
      <c r="F186" s="81"/>
      <c r="G186" s="175" t="s">
        <v>292</v>
      </c>
      <c r="H186" s="81">
        <f t="shared" ref="H186:AI186" si="80">5.96632*10^-222*EXP(2.53208*10^-1*H$1)</f>
        <v>17.322802154405231</v>
      </c>
      <c r="I186" s="81">
        <f t="shared" si="80"/>
        <v>22.314388112628837</v>
      </c>
      <c r="J186" s="81">
        <f t="shared" si="80"/>
        <v>28.744305476836828</v>
      </c>
      <c r="K186" s="81">
        <f t="shared" si="80"/>
        <v>37.02701114525285</v>
      </c>
      <c r="L186" s="81">
        <f t="shared" si="80"/>
        <v>47.696388262201097</v>
      </c>
      <c r="M186" s="81">
        <f t="shared" si="80"/>
        <v>61.440159032396018</v>
      </c>
      <c r="N186" s="81">
        <f t="shared" si="80"/>
        <v>79.144213628386581</v>
      </c>
      <c r="O186" s="81">
        <f t="shared" si="80"/>
        <v>101.94971252521725</v>
      </c>
      <c r="P186" s="81">
        <f t="shared" si="80"/>
        <v>131.32664294039233</v>
      </c>
      <c r="Q186" s="81">
        <f t="shared" si="80"/>
        <v>169.16857064925352</v>
      </c>
      <c r="R186" s="81">
        <f t="shared" si="80"/>
        <v>217.91469464806818</v>
      </c>
      <c r="S186" s="81">
        <f t="shared" si="80"/>
        <v>280.70707201294039</v>
      </c>
      <c r="T186" s="81">
        <f t="shared" si="80"/>
        <v>361.59314728786546</v>
      </c>
      <c r="U186" s="81">
        <f t="shared" si="80"/>
        <v>465.78664095615119</v>
      </c>
      <c r="V186" s="81">
        <f t="shared" si="80"/>
        <v>600.00361323356117</v>
      </c>
      <c r="W186" s="81">
        <f t="shared" si="80"/>
        <v>772.89536504173873</v>
      </c>
      <c r="X186" s="81">
        <f t="shared" si="80"/>
        <v>995.60607990938843</v>
      </c>
      <c r="Y186" s="81">
        <f t="shared" si="80"/>
        <v>1282.4911510486415</v>
      </c>
      <c r="Z186" s="81">
        <f t="shared" si="80"/>
        <v>1652.0424952283975</v>
      </c>
      <c r="AA186" s="81">
        <f t="shared" si="80"/>
        <v>2128.0804969369078</v>
      </c>
      <c r="AB186" s="81">
        <f t="shared" si="80"/>
        <v>2741.2894126652709</v>
      </c>
      <c r="AC186" s="81">
        <f t="shared" si="80"/>
        <v>3531.1952037561928</v>
      </c>
      <c r="AD186" s="81">
        <f t="shared" si="80"/>
        <v>4548.7132841282855</v>
      </c>
      <c r="AE186" s="81">
        <f t="shared" si="80"/>
        <v>5859.4304045265826</v>
      </c>
      <c r="AF186" s="81">
        <f t="shared" si="80"/>
        <v>7547.8322156034101</v>
      </c>
      <c r="AG186" s="81">
        <f t="shared" si="80"/>
        <v>9722.7490083148441</v>
      </c>
      <c r="AH186" s="81">
        <f t="shared" si="80"/>
        <v>12524.370650855803</v>
      </c>
      <c r="AI186" s="81">
        <f t="shared" si="80"/>
        <v>16133.282887984918</v>
      </c>
    </row>
    <row r="187" spans="1:35">
      <c r="A187" t="s">
        <v>293</v>
      </c>
      <c r="D187" t="s">
        <v>294</v>
      </c>
      <c r="G187" s="55" t="s">
        <v>295</v>
      </c>
      <c r="H187">
        <v>1206290.831289948</v>
      </c>
      <c r="I187">
        <f t="shared" ref="I187:AI187" si="81">H187*3.1</f>
        <v>3739501.5769988387</v>
      </c>
      <c r="J187">
        <f t="shared" si="81"/>
        <v>11592454.8886964</v>
      </c>
      <c r="K187">
        <f t="shared" si="81"/>
        <v>35936610.154958844</v>
      </c>
      <c r="L187">
        <f t="shared" si="81"/>
        <v>111403491.48037241</v>
      </c>
      <c r="M187">
        <f t="shared" si="81"/>
        <v>345350823.58915448</v>
      </c>
      <c r="N187">
        <f t="shared" si="81"/>
        <v>1070587553.1263789</v>
      </c>
      <c r="O187">
        <f t="shared" si="81"/>
        <v>3318821414.6917748</v>
      </c>
      <c r="P187">
        <f t="shared" si="81"/>
        <v>10288346385.544502</v>
      </c>
      <c r="Q187">
        <f t="shared" si="81"/>
        <v>31893873795.187958</v>
      </c>
      <c r="R187">
        <f t="shared" si="81"/>
        <v>98871008765.082672</v>
      </c>
      <c r="S187">
        <f t="shared" si="81"/>
        <v>306500127171.75629</v>
      </c>
      <c r="T187">
        <f t="shared" si="81"/>
        <v>950150394232.44446</v>
      </c>
      <c r="U187">
        <f t="shared" si="81"/>
        <v>2945466222120.5781</v>
      </c>
      <c r="V187">
        <f t="shared" si="81"/>
        <v>9130945288573.793</v>
      </c>
      <c r="W187">
        <f t="shared" si="81"/>
        <v>28305930394578.758</v>
      </c>
      <c r="X187">
        <f t="shared" si="81"/>
        <v>87748384223194.156</v>
      </c>
      <c r="Y187">
        <f t="shared" si="81"/>
        <v>272019991091901.91</v>
      </c>
      <c r="Z187">
        <f t="shared" si="81"/>
        <v>843261972384895.88</v>
      </c>
      <c r="AA187">
        <f t="shared" si="81"/>
        <v>2614112114393177.5</v>
      </c>
      <c r="AB187">
        <f t="shared" si="81"/>
        <v>8103747554618850</v>
      </c>
      <c r="AC187">
        <f t="shared" si="81"/>
        <v>2.5121617419318436E+16</v>
      </c>
      <c r="AD187">
        <f t="shared" si="81"/>
        <v>7.7877013999887152E+16</v>
      </c>
      <c r="AE187">
        <f t="shared" si="81"/>
        <v>2.4141874339965018E+17</v>
      </c>
      <c r="AF187">
        <f t="shared" si="81"/>
        <v>7.4839810453891558E+17</v>
      </c>
      <c r="AG187">
        <f t="shared" si="81"/>
        <v>2.3200341240706386E+18</v>
      </c>
      <c r="AH187">
        <f t="shared" si="81"/>
        <v>7.1921057846189804E+18</v>
      </c>
      <c r="AI187">
        <f t="shared" si="81"/>
        <v>2.2295527932318839E+19</v>
      </c>
    </row>
    <row r="188" spans="1:35">
      <c r="A188" t="s">
        <v>296</v>
      </c>
      <c r="D188" t="s">
        <v>294</v>
      </c>
      <c r="G188" s="55" t="s">
        <v>295</v>
      </c>
      <c r="H188">
        <v>6074.6091146647595</v>
      </c>
      <c r="I188">
        <f>H188*1.6</f>
        <v>9719.3745834636156</v>
      </c>
      <c r="J188">
        <f t="shared" ref="J188:AI188" si="82">I188*1.6</f>
        <v>15550.999333541786</v>
      </c>
      <c r="K188">
        <f t="shared" si="82"/>
        <v>24881.598933666857</v>
      </c>
      <c r="L188">
        <f t="shared" si="82"/>
        <v>39810.558293866976</v>
      </c>
      <c r="M188">
        <f t="shared" si="82"/>
        <v>63696.893270187167</v>
      </c>
      <c r="N188">
        <f t="shared" si="82"/>
        <v>101915.02923229948</v>
      </c>
      <c r="O188">
        <f t="shared" si="82"/>
        <v>163064.04677167919</v>
      </c>
      <c r="P188">
        <f t="shared" si="82"/>
        <v>260902.47483468673</v>
      </c>
      <c r="Q188">
        <f t="shared" si="82"/>
        <v>417443.95973549876</v>
      </c>
      <c r="R188">
        <f t="shared" si="82"/>
        <v>667910.33557679807</v>
      </c>
      <c r="S188">
        <f t="shared" si="82"/>
        <v>1068656.536922877</v>
      </c>
      <c r="T188">
        <f t="shared" si="82"/>
        <v>1709850.4590766032</v>
      </c>
      <c r="U188">
        <f t="shared" si="82"/>
        <v>2735760.7345225653</v>
      </c>
      <c r="V188">
        <f t="shared" si="82"/>
        <v>4377217.175236105</v>
      </c>
      <c r="W188">
        <f t="shared" si="82"/>
        <v>7003547.4803777682</v>
      </c>
      <c r="X188">
        <f t="shared" si="82"/>
        <v>11205675.968604431</v>
      </c>
      <c r="Y188">
        <f t="shared" si="82"/>
        <v>17929081.549767088</v>
      </c>
      <c r="Z188">
        <f t="shared" si="82"/>
        <v>28686530.479627341</v>
      </c>
      <c r="AA188">
        <f t="shared" si="82"/>
        <v>45898448.767403752</v>
      </c>
      <c r="AB188">
        <f t="shared" si="82"/>
        <v>73437518.027846009</v>
      </c>
      <c r="AC188">
        <f t="shared" si="82"/>
        <v>117500028.84455362</v>
      </c>
      <c r="AD188">
        <f t="shared" si="82"/>
        <v>188000046.1512858</v>
      </c>
      <c r="AE188">
        <f t="shared" si="82"/>
        <v>300800073.84205729</v>
      </c>
      <c r="AF188">
        <f t="shared" si="82"/>
        <v>481280118.14729166</v>
      </c>
      <c r="AG188">
        <f t="shared" si="82"/>
        <v>770048189.0356667</v>
      </c>
      <c r="AH188">
        <f t="shared" si="82"/>
        <v>1232077102.4570668</v>
      </c>
      <c r="AI188">
        <f t="shared" si="82"/>
        <v>1971323363.9313068</v>
      </c>
    </row>
    <row r="189" spans="1:35" s="83" customFormat="1">
      <c r="A189" s="82" t="s">
        <v>297</v>
      </c>
      <c r="B189" s="82"/>
      <c r="C189" s="82"/>
      <c r="D189" s="82" t="s">
        <v>31</v>
      </c>
      <c r="E189" s="82"/>
      <c r="F189" s="82"/>
      <c r="G189" s="173" t="s">
        <v>298</v>
      </c>
      <c r="H189" s="82">
        <f t="shared" ref="H189:AI189" si="83">8.76717*10^-206*EXP(0.236984*H$1)</f>
        <v>1418.1619440678085</v>
      </c>
      <c r="I189" s="82">
        <f t="shared" si="83"/>
        <v>1797.408000817602</v>
      </c>
      <c r="J189" s="82">
        <f t="shared" si="83"/>
        <v>2278.0723562052208</v>
      </c>
      <c r="K189" s="82">
        <f t="shared" si="83"/>
        <v>2887.2763767301371</v>
      </c>
      <c r="L189" s="82">
        <f t="shared" si="83"/>
        <v>3659.394247472469</v>
      </c>
      <c r="M189" s="82">
        <f t="shared" si="83"/>
        <v>4637.9925269228834</v>
      </c>
      <c r="N189" s="82">
        <f t="shared" si="83"/>
        <v>5878.2883791900995</v>
      </c>
      <c r="O189" s="82">
        <f t="shared" si="83"/>
        <v>7450.2651887295506</v>
      </c>
      <c r="P189" s="82">
        <f t="shared" si="83"/>
        <v>9442.6213553753823</v>
      </c>
      <c r="Q189" s="82">
        <f t="shared" si="83"/>
        <v>11967.775079452664</v>
      </c>
      <c r="R189" s="82">
        <f t="shared" si="83"/>
        <v>15168.207530722739</v>
      </c>
      <c r="S189" s="82">
        <f t="shared" si="83"/>
        <v>19224.502312889075</v>
      </c>
      <c r="T189" s="82">
        <f t="shared" si="83"/>
        <v>24365.534848445437</v>
      </c>
      <c r="U189" s="82">
        <f t="shared" si="83"/>
        <v>30881.38661736605</v>
      </c>
      <c r="V189" s="82">
        <f t="shared" si="83"/>
        <v>39139.71293234855</v>
      </c>
      <c r="W189" s="82">
        <f t="shared" si="83"/>
        <v>49606.487798225469</v>
      </c>
      <c r="X189" s="82">
        <f t="shared" si="83"/>
        <v>62872.29637909952</v>
      </c>
      <c r="Y189" s="82">
        <f t="shared" si="83"/>
        <v>79685.658619087626</v>
      </c>
      <c r="Z189" s="82">
        <f t="shared" si="83"/>
        <v>100995.26429368061</v>
      </c>
      <c r="AA189" s="82">
        <f t="shared" si="83"/>
        <v>128003.50259396757</v>
      </c>
      <c r="AB189" s="82">
        <f t="shared" si="83"/>
        <v>162234.30663717847</v>
      </c>
      <c r="AC189" s="82">
        <f t="shared" si="83"/>
        <v>205619.14101313771</v>
      </c>
      <c r="AD189" s="82">
        <f t="shared" si="83"/>
        <v>260605.98419258185</v>
      </c>
      <c r="AE189" s="82">
        <f t="shared" si="83"/>
        <v>330297.4551024161</v>
      </c>
      <c r="AF189" s="82">
        <f t="shared" si="83"/>
        <v>418625.87762571423</v>
      </c>
      <c r="AG189" s="82">
        <f t="shared" si="83"/>
        <v>530575.16099710797</v>
      </c>
      <c r="AH189" s="82">
        <f t="shared" si="83"/>
        <v>672462.01563965436</v>
      </c>
      <c r="AI189" s="82">
        <f t="shared" si="83"/>
        <v>852292.37197670399</v>
      </c>
    </row>
    <row r="190" spans="1:35" s="83" customFormat="1">
      <c r="A190" s="83" t="s">
        <v>299</v>
      </c>
      <c r="D190" s="83" t="s">
        <v>31</v>
      </c>
      <c r="G190" s="55" t="s">
        <v>298</v>
      </c>
      <c r="H190" s="83">
        <f t="shared" ref="H190:AI190" si="84">3.65678*10^-159*EXP(0.182205*H$1)</f>
        <v>44.091551701428202</v>
      </c>
      <c r="I190" s="83">
        <f t="shared" si="84"/>
        <v>52.90369539721236</v>
      </c>
      <c r="J190" s="83">
        <f t="shared" si="84"/>
        <v>63.477035365723566</v>
      </c>
      <c r="K190" s="83">
        <f t="shared" si="84"/>
        <v>76.163564540590428</v>
      </c>
      <c r="L190" s="83">
        <f t="shared" si="84"/>
        <v>91.385625212437958</v>
      </c>
      <c r="M190" s="83">
        <f t="shared" si="84"/>
        <v>109.64996906122271</v>
      </c>
      <c r="N190" s="83">
        <f t="shared" si="84"/>
        <v>131.56462722859408</v>
      </c>
      <c r="O190" s="83">
        <f t="shared" si="84"/>
        <v>157.85915204531742</v>
      </c>
      <c r="P190" s="83">
        <f t="shared" si="84"/>
        <v>189.40890427309833</v>
      </c>
      <c r="Q190" s="83">
        <f t="shared" si="84"/>
        <v>227.26419439803337</v>
      </c>
      <c r="R190" s="83">
        <f t="shared" si="84"/>
        <v>272.68524810701194</v>
      </c>
      <c r="S190" s="83">
        <f t="shared" si="84"/>
        <v>327.18415996913467</v>
      </c>
      <c r="T190" s="83">
        <f t="shared" si="84"/>
        <v>392.57523198575086</v>
      </c>
      <c r="U190" s="83">
        <f t="shared" si="84"/>
        <v>471.0353728102653</v>
      </c>
      <c r="V190" s="83">
        <f t="shared" si="84"/>
        <v>565.17656836424908</v>
      </c>
      <c r="W190" s="83">
        <f t="shared" si="84"/>
        <v>678.13283644125386</v>
      </c>
      <c r="X190" s="83">
        <f t="shared" si="84"/>
        <v>813.66456006980775</v>
      </c>
      <c r="Y190" s="83">
        <f t="shared" si="84"/>
        <v>976.28367295691191</v>
      </c>
      <c r="Z190" s="83">
        <f t="shared" si="84"/>
        <v>1171.4038645120784</v>
      </c>
      <c r="AA190" s="83">
        <f t="shared" si="84"/>
        <v>1405.5208048679438</v>
      </c>
      <c r="AB190" s="83">
        <f t="shared" si="84"/>
        <v>1686.4283896992929</v>
      </c>
      <c r="AC190" s="83">
        <f t="shared" si="84"/>
        <v>2023.4782037616035</v>
      </c>
      <c r="AD190" s="83">
        <f t="shared" si="84"/>
        <v>2427.8908408487882</v>
      </c>
      <c r="AE190" s="83">
        <f t="shared" si="84"/>
        <v>2913.1294442011113</v>
      </c>
      <c r="AF190" s="83">
        <f t="shared" si="84"/>
        <v>3495.3479027521457</v>
      </c>
      <c r="AG190" s="83">
        <f t="shared" si="84"/>
        <v>4193.9286239387511</v>
      </c>
      <c r="AH190" s="83">
        <f t="shared" si="84"/>
        <v>5032.1277858617841</v>
      </c>
      <c r="AI190" s="83">
        <f t="shared" si="84"/>
        <v>6037.8495496331643</v>
      </c>
    </row>
    <row r="191" spans="1:35" s="84" customFormat="1">
      <c r="A191" s="84" t="s">
        <v>300</v>
      </c>
      <c r="D191" s="84" t="s">
        <v>31</v>
      </c>
      <c r="G191" s="55" t="s">
        <v>298</v>
      </c>
      <c r="H191" s="84">
        <f t="shared" ref="H191:AI191" si="85">8.59309*10^-204*EXP(2.36299*10^-1*H$1)</f>
        <v>34768.824659319267</v>
      </c>
      <c r="I191" s="84">
        <f t="shared" si="85"/>
        <v>44036.557540770351</v>
      </c>
      <c r="J191" s="84">
        <f t="shared" si="85"/>
        <v>55774.631988366622</v>
      </c>
      <c r="K191" s="84">
        <f t="shared" si="85"/>
        <v>70641.524841214617</v>
      </c>
      <c r="L191" s="84">
        <f t="shared" si="85"/>
        <v>89471.231884282271</v>
      </c>
      <c r="M191" s="84">
        <f t="shared" si="85"/>
        <v>113320.05294173694</v>
      </c>
      <c r="N191" s="84">
        <f t="shared" si="85"/>
        <v>143525.84767499138</v>
      </c>
      <c r="O191" s="84">
        <f t="shared" si="85"/>
        <v>181783.08618878995</v>
      </c>
      <c r="P191" s="84">
        <f t="shared" si="85"/>
        <v>230237.90459784257</v>
      </c>
      <c r="Q191" s="84">
        <f t="shared" si="85"/>
        <v>291608.49793558638</v>
      </c>
      <c r="R191" s="84">
        <f t="shared" si="85"/>
        <v>369337.60414809146</v>
      </c>
      <c r="S191" s="84">
        <f t="shared" si="85"/>
        <v>467785.63314705557</v>
      </c>
      <c r="T191" s="84">
        <f t="shared" si="85"/>
        <v>592475.27498185274</v>
      </c>
      <c r="U191" s="84">
        <f t="shared" si="85"/>
        <v>750401.30904253584</v>
      </c>
      <c r="V191" s="84">
        <f t="shared" si="85"/>
        <v>950422.99382023502</v>
      </c>
      <c r="W191" s="84">
        <f t="shared" si="85"/>
        <v>1203761.0493174333</v>
      </c>
      <c r="X191" s="84">
        <f t="shared" si="85"/>
        <v>1524627.1115868699</v>
      </c>
      <c r="Y191" s="84">
        <f t="shared" si="85"/>
        <v>1931020.9702362777</v>
      </c>
      <c r="Z191" s="84">
        <f t="shared" si="85"/>
        <v>2445740.3119451255</v>
      </c>
      <c r="AA191" s="84">
        <f t="shared" si="85"/>
        <v>3097659.6140958485</v>
      </c>
      <c r="AB191" s="84">
        <f t="shared" si="85"/>
        <v>3923349.9312809631</v>
      </c>
      <c r="AC191" s="84">
        <f t="shared" si="85"/>
        <v>4969130.4406841062</v>
      </c>
      <c r="AD191" s="84">
        <f t="shared" si="85"/>
        <v>6293666.8329436686</v>
      </c>
      <c r="AE191" s="84">
        <f t="shared" si="85"/>
        <v>7971262.3117697332</v>
      </c>
      <c r="AF191" s="84">
        <f t="shared" si="85"/>
        <v>10096025.819232127</v>
      </c>
      <c r="AG191" s="84">
        <f t="shared" si="85"/>
        <v>12787151.313800646</v>
      </c>
      <c r="AH191" s="84">
        <f t="shared" si="85"/>
        <v>16195604.255543575</v>
      </c>
      <c r="AI191" s="84">
        <f t="shared" si="85"/>
        <v>20512590.393695351</v>
      </c>
    </row>
    <row r="192" spans="1:35" s="84" customFormat="1">
      <c r="A192" s="85" t="s">
        <v>301</v>
      </c>
      <c r="B192" s="85"/>
      <c r="C192" s="85"/>
      <c r="D192" s="85" t="s">
        <v>50</v>
      </c>
      <c r="E192" s="85"/>
      <c r="F192" s="85"/>
      <c r="G192" s="173" t="s">
        <v>302</v>
      </c>
      <c r="H192" s="85">
        <f t="shared" ref="H192:AI192" si="86">5.31816*10^-3*EXP(0.395997*(H$1-1985))</f>
        <v>18237.917772177607</v>
      </c>
      <c r="I192" s="85">
        <f t="shared" si="86"/>
        <v>27099.081136338529</v>
      </c>
      <c r="J192" s="85">
        <f t="shared" si="86"/>
        <v>40265.572397422664</v>
      </c>
      <c r="K192" s="85">
        <f t="shared" si="86"/>
        <v>59829.199091107941</v>
      </c>
      <c r="L192" s="85">
        <f t="shared" si="86"/>
        <v>88898.104528437267</v>
      </c>
      <c r="M192" s="85">
        <f t="shared" si="86"/>
        <v>132090.56963497805</v>
      </c>
      <c r="N192" s="85">
        <f t="shared" si="86"/>
        <v>196268.73575140821</v>
      </c>
      <c r="O192" s="85">
        <f t="shared" si="86"/>
        <v>291628.8175598543</v>
      </c>
      <c r="P192" s="85">
        <f t="shared" si="86"/>
        <v>433321.01216099202</v>
      </c>
      <c r="Q192" s="85">
        <f t="shared" si="86"/>
        <v>643856.46504803898</v>
      </c>
      <c r="R192" s="85">
        <f t="shared" si="86"/>
        <v>956683.69626658713</v>
      </c>
      <c r="S192" s="85">
        <f t="shared" si="86"/>
        <v>1421502.6863697157</v>
      </c>
      <c r="T192" s="85">
        <f t="shared" si="86"/>
        <v>2112160.8900014646</v>
      </c>
      <c r="U192" s="85">
        <f t="shared" si="86"/>
        <v>3138385.645014158</v>
      </c>
      <c r="V192" s="85">
        <f t="shared" si="86"/>
        <v>4663216.9468984297</v>
      </c>
      <c r="W192" s="85">
        <f t="shared" si="86"/>
        <v>6928910.1957202861</v>
      </c>
      <c r="X192" s="85">
        <f t="shared" si="86"/>
        <v>10295424.177570917</v>
      </c>
      <c r="Y192" s="85">
        <f t="shared" si="86"/>
        <v>15297609.003733492</v>
      </c>
      <c r="Z192" s="85">
        <f t="shared" si="86"/>
        <v>22730179.659904238</v>
      </c>
      <c r="AA192" s="85">
        <f t="shared" si="86"/>
        <v>33773975.217004798</v>
      </c>
      <c r="AB192" s="85">
        <f t="shared" si="86"/>
        <v>50183562.955773667</v>
      </c>
      <c r="AC192" s="85">
        <f t="shared" si="86"/>
        <v>74565992.743078932</v>
      </c>
      <c r="AD192" s="85">
        <f t="shared" si="86"/>
        <v>110794988.36423664</v>
      </c>
      <c r="AE192" s="85">
        <f t="shared" si="86"/>
        <v>164626379.86900222</v>
      </c>
      <c r="AF192" s="85">
        <f t="shared" si="86"/>
        <v>244612552.8681511</v>
      </c>
      <c r="AG192" s="85">
        <f t="shared" si="86"/>
        <v>363461196.60947669</v>
      </c>
      <c r="AH192" s="85">
        <f t="shared" si="86"/>
        <v>540054219.99744499</v>
      </c>
      <c r="AI192" s="85">
        <f t="shared" si="86"/>
        <v>802447587.96197784</v>
      </c>
    </row>
    <row r="193" spans="1:35" s="84" customFormat="1">
      <c r="A193" s="84" t="s">
        <v>303</v>
      </c>
      <c r="D193" s="84" t="s">
        <v>50</v>
      </c>
      <c r="G193" s="55" t="s">
        <v>302</v>
      </c>
      <c r="H193" s="84">
        <f t="shared" ref="H193:AI193" si="87">3.94624*10^-3*EXP(1.60373*10^-1*(H$1-1985))</f>
        <v>1.7492409445227159</v>
      </c>
      <c r="I193" s="84">
        <f t="shared" si="87"/>
        <v>2.0535190841655142</v>
      </c>
      <c r="J193" s="84">
        <f t="shared" si="87"/>
        <v>2.4107260021760881</v>
      </c>
      <c r="K193" s="84">
        <f t="shared" si="87"/>
        <v>2.830068589272233</v>
      </c>
      <c r="L193" s="84">
        <f t="shared" si="87"/>
        <v>3.3223552625871196</v>
      </c>
      <c r="M193" s="84">
        <f t="shared" si="87"/>
        <v>3.9002745490627175</v>
      </c>
      <c r="N193" s="84">
        <f t="shared" si="87"/>
        <v>4.5787221280546264</v>
      </c>
      <c r="O193" s="84">
        <f t="shared" si="87"/>
        <v>5.375184762563741</v>
      </c>
      <c r="P193" s="84">
        <f t="shared" si="87"/>
        <v>6.3101910147958904</v>
      </c>
      <c r="Q193" s="84">
        <f t="shared" si="87"/>
        <v>7.4078403630946088</v>
      </c>
      <c r="R193" s="84">
        <f t="shared" si="87"/>
        <v>8.6964243580618028</v>
      </c>
      <c r="S193" s="84">
        <f t="shared" si="87"/>
        <v>10.209155827960803</v>
      </c>
      <c r="T193" s="84">
        <f t="shared" si="87"/>
        <v>11.985024928431084</v>
      </c>
      <c r="U193" s="84">
        <f t="shared" si="87"/>
        <v>14.069804100914151</v>
      </c>
      <c r="V193" s="84">
        <f t="shared" si="87"/>
        <v>16.517227842263225</v>
      </c>
      <c r="W193" s="84">
        <f t="shared" si="87"/>
        <v>19.390377693710011</v>
      </c>
      <c r="X193" s="84">
        <f t="shared" si="87"/>
        <v>22.763308146823285</v>
      </c>
      <c r="Y193" s="84">
        <f t="shared" si="87"/>
        <v>26.722955373650009</v>
      </c>
      <c r="Z193" s="84">
        <f t="shared" si="87"/>
        <v>31.371377977930152</v>
      </c>
      <c r="AA193" s="84">
        <f t="shared" si="87"/>
        <v>36.828387522009947</v>
      </c>
      <c r="AB193" s="84">
        <f t="shared" si="87"/>
        <v>43.234636630419061</v>
      </c>
      <c r="AC193" s="84">
        <f t="shared" si="87"/>
        <v>50.755244264964084</v>
      </c>
      <c r="AD193" s="84">
        <f t="shared" si="87"/>
        <v>59.584051611611756</v>
      </c>
      <c r="AE193" s="84">
        <f t="shared" si="87"/>
        <v>69.948618273243682</v>
      </c>
      <c r="AF193" s="84">
        <f t="shared" si="87"/>
        <v>82.116087543507163</v>
      </c>
      <c r="AG193" s="84">
        <f t="shared" si="87"/>
        <v>96.400071937264315</v>
      </c>
      <c r="AH193" s="84">
        <f t="shared" si="87"/>
        <v>113.16873644992017</v>
      </c>
      <c r="AI193" s="84">
        <f t="shared" si="87"/>
        <v>132.85428788897786</v>
      </c>
    </row>
    <row r="194" spans="1:35" s="84" customFormat="1">
      <c r="A194" s="84" t="s">
        <v>304</v>
      </c>
      <c r="D194" s="84" t="s">
        <v>50</v>
      </c>
      <c r="G194" s="55" t="s">
        <v>302</v>
      </c>
      <c r="H194" s="84">
        <f t="shared" ref="H194:AI194" si="88">1.93841*10^-10*EXP(1.0068*(H$1-1984))</f>
        <v>21882923.011886764</v>
      </c>
      <c r="I194" s="84">
        <f t="shared" si="88"/>
        <v>59889821.241774701</v>
      </c>
      <c r="J194" s="84">
        <f t="shared" si="88"/>
        <v>163908207.62031606</v>
      </c>
      <c r="K194" s="84">
        <f t="shared" si="88"/>
        <v>448588757.96017534</v>
      </c>
      <c r="L194" s="84">
        <f t="shared" si="88"/>
        <v>1227710782.0884407</v>
      </c>
      <c r="M194" s="84">
        <f t="shared" si="88"/>
        <v>3360034636.8689737</v>
      </c>
      <c r="N194" s="84">
        <f t="shared" si="88"/>
        <v>9195840686.317152</v>
      </c>
      <c r="O194" s="84">
        <f t="shared" si="88"/>
        <v>25167444704.357525</v>
      </c>
      <c r="P194" s="84">
        <f t="shared" si="88"/>
        <v>68878995901.848816</v>
      </c>
      <c r="Q194" s="84">
        <f t="shared" si="88"/>
        <v>188510042722.9892</v>
      </c>
      <c r="R194" s="84">
        <f t="shared" si="88"/>
        <v>515919777025.5188</v>
      </c>
      <c r="S194" s="84">
        <f t="shared" si="88"/>
        <v>1411984276706.1172</v>
      </c>
      <c r="T194" s="84">
        <f t="shared" si="88"/>
        <v>3864359705611.1362</v>
      </c>
      <c r="U194" s="84">
        <f t="shared" si="88"/>
        <v>10576092227590.096</v>
      </c>
      <c r="V194" s="84">
        <f t="shared" si="88"/>
        <v>28944957335125.484</v>
      </c>
      <c r="W194" s="84">
        <f t="shared" si="88"/>
        <v>79217402524782.531</v>
      </c>
      <c r="X194" s="84">
        <f t="shared" si="88"/>
        <v>216804495170495.94</v>
      </c>
      <c r="Y194" s="84">
        <f t="shared" si="88"/>
        <v>593356858821882</v>
      </c>
      <c r="Z194" s="84">
        <f t="shared" si="88"/>
        <v>1623916338238742</v>
      </c>
      <c r="AA194" s="84">
        <f t="shared" si="88"/>
        <v>4444381546098158.5</v>
      </c>
      <c r="AB194" s="84">
        <f t="shared" si="88"/>
        <v>1.2163512899144058E+16</v>
      </c>
      <c r="AC194" s="84">
        <f t="shared" si="88"/>
        <v>3.3289456477366136E+16</v>
      </c>
      <c r="AD194" s="84">
        <f t="shared" si="88"/>
        <v>9.1107554351049104E+16</v>
      </c>
      <c r="AE194" s="84">
        <f t="shared" si="88"/>
        <v>2.4934580909943923E+17</v>
      </c>
      <c r="AF194" s="84">
        <f t="shared" si="88"/>
        <v>6.8241687484982541E+17</v>
      </c>
      <c r="AG194" s="84">
        <f t="shared" si="88"/>
        <v>1.8676583848019827E+18</v>
      </c>
      <c r="AH194" s="84">
        <f t="shared" si="88"/>
        <v>5.1114618803773921E+18</v>
      </c>
      <c r="AI194" s="84">
        <f t="shared" si="88"/>
        <v>1.3989197792893628E+19</v>
      </c>
    </row>
    <row r="195" spans="1:35">
      <c r="A195" s="79" t="s">
        <v>305</v>
      </c>
      <c r="B195" s="79"/>
      <c r="C195" s="79"/>
      <c r="D195" s="79" t="s">
        <v>40</v>
      </c>
      <c r="E195" s="79"/>
      <c r="F195" s="79"/>
      <c r="G195" s="173" t="s">
        <v>306</v>
      </c>
      <c r="H195" s="79">
        <v>18.126149356360315</v>
      </c>
      <c r="I195" s="79">
        <v>18.4403761671241</v>
      </c>
      <c r="J195" s="79">
        <v>18.754602977887771</v>
      </c>
      <c r="K195" s="79">
        <v>19.068829788651556</v>
      </c>
      <c r="L195" s="79">
        <v>19.38305659941534</v>
      </c>
      <c r="M195" s="79">
        <v>19.697283410179011</v>
      </c>
      <c r="N195" s="79">
        <v>20.011510220942796</v>
      </c>
      <c r="O195" s="79">
        <v>20.325737031706581</v>
      </c>
      <c r="P195" s="79">
        <v>20.639963842470252</v>
      </c>
      <c r="Q195" s="79">
        <v>20.954190653234036</v>
      </c>
      <c r="R195" s="79">
        <v>21.268417463997821</v>
      </c>
      <c r="S195" s="79">
        <v>21.582644274761492</v>
      </c>
      <c r="T195" s="79">
        <v>21.896871085525277</v>
      </c>
      <c r="U195" s="79">
        <v>22.211097896289061</v>
      </c>
      <c r="V195" s="79">
        <v>22.525324707052732</v>
      </c>
      <c r="W195" s="79">
        <v>22.839551517816517</v>
      </c>
      <c r="X195" s="79">
        <v>23.153778328580302</v>
      </c>
      <c r="Y195" s="79">
        <v>23.468005139344086</v>
      </c>
      <c r="Z195" s="79">
        <v>23.782231950107757</v>
      </c>
      <c r="AA195" s="79">
        <v>24.096458760871542</v>
      </c>
      <c r="AB195" s="79">
        <v>24.410685571635327</v>
      </c>
      <c r="AC195" s="79">
        <v>24.724912382398998</v>
      </c>
      <c r="AD195" s="79">
        <v>25.039139193162782</v>
      </c>
      <c r="AE195" s="79">
        <v>25.353366003926567</v>
      </c>
      <c r="AF195" s="79">
        <v>25.667592814690238</v>
      </c>
      <c r="AG195" s="79">
        <v>25.981819625454023</v>
      </c>
      <c r="AH195" s="79">
        <v>26.296046436217807</v>
      </c>
      <c r="AI195" s="79">
        <v>26.610273246981478</v>
      </c>
    </row>
    <row r="196" spans="1:35">
      <c r="A196" t="s">
        <v>307</v>
      </c>
      <c r="D196" t="s">
        <v>40</v>
      </c>
      <c r="G196" s="55" t="s">
        <v>306</v>
      </c>
      <c r="H196">
        <v>21.63147904965416</v>
      </c>
      <c r="I196">
        <v>21.809987483785164</v>
      </c>
      <c r="J196">
        <v>21.988495917916225</v>
      </c>
      <c r="K196">
        <v>22.167004352047229</v>
      </c>
      <c r="L196">
        <v>22.34551278617829</v>
      </c>
      <c r="M196">
        <v>22.524021220309351</v>
      </c>
      <c r="N196">
        <v>22.702529654440355</v>
      </c>
      <c r="O196">
        <v>22.881038088571415</v>
      </c>
      <c r="P196">
        <v>23.059546522702419</v>
      </c>
      <c r="Q196">
        <v>23.23805495683348</v>
      </c>
      <c r="R196">
        <v>23.416563390964484</v>
      </c>
      <c r="S196">
        <v>23.595071825095545</v>
      </c>
      <c r="T196">
        <v>23.773580259226549</v>
      </c>
      <c r="U196">
        <v>23.952088693357609</v>
      </c>
      <c r="V196">
        <v>24.130597127488613</v>
      </c>
      <c r="W196">
        <v>24.309105561619674</v>
      </c>
      <c r="X196">
        <v>24.487613995750678</v>
      </c>
      <c r="Y196">
        <v>24.666122429881739</v>
      </c>
      <c r="Z196">
        <v>24.844630864012743</v>
      </c>
      <c r="AA196">
        <v>25.023139298143803</v>
      </c>
      <c r="AB196">
        <v>25.201647732274807</v>
      </c>
      <c r="AC196">
        <v>25.380156166405868</v>
      </c>
      <c r="AD196">
        <v>25.558664600536872</v>
      </c>
      <c r="AE196">
        <v>25.737173034667933</v>
      </c>
      <c r="AF196">
        <v>25.915681468798937</v>
      </c>
      <c r="AG196">
        <v>26.094189902929998</v>
      </c>
      <c r="AH196">
        <v>26.272698337061058</v>
      </c>
      <c r="AI196">
        <v>26.451206771192062</v>
      </c>
    </row>
    <row r="197" spans="1:35">
      <c r="A197" t="s">
        <v>308</v>
      </c>
      <c r="D197" t="s">
        <v>40</v>
      </c>
      <c r="G197" s="55" t="s">
        <v>306</v>
      </c>
      <c r="H197">
        <v>26.765699710283513</v>
      </c>
      <c r="I197">
        <v>27.012058264941004</v>
      </c>
      <c r="J197">
        <v>27.258416819598551</v>
      </c>
      <c r="K197">
        <v>27.504775374256099</v>
      </c>
      <c r="L197">
        <v>27.751133928913646</v>
      </c>
      <c r="M197">
        <v>27.997492483571193</v>
      </c>
      <c r="N197">
        <v>28.243851038228684</v>
      </c>
      <c r="O197">
        <v>28.490209592886231</v>
      </c>
      <c r="P197">
        <v>28.736568147543778</v>
      </c>
      <c r="Q197">
        <v>28.982926702201325</v>
      </c>
      <c r="R197">
        <v>29.229285256858816</v>
      </c>
      <c r="S197">
        <v>29.475643811516363</v>
      </c>
      <c r="T197">
        <v>29.722002366173911</v>
      </c>
      <c r="U197">
        <v>29.968360920831458</v>
      </c>
      <c r="V197">
        <v>30.214719475489005</v>
      </c>
      <c r="W197">
        <v>30.461078030146496</v>
      </c>
      <c r="X197">
        <v>30.707436584804043</v>
      </c>
      <c r="Y197">
        <v>30.95379513946159</v>
      </c>
      <c r="Z197">
        <v>31.200153694119138</v>
      </c>
      <c r="AA197">
        <v>31.446512248776628</v>
      </c>
      <c r="AB197">
        <v>31.692870803434175</v>
      </c>
      <c r="AC197">
        <v>31.939229358091723</v>
      </c>
      <c r="AD197">
        <v>32.18558791274927</v>
      </c>
      <c r="AE197">
        <v>32.43194646740676</v>
      </c>
      <c r="AF197">
        <v>32.678305022064308</v>
      </c>
      <c r="AG197">
        <v>32.924663576721855</v>
      </c>
      <c r="AH197">
        <v>33.171022131379402</v>
      </c>
      <c r="AI197">
        <v>33.41738068603695</v>
      </c>
    </row>
    <row r="198" spans="1:35">
      <c r="A198" t="s">
        <v>309</v>
      </c>
      <c r="D198" t="s">
        <v>40</v>
      </c>
      <c r="G198" s="55" t="s">
        <v>306</v>
      </c>
      <c r="H198">
        <v>29.45596314017348</v>
      </c>
      <c r="I198">
        <v>29.853943208703981</v>
      </c>
      <c r="J198">
        <v>30.251923277234482</v>
      </c>
      <c r="K198">
        <v>30.649903345764869</v>
      </c>
      <c r="L198">
        <v>31.04788341429537</v>
      </c>
      <c r="M198">
        <v>31.445863482825871</v>
      </c>
      <c r="N198">
        <v>31.843843551356372</v>
      </c>
      <c r="O198">
        <v>32.241823619886873</v>
      </c>
      <c r="P198">
        <v>32.639803688417373</v>
      </c>
      <c r="Q198">
        <v>33.037783756947874</v>
      </c>
      <c r="R198">
        <v>33.435763825478375</v>
      </c>
      <c r="S198">
        <v>33.833743894008876</v>
      </c>
      <c r="T198">
        <v>34.231723962539263</v>
      </c>
      <c r="U198">
        <v>34.629704031069764</v>
      </c>
      <c r="V198">
        <v>35.027684099600265</v>
      </c>
      <c r="W198">
        <v>35.425664168130766</v>
      </c>
      <c r="X198">
        <v>35.823644236661266</v>
      </c>
      <c r="Y198">
        <v>36.221624305191767</v>
      </c>
      <c r="Z198">
        <v>36.619604373722268</v>
      </c>
      <c r="AA198">
        <v>37.017584442252769</v>
      </c>
      <c r="AB198">
        <v>37.41556451078327</v>
      </c>
      <c r="AC198">
        <v>37.813544579313657</v>
      </c>
      <c r="AD198">
        <v>38.211524647844158</v>
      </c>
      <c r="AE198">
        <v>38.609504716374659</v>
      </c>
      <c r="AF198">
        <v>39.007484784905159</v>
      </c>
      <c r="AG198">
        <v>39.40546485343566</v>
      </c>
      <c r="AH198">
        <v>39.803444921966161</v>
      </c>
      <c r="AI198">
        <v>40.201424990496662</v>
      </c>
    </row>
    <row r="199" spans="1:35">
      <c r="A199" t="s">
        <v>310</v>
      </c>
      <c r="D199" t="s">
        <v>40</v>
      </c>
      <c r="G199" s="55" t="s">
        <v>306</v>
      </c>
      <c r="H199">
        <v>22.471339494911149</v>
      </c>
      <c r="I199">
        <v>22.764287103080505</v>
      </c>
      <c r="J199">
        <v>23.057234711249862</v>
      </c>
      <c r="K199">
        <v>23.350182319419218</v>
      </c>
      <c r="L199">
        <v>23.643129927588575</v>
      </c>
      <c r="M199">
        <v>23.936077535757931</v>
      </c>
      <c r="N199">
        <v>24.229025143927288</v>
      </c>
      <c r="O199">
        <v>24.521972752096531</v>
      </c>
      <c r="P199">
        <v>24.814920360265887</v>
      </c>
      <c r="Q199">
        <v>25.107867968435244</v>
      </c>
      <c r="R199">
        <v>25.4008155766046</v>
      </c>
      <c r="S199">
        <v>25.693763184773957</v>
      </c>
      <c r="T199">
        <v>25.986710792943313</v>
      </c>
      <c r="U199">
        <v>26.27965840111267</v>
      </c>
      <c r="V199">
        <v>26.572606009281913</v>
      </c>
      <c r="W199">
        <v>26.865553617451269</v>
      </c>
      <c r="X199">
        <v>27.158501225620626</v>
      </c>
      <c r="Y199">
        <v>27.451448833789982</v>
      </c>
      <c r="Z199">
        <v>27.744396441959339</v>
      </c>
      <c r="AA199">
        <v>28.037344050128695</v>
      </c>
      <c r="AB199">
        <v>28.330291658298052</v>
      </c>
      <c r="AC199">
        <v>28.623239266467408</v>
      </c>
      <c r="AD199">
        <v>28.916186874636651</v>
      </c>
      <c r="AE199">
        <v>29.209134482806007</v>
      </c>
      <c r="AF199">
        <v>29.502082090975364</v>
      </c>
      <c r="AG199">
        <v>29.79502969914472</v>
      </c>
      <c r="AH199">
        <v>30.087977307314077</v>
      </c>
      <c r="AI199">
        <v>30.380924915483433</v>
      </c>
    </row>
    <row r="200" spans="1:35">
      <c r="A200" t="s">
        <v>311</v>
      </c>
      <c r="D200" t="s">
        <v>40</v>
      </c>
      <c r="G200" s="55" t="s">
        <v>306</v>
      </c>
      <c r="H200">
        <v>25.440259773825687</v>
      </c>
      <c r="I200">
        <v>25.809741988388168</v>
      </c>
      <c r="J200">
        <v>26.17922420295065</v>
      </c>
      <c r="K200">
        <v>26.548706417513131</v>
      </c>
      <c r="L200">
        <v>26.918188632075612</v>
      </c>
      <c r="M200">
        <v>27.287670846638093</v>
      </c>
      <c r="N200">
        <v>27.657153061200574</v>
      </c>
      <c r="O200">
        <v>28.026635275762942</v>
      </c>
      <c r="P200">
        <v>28.396117490325423</v>
      </c>
      <c r="Q200">
        <v>28.765599704887904</v>
      </c>
      <c r="R200">
        <v>29.135081919450386</v>
      </c>
      <c r="S200">
        <v>29.504564134012867</v>
      </c>
      <c r="T200">
        <v>29.874046348575348</v>
      </c>
      <c r="U200">
        <v>30.243528563137829</v>
      </c>
      <c r="V200">
        <v>30.61301077770031</v>
      </c>
      <c r="W200">
        <v>30.982492992262678</v>
      </c>
      <c r="X200">
        <v>31.351975206825159</v>
      </c>
      <c r="Y200">
        <v>31.72145742138764</v>
      </c>
      <c r="Z200">
        <v>32.090939635950122</v>
      </c>
      <c r="AA200">
        <v>32.460421850512603</v>
      </c>
      <c r="AB200">
        <v>32.829904065075084</v>
      </c>
      <c r="AC200">
        <v>33.199386279637565</v>
      </c>
      <c r="AD200">
        <v>33.568868494199933</v>
      </c>
      <c r="AE200">
        <v>33.938350708762414</v>
      </c>
      <c r="AF200">
        <v>34.307832923324895</v>
      </c>
      <c r="AG200">
        <v>34.677315137887376</v>
      </c>
      <c r="AH200">
        <v>35.046797352449857</v>
      </c>
      <c r="AI200">
        <v>35.416279567012339</v>
      </c>
    </row>
    <row r="201" spans="1:35">
      <c r="A201" t="s">
        <v>312</v>
      </c>
      <c r="D201" t="s">
        <v>40</v>
      </c>
      <c r="G201" s="55" t="s">
        <v>306</v>
      </c>
      <c r="H201">
        <v>13.816477412327004</v>
      </c>
      <c r="I201">
        <v>14.013583702306221</v>
      </c>
      <c r="J201">
        <v>14.210689992285495</v>
      </c>
      <c r="K201">
        <v>14.407796282264712</v>
      </c>
      <c r="L201">
        <v>14.60490257224393</v>
      </c>
      <c r="M201">
        <v>14.802008862223147</v>
      </c>
      <c r="N201">
        <v>14.999115152202364</v>
      </c>
      <c r="O201">
        <v>15.196221442181582</v>
      </c>
      <c r="P201">
        <v>15.393327732160799</v>
      </c>
      <c r="Q201">
        <v>15.590434022140073</v>
      </c>
      <c r="R201">
        <v>15.78754031211929</v>
      </c>
      <c r="S201">
        <v>15.984646602098508</v>
      </c>
      <c r="T201">
        <v>16.181752892077725</v>
      </c>
      <c r="U201">
        <v>16.378859182056942</v>
      </c>
      <c r="V201">
        <v>16.57596547203616</v>
      </c>
      <c r="W201">
        <v>16.773071762015377</v>
      </c>
      <c r="X201">
        <v>16.970178051994651</v>
      </c>
      <c r="Y201">
        <v>17.167284341973868</v>
      </c>
      <c r="Z201">
        <v>17.364390631953086</v>
      </c>
      <c r="AA201">
        <v>17.561496921932303</v>
      </c>
      <c r="AB201">
        <v>17.75860321191152</v>
      </c>
      <c r="AC201">
        <v>17.955709501890738</v>
      </c>
      <c r="AD201">
        <v>18.152815791870012</v>
      </c>
      <c r="AE201">
        <v>18.349922081849229</v>
      </c>
      <c r="AF201">
        <v>18.547028371828446</v>
      </c>
      <c r="AG201">
        <v>18.744134661807664</v>
      </c>
      <c r="AH201">
        <v>18.941240951786881</v>
      </c>
      <c r="AI201">
        <v>19.138347241766098</v>
      </c>
    </row>
    <row r="202" spans="1:35">
      <c r="A202" t="s">
        <v>313</v>
      </c>
      <c r="D202" t="s">
        <v>40</v>
      </c>
      <c r="G202" s="55" t="s">
        <v>306</v>
      </c>
      <c r="H202">
        <v>17.813890110038074</v>
      </c>
      <c r="I202">
        <v>18.546613374026947</v>
      </c>
      <c r="J202">
        <v>19.27933663801582</v>
      </c>
      <c r="K202">
        <v>20.012059902004694</v>
      </c>
      <c r="L202">
        <v>20.744783165993567</v>
      </c>
      <c r="M202">
        <v>21.477506429982441</v>
      </c>
      <c r="N202">
        <v>22.210229693971314</v>
      </c>
      <c r="O202">
        <v>22.942952957960415</v>
      </c>
      <c r="P202">
        <v>23.675676221949288</v>
      </c>
      <c r="Q202">
        <v>24.408399485938162</v>
      </c>
      <c r="R202">
        <v>25.141122749927035</v>
      </c>
      <c r="S202">
        <v>25.873846013915909</v>
      </c>
      <c r="T202">
        <v>26.606569277904782</v>
      </c>
      <c r="U202">
        <v>27.339292541893656</v>
      </c>
      <c r="V202">
        <v>28.072015805882529</v>
      </c>
      <c r="W202">
        <v>28.804739069871403</v>
      </c>
      <c r="X202">
        <v>29.537462333860276</v>
      </c>
      <c r="Y202">
        <v>30.270185597849149</v>
      </c>
      <c r="Z202">
        <v>31.002908861838023</v>
      </c>
      <c r="AA202">
        <v>31.735632125827124</v>
      </c>
      <c r="AB202">
        <v>32.468355389815997</v>
      </c>
      <c r="AC202">
        <v>33.201078653804871</v>
      </c>
      <c r="AD202">
        <v>33.933801917793744</v>
      </c>
      <c r="AE202">
        <v>34.666525181782617</v>
      </c>
      <c r="AF202">
        <v>35.399248445771491</v>
      </c>
      <c r="AG202">
        <v>36.131971709760364</v>
      </c>
      <c r="AH202">
        <v>36.864694973749238</v>
      </c>
      <c r="AI202">
        <v>37.597418237738111</v>
      </c>
    </row>
    <row r="203" spans="1:35">
      <c r="A203" t="s">
        <v>314</v>
      </c>
      <c r="D203" t="s">
        <v>40</v>
      </c>
      <c r="G203" s="55" t="s">
        <v>306</v>
      </c>
      <c r="H203">
        <v>29.385541544117132</v>
      </c>
      <c r="I203">
        <v>30.708417348951571</v>
      </c>
      <c r="J203">
        <v>32.031293153786009</v>
      </c>
      <c r="K203">
        <v>33.354168958619994</v>
      </c>
      <c r="L203">
        <v>34.677044763454433</v>
      </c>
      <c r="M203">
        <v>35.999920568288871</v>
      </c>
      <c r="N203">
        <v>37.322796373122856</v>
      </c>
      <c r="O203">
        <v>38.645672177957294</v>
      </c>
      <c r="P203">
        <v>39.968547982791733</v>
      </c>
      <c r="Q203">
        <v>41.291423787625718</v>
      </c>
      <c r="R203">
        <v>42.614299592460156</v>
      </c>
      <c r="S203">
        <v>43.937175397294595</v>
      </c>
      <c r="T203">
        <v>45.260051202128579</v>
      </c>
      <c r="U203">
        <v>46.582927006963018</v>
      </c>
      <c r="V203">
        <v>47.905802811797457</v>
      </c>
      <c r="W203">
        <v>49.228678616631441</v>
      </c>
      <c r="X203">
        <v>50.55155442146588</v>
      </c>
      <c r="Y203">
        <v>51.874430226300319</v>
      </c>
      <c r="Z203">
        <v>53.197306031134303</v>
      </c>
      <c r="AA203">
        <v>54.520181835968742</v>
      </c>
      <c r="AB203">
        <v>55.843057640803181</v>
      </c>
      <c r="AC203">
        <v>57.165933445637165</v>
      </c>
      <c r="AD203">
        <v>58.488809250471604</v>
      </c>
      <c r="AE203">
        <v>59.811685055306043</v>
      </c>
      <c r="AF203">
        <v>61.134560860140027</v>
      </c>
      <c r="AG203">
        <v>62.457436664974466</v>
      </c>
      <c r="AH203">
        <v>63.780312469808905</v>
      </c>
      <c r="AI203">
        <v>65.103188274642889</v>
      </c>
    </row>
    <row r="206" spans="1:35">
      <c r="A206" t="s">
        <v>315</v>
      </c>
    </row>
  </sheetData>
  <hyperlinks>
    <hyperlink ref="AJ83" r:id="rId1" xr:uid="{E9426E0B-69C6-CE45-9929-3772CAED2D40}"/>
  </hyperlinks>
  <pageMargins left="0.7" right="0.7" top="0.75" bottom="0.75" header="0.3" footer="0.3"/>
  <pageSetup paperSize="9" orientation="portrait" horizontalDpi="0" verticalDpi="0"/>
  <ignoredErrors>
    <ignoredError sqref="I13 I16 I19:I21 I25:I30 I33:I37" formula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2EAFF-2D83-5C42-AAB8-DBA90B6E985A}">
  <sheetPr codeName="Sheet4"/>
  <dimension ref="A1:AE51"/>
  <sheetViews>
    <sheetView workbookViewId="0">
      <selection activeCell="I35" sqref="I35"/>
    </sheetView>
  </sheetViews>
  <sheetFormatPr baseColWidth="10" defaultColWidth="11" defaultRowHeight="16"/>
  <cols>
    <col min="1" max="1" width="40.1640625" customWidth="1"/>
    <col min="2" max="2" width="9" customWidth="1"/>
    <col min="3" max="3" width="12" customWidth="1"/>
    <col min="4" max="4" width="14" customWidth="1"/>
    <col min="6" max="6" width="46.1640625" customWidth="1"/>
    <col min="7" max="7" width="17.6640625" style="74" customWidth="1"/>
    <col min="9" max="9" width="25.6640625" customWidth="1"/>
    <col min="11" max="11" width="37.5" customWidth="1"/>
    <col min="14" max="14" width="20.1640625" customWidth="1"/>
    <col min="16" max="16" width="28.5" customWidth="1"/>
    <col min="17" max="17" width="11.5" customWidth="1"/>
    <col min="18" max="18" width="12.1640625" customWidth="1"/>
    <col min="19" max="19" width="19" customWidth="1"/>
  </cols>
  <sheetData>
    <row r="1" spans="1:31" ht="21">
      <c r="A1" s="4" t="s">
        <v>316</v>
      </c>
    </row>
    <row r="2" spans="1:31" ht="21">
      <c r="A2" s="4" t="s">
        <v>317</v>
      </c>
    </row>
    <row r="6" spans="1:31" ht="22" thickBot="1">
      <c r="A6" s="4" t="s">
        <v>318</v>
      </c>
      <c r="F6" s="10" t="s">
        <v>319</v>
      </c>
      <c r="K6" s="4" t="s">
        <v>320</v>
      </c>
      <c r="P6" s="4" t="s">
        <v>321</v>
      </c>
    </row>
    <row r="7" spans="1:31" ht="19">
      <c r="A7" s="13" t="s">
        <v>322</v>
      </c>
      <c r="B7" s="14" t="s">
        <v>1</v>
      </c>
      <c r="C7" s="14" t="s">
        <v>52</v>
      </c>
      <c r="D7" s="15" t="s">
        <v>53</v>
      </c>
      <c r="E7" s="2"/>
      <c r="F7" s="13" t="s">
        <v>323</v>
      </c>
      <c r="G7" s="77" t="s">
        <v>1</v>
      </c>
      <c r="H7" s="14" t="s">
        <v>52</v>
      </c>
      <c r="I7" s="15" t="s">
        <v>53</v>
      </c>
      <c r="J7" s="2"/>
      <c r="K7" s="13" t="s">
        <v>324</v>
      </c>
      <c r="L7" s="14" t="s">
        <v>1</v>
      </c>
      <c r="M7" s="14" t="s">
        <v>52</v>
      </c>
      <c r="N7" s="15" t="s">
        <v>53</v>
      </c>
      <c r="O7" s="2"/>
      <c r="P7" s="13" t="s">
        <v>325</v>
      </c>
      <c r="Q7" s="14" t="s">
        <v>1</v>
      </c>
      <c r="R7" s="14" t="s">
        <v>326</v>
      </c>
      <c r="S7" s="15" t="s">
        <v>53</v>
      </c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</row>
    <row r="8" spans="1:31" ht="19">
      <c r="A8" s="30" t="s">
        <v>327</v>
      </c>
      <c r="D8" s="19"/>
      <c r="F8" s="30" t="s">
        <v>328</v>
      </c>
      <c r="I8" s="19"/>
      <c r="K8" s="30" t="s">
        <v>327</v>
      </c>
      <c r="N8" s="19"/>
      <c r="P8" s="37" t="s">
        <v>329</v>
      </c>
      <c r="S8" s="19"/>
    </row>
    <row r="9" spans="1:31" ht="21">
      <c r="A9" s="28" t="s">
        <v>330</v>
      </c>
      <c r="B9" s="8">
        <f>Workload_Compute_total</f>
        <v>148.05000000000001</v>
      </c>
      <c r="C9" s="8" t="s">
        <v>59</v>
      </c>
      <c r="D9" s="40"/>
      <c r="F9" s="28" t="s">
        <v>331</v>
      </c>
      <c r="G9" s="75">
        <f>SDC_Cost_BOM</f>
        <v>22518.786660831305</v>
      </c>
      <c r="H9" s="8" t="s">
        <v>234</v>
      </c>
      <c r="I9" s="19"/>
      <c r="K9" s="28" t="s">
        <v>330</v>
      </c>
      <c r="L9" s="8">
        <f>Workload_Compute_total</f>
        <v>148.05000000000001</v>
      </c>
      <c r="M9" s="8" t="s">
        <v>59</v>
      </c>
      <c r="N9" s="19"/>
      <c r="P9" s="30" t="s">
        <v>332</v>
      </c>
      <c r="S9" s="19"/>
      <c r="U9" s="4"/>
    </row>
    <row r="10" spans="1:31">
      <c r="A10" s="28" t="s">
        <v>333</v>
      </c>
      <c r="B10" s="8">
        <f>Workload_Memory_total</f>
        <v>10</v>
      </c>
      <c r="C10" s="8" t="s">
        <v>62</v>
      </c>
      <c r="D10" s="19"/>
      <c r="F10" s="28" t="s">
        <v>334</v>
      </c>
      <c r="G10" s="75">
        <f>SDC_Cost_Launch</f>
        <v>1681814.1376451515</v>
      </c>
      <c r="H10" s="8" t="s">
        <v>234</v>
      </c>
      <c r="I10" s="19"/>
      <c r="K10" s="28" t="s">
        <v>333</v>
      </c>
      <c r="L10" s="8">
        <f>Workload_Memory_total</f>
        <v>10</v>
      </c>
      <c r="M10" s="8" t="s">
        <v>62</v>
      </c>
      <c r="N10" s="19"/>
      <c r="P10" s="28" t="s">
        <v>335</v>
      </c>
      <c r="Q10" s="8">
        <f>SDC_Pod_Compute_Req</f>
        <v>150</v>
      </c>
      <c r="R10" s="8" t="s">
        <v>59</v>
      </c>
      <c r="S10" s="40"/>
    </row>
    <row r="11" spans="1:31">
      <c r="A11" s="28" t="s">
        <v>336</v>
      </c>
      <c r="B11" s="8">
        <f>Workload_Storage_total</f>
        <v>0.2268</v>
      </c>
      <c r="C11" s="8" t="s">
        <v>69</v>
      </c>
      <c r="D11" s="19"/>
      <c r="F11" s="28" t="s">
        <v>337</v>
      </c>
      <c r="G11" s="75">
        <f>LEO_SDCs_Total_Number</f>
        <v>110</v>
      </c>
      <c r="H11" s="8" t="s">
        <v>65</v>
      </c>
      <c r="I11" s="19"/>
      <c r="K11" s="28" t="s">
        <v>336</v>
      </c>
      <c r="L11" s="8">
        <f>Workload_Storage_total</f>
        <v>0.2268</v>
      </c>
      <c r="M11" s="8" t="s">
        <v>69</v>
      </c>
      <c r="N11" s="19"/>
      <c r="P11" s="28" t="s">
        <v>338</v>
      </c>
      <c r="Q11" s="8">
        <f>SDC_Pod_Memory</f>
        <v>960</v>
      </c>
      <c r="R11" s="8" t="s">
        <v>62</v>
      </c>
      <c r="S11" s="40"/>
    </row>
    <row r="12" spans="1:31">
      <c r="A12" s="28" t="s">
        <v>339</v>
      </c>
      <c r="B12" s="8">
        <f>Workload_Bandwidth_IntraPod</f>
        <v>3</v>
      </c>
      <c r="C12" s="8" t="s">
        <v>340</v>
      </c>
      <c r="D12" s="19"/>
      <c r="F12" s="28" t="s">
        <v>341</v>
      </c>
      <c r="G12" s="75">
        <f>SDC_Design_NRE</f>
        <v>2871745.8874925873</v>
      </c>
      <c r="H12" s="8" t="s">
        <v>234</v>
      </c>
      <c r="I12" s="19"/>
      <c r="K12" s="28" t="s">
        <v>339</v>
      </c>
      <c r="L12" s="8">
        <f>Workload_Bandwidth_IntraPod</f>
        <v>3</v>
      </c>
      <c r="M12" s="8" t="s">
        <v>340</v>
      </c>
      <c r="N12" s="19"/>
      <c r="P12" s="28" t="s">
        <v>342</v>
      </c>
      <c r="Q12" s="44">
        <f>SDC_Pod_Storage</f>
        <v>10</v>
      </c>
      <c r="R12" s="8" t="s">
        <v>69</v>
      </c>
      <c r="S12" s="40"/>
    </row>
    <row r="13" spans="1:31">
      <c r="A13" s="28" t="s">
        <v>343</v>
      </c>
      <c r="B13" s="8">
        <f>Workload_Bandwidth_InterSDC</f>
        <v>0.5</v>
      </c>
      <c r="C13" s="8" t="s">
        <v>31</v>
      </c>
      <c r="D13" s="19"/>
      <c r="F13" s="38" t="s">
        <v>344</v>
      </c>
      <c r="G13" s="76">
        <f>(G9+G10)*G11+G12</f>
        <v>190348367.56115073</v>
      </c>
      <c r="H13" s="9" t="s">
        <v>234</v>
      </c>
      <c r="I13" s="19"/>
      <c r="K13" s="28" t="s">
        <v>343</v>
      </c>
      <c r="L13" s="8">
        <f>Workload_Bandwidth_InterSDC</f>
        <v>0.5</v>
      </c>
      <c r="M13" s="8" t="s">
        <v>31</v>
      </c>
      <c r="N13" s="19"/>
      <c r="P13" s="28" t="s">
        <v>345</v>
      </c>
      <c r="Q13" s="44">
        <f>SDC_Pod_Network_I_BW</f>
        <v>212.6</v>
      </c>
      <c r="R13" s="8" t="s">
        <v>31</v>
      </c>
      <c r="S13" s="40"/>
    </row>
    <row r="14" spans="1:31">
      <c r="A14" s="18"/>
      <c r="D14" s="19"/>
      <c r="F14" s="18"/>
      <c r="I14" s="19"/>
      <c r="K14" s="18"/>
      <c r="N14" s="19"/>
      <c r="P14" s="28" t="s">
        <v>346</v>
      </c>
      <c r="Q14" s="44">
        <f>SDC_Pod_Power</f>
        <v>155.18954174803864</v>
      </c>
      <c r="R14" s="8" t="s">
        <v>347</v>
      </c>
      <c r="S14" s="40"/>
    </row>
    <row r="15" spans="1:31">
      <c r="A15" s="30" t="s">
        <v>348</v>
      </c>
      <c r="D15" s="19"/>
      <c r="F15" s="30" t="s">
        <v>349</v>
      </c>
      <c r="I15" s="19"/>
      <c r="K15" s="30" t="s">
        <v>350</v>
      </c>
      <c r="N15" s="19"/>
      <c r="P15" s="33"/>
      <c r="Q15" s="45"/>
      <c r="R15" s="34"/>
      <c r="S15" s="19"/>
    </row>
    <row r="16" spans="1:31">
      <c r="A16" s="28" t="s">
        <v>351</v>
      </c>
      <c r="B16" s="8">
        <f>Structural_Mass_Fraction</f>
        <v>20</v>
      </c>
      <c r="C16" s="8" t="s">
        <v>40</v>
      </c>
      <c r="D16" s="40" t="s">
        <v>352</v>
      </c>
      <c r="F16" s="38" t="s">
        <v>353</v>
      </c>
      <c r="G16" s="76">
        <f>LEO_SDCs_Total_Number*SDC_Pod_Compute_Req</f>
        <v>16500</v>
      </c>
      <c r="H16" s="9" t="s">
        <v>59</v>
      </c>
      <c r="I16" s="19"/>
      <c r="K16" s="28" t="s">
        <v>351</v>
      </c>
      <c r="L16" s="8">
        <f>Structural_Mass_Fraction</f>
        <v>20</v>
      </c>
      <c r="M16" s="8" t="s">
        <v>40</v>
      </c>
      <c r="N16" s="19"/>
      <c r="P16" s="30" t="s">
        <v>354</v>
      </c>
      <c r="S16" s="19"/>
    </row>
    <row r="17" spans="1:19" ht="17" thickBot="1">
      <c r="A17" s="21"/>
      <c r="B17" s="23"/>
      <c r="C17" s="23"/>
      <c r="D17" s="24"/>
      <c r="F17" s="38" t="s">
        <v>355</v>
      </c>
      <c r="G17" s="76">
        <f>LEO_SDCs_Total_Number*SDC_Pod_Memory</f>
        <v>105600</v>
      </c>
      <c r="H17" s="9" t="s">
        <v>62</v>
      </c>
      <c r="I17" s="19"/>
      <c r="K17" s="41"/>
      <c r="L17" s="72"/>
      <c r="M17" s="22"/>
      <c r="N17" s="24"/>
      <c r="P17" s="28" t="s">
        <v>356</v>
      </c>
      <c r="Q17" s="44">
        <f>Power_Total_Usable</f>
        <v>194.25668781390596</v>
      </c>
      <c r="R17" s="8" t="s">
        <v>347</v>
      </c>
      <c r="S17" s="40" t="s">
        <v>357</v>
      </c>
    </row>
    <row r="18" spans="1:19" ht="17" thickBot="1">
      <c r="F18" s="38" t="s">
        <v>358</v>
      </c>
      <c r="G18" s="76">
        <f>LEO_SDCs_Total_Number*SDC_Pod_Storage</f>
        <v>1100</v>
      </c>
      <c r="H18" s="9" t="s">
        <v>359</v>
      </c>
      <c r="I18" s="19"/>
      <c r="P18" s="28" t="s">
        <v>360</v>
      </c>
      <c r="Q18" s="44">
        <f>SDC_Weight</f>
        <v>14.987144545362762</v>
      </c>
      <c r="R18" s="8" t="s">
        <v>57</v>
      </c>
      <c r="S18" s="40"/>
    </row>
    <row r="19" spans="1:19" ht="21">
      <c r="F19" s="38" t="s">
        <v>361</v>
      </c>
      <c r="G19" s="76">
        <f>(LEO_SDCs_Total_Number*OTIO_DataRate_Nominal)*4</f>
        <v>220</v>
      </c>
      <c r="H19" s="9" t="s">
        <v>31</v>
      </c>
      <c r="I19" s="19" t="s">
        <v>362</v>
      </c>
      <c r="K19" s="31" t="s">
        <v>363</v>
      </c>
      <c r="L19" s="25"/>
      <c r="M19" s="25"/>
      <c r="N19" s="26"/>
      <c r="P19" s="28" t="s">
        <v>364</v>
      </c>
      <c r="Q19" s="73" t="str">
        <f>SDC_Volume</f>
        <v>???</v>
      </c>
      <c r="R19" s="8" t="s">
        <v>365</v>
      </c>
      <c r="S19" s="40"/>
    </row>
    <row r="20" spans="1:19" ht="17" thickBot="1">
      <c r="A20" t="s">
        <v>366</v>
      </c>
      <c r="F20" s="38" t="s">
        <v>367</v>
      </c>
      <c r="G20" s="76">
        <f>LEO_SDCs_Total_Number*SDCs_Numb_Clients*OTIO_DataRate_Nominal</f>
        <v>55</v>
      </c>
      <c r="H20" s="9" t="s">
        <v>31</v>
      </c>
      <c r="I20" s="19"/>
      <c r="K20" s="18"/>
      <c r="N20" s="19"/>
      <c r="P20" s="28" t="s">
        <v>368</v>
      </c>
      <c r="Q20" s="44">
        <f>SDC_Cost_BOM</f>
        <v>22518.786660831305</v>
      </c>
      <c r="R20" s="8" t="s">
        <v>234</v>
      </c>
      <c r="S20" s="40" t="s">
        <v>369</v>
      </c>
    </row>
    <row r="21" spans="1:19" ht="21">
      <c r="A21" s="31" t="s">
        <v>370</v>
      </c>
      <c r="B21" s="14" t="s">
        <v>1</v>
      </c>
      <c r="C21" s="14" t="s">
        <v>52</v>
      </c>
      <c r="D21" s="15" t="s">
        <v>53</v>
      </c>
      <c r="F21" s="18"/>
      <c r="I21" s="19"/>
      <c r="K21" s="37" t="s">
        <v>329</v>
      </c>
      <c r="N21" s="19"/>
      <c r="P21" s="28" t="s">
        <v>334</v>
      </c>
      <c r="Q21" s="44">
        <f>SDC_Cost_Launch</f>
        <v>1681814.1376451515</v>
      </c>
      <c r="R21" s="8" t="s">
        <v>234</v>
      </c>
      <c r="S21" s="40"/>
    </row>
    <row r="22" spans="1:19" ht="17" thickBot="1">
      <c r="A22" s="27"/>
      <c r="B22" s="1"/>
      <c r="D22" s="19"/>
      <c r="F22" s="18"/>
      <c r="I22" s="19"/>
      <c r="K22" s="30" t="s">
        <v>371</v>
      </c>
      <c r="N22" s="19"/>
      <c r="P22" s="35"/>
      <c r="Q22" s="46"/>
      <c r="R22" s="36"/>
      <c r="S22" s="24"/>
    </row>
    <row r="23" spans="1:19">
      <c r="A23" s="28" t="s">
        <v>372</v>
      </c>
      <c r="B23" s="8">
        <f>Launch_Cost_LEO_per_kg</f>
        <v>1727.3910999597194</v>
      </c>
      <c r="C23" s="8" t="s">
        <v>219</v>
      </c>
      <c r="D23" s="40" t="s">
        <v>373</v>
      </c>
      <c r="F23" s="18"/>
      <c r="I23" s="19"/>
      <c r="K23" s="28" t="s">
        <v>335</v>
      </c>
      <c r="L23" s="8">
        <f>SDC_Pod_Compute_Req</f>
        <v>150</v>
      </c>
      <c r="M23" s="8" t="s">
        <v>59</v>
      </c>
      <c r="N23" s="40"/>
      <c r="P23" s="34"/>
      <c r="Q23" s="45"/>
      <c r="R23" s="34"/>
    </row>
    <row r="24" spans="1:19">
      <c r="A24" s="28" t="s">
        <v>374</v>
      </c>
      <c r="B24" s="8">
        <f>LEO_Orbits_Intra_Distance</f>
        <v>4510</v>
      </c>
      <c r="C24" s="8" t="s">
        <v>29</v>
      </c>
      <c r="D24" s="40" t="s">
        <v>375</v>
      </c>
      <c r="F24" s="18"/>
      <c r="I24" s="19"/>
      <c r="K24" s="28" t="s">
        <v>338</v>
      </c>
      <c r="L24" s="8">
        <f>SDC_Pod_Memory</f>
        <v>960</v>
      </c>
      <c r="M24" s="8" t="s">
        <v>62</v>
      </c>
      <c r="N24" s="40"/>
      <c r="P24" s="1"/>
      <c r="Q24" s="47"/>
    </row>
    <row r="25" spans="1:19">
      <c r="A25" s="28" t="s">
        <v>376</v>
      </c>
      <c r="B25" s="8">
        <f>OTIO_DataRate_Nominal</f>
        <v>0.5</v>
      </c>
      <c r="C25" s="8" t="s">
        <v>31</v>
      </c>
      <c r="D25" s="40" t="s">
        <v>375</v>
      </c>
      <c r="F25" s="18"/>
      <c r="I25" s="19"/>
      <c r="K25" s="28" t="s">
        <v>342</v>
      </c>
      <c r="L25" s="44">
        <f>SDC_Pod_Storage</f>
        <v>10</v>
      </c>
      <c r="M25" s="8" t="s">
        <v>69</v>
      </c>
      <c r="N25" s="40"/>
      <c r="P25" s="1"/>
      <c r="Q25" s="47"/>
    </row>
    <row r="26" spans="1:19">
      <c r="A26" s="28" t="s">
        <v>377</v>
      </c>
      <c r="B26" s="8">
        <f>OTGS_Link_Distance</f>
        <v>1000</v>
      </c>
      <c r="C26" s="8" t="s">
        <v>29</v>
      </c>
      <c r="D26" s="40" t="s">
        <v>375</v>
      </c>
      <c r="F26" s="18"/>
      <c r="I26" s="19"/>
      <c r="K26" s="28" t="s">
        <v>345</v>
      </c>
      <c r="L26" s="44">
        <f>SDC_Pod_Network_I_BW</f>
        <v>212.6</v>
      </c>
      <c r="M26" s="8" t="s">
        <v>31</v>
      </c>
      <c r="N26" s="40"/>
      <c r="P26" s="34"/>
      <c r="Q26" s="45"/>
      <c r="R26" s="34"/>
    </row>
    <row r="27" spans="1:19" ht="17" thickBot="1">
      <c r="A27" s="21"/>
      <c r="B27" s="23"/>
      <c r="C27" s="23"/>
      <c r="D27" s="24"/>
      <c r="F27" s="21"/>
      <c r="G27" s="78"/>
      <c r="H27" s="23"/>
      <c r="I27" s="24"/>
      <c r="K27" s="28" t="s">
        <v>356</v>
      </c>
      <c r="L27" s="44">
        <f>Power_Total_Usable</f>
        <v>194.25668781390596</v>
      </c>
      <c r="M27" s="8" t="s">
        <v>347</v>
      </c>
      <c r="N27" s="40" t="s">
        <v>357</v>
      </c>
      <c r="P27" s="34"/>
      <c r="Q27" s="45"/>
      <c r="R27" s="34"/>
    </row>
    <row r="28" spans="1:19">
      <c r="K28" s="28" t="s">
        <v>360</v>
      </c>
      <c r="L28" s="44">
        <f>SDC_Weight</f>
        <v>14.987144545362762</v>
      </c>
      <c r="M28" s="8" t="s">
        <v>57</v>
      </c>
      <c r="N28" s="40"/>
      <c r="P28" s="34"/>
      <c r="Q28" s="45"/>
      <c r="R28" s="34"/>
    </row>
    <row r="29" spans="1:19">
      <c r="A29" s="1"/>
      <c r="B29" s="3"/>
      <c r="K29" s="28" t="s">
        <v>364</v>
      </c>
      <c r="L29" s="70" t="str">
        <f>SDC_Volume</f>
        <v>???</v>
      </c>
      <c r="M29" s="3" t="s">
        <v>365</v>
      </c>
      <c r="N29" s="19" t="s">
        <v>19</v>
      </c>
    </row>
    <row r="30" spans="1:19">
      <c r="B30" s="3"/>
      <c r="K30" s="28" t="s">
        <v>368</v>
      </c>
      <c r="L30" s="44">
        <f>SDC_Cost_BOM</f>
        <v>22518.786660831305</v>
      </c>
      <c r="M30" s="8" t="s">
        <v>234</v>
      </c>
      <c r="N30" s="40" t="s">
        <v>369</v>
      </c>
      <c r="Q30" s="8"/>
    </row>
    <row r="31" spans="1:19">
      <c r="B31" s="3"/>
      <c r="K31" s="28" t="s">
        <v>334</v>
      </c>
      <c r="L31" s="44">
        <f>SDC_Cost_Launch</f>
        <v>1681814.1376451515</v>
      </c>
      <c r="M31" s="8" t="s">
        <v>234</v>
      </c>
      <c r="N31" s="40"/>
      <c r="Q31" s="8"/>
    </row>
    <row r="32" spans="1:19" ht="21">
      <c r="B32" s="3"/>
      <c r="K32" s="18"/>
      <c r="N32" s="19"/>
      <c r="P32" s="4"/>
    </row>
    <row r="33" spans="1:19">
      <c r="A33" s="27"/>
      <c r="K33" s="30" t="s">
        <v>378</v>
      </c>
      <c r="N33" s="19"/>
    </row>
    <row r="34" spans="1:19" ht="19">
      <c r="A34" s="20"/>
      <c r="K34" s="28" t="s">
        <v>379</v>
      </c>
      <c r="L34" s="8">
        <f>LEO_SDCs_Total_Number</f>
        <v>110</v>
      </c>
      <c r="M34" s="8" t="s">
        <v>65</v>
      </c>
      <c r="N34" s="40"/>
      <c r="P34" s="2"/>
    </row>
    <row r="35" spans="1:19">
      <c r="A35" s="28"/>
      <c r="B35" s="8"/>
      <c r="C35" s="8"/>
      <c r="K35" s="28" t="s">
        <v>380</v>
      </c>
      <c r="L35" s="75">
        <f>SDC_Design_NRE</f>
        <v>2871745.8874925873</v>
      </c>
      <c r="M35" s="8" t="s">
        <v>234</v>
      </c>
      <c r="N35" s="40" t="s">
        <v>381</v>
      </c>
      <c r="P35" s="32"/>
    </row>
    <row r="36" spans="1:19">
      <c r="A36" s="28"/>
      <c r="B36" s="8"/>
      <c r="C36" s="8"/>
      <c r="K36" s="28" t="s">
        <v>382</v>
      </c>
      <c r="L36" s="8">
        <f>Const_Total_Compute</f>
        <v>16500</v>
      </c>
      <c r="M36" s="8" t="s">
        <v>59</v>
      </c>
      <c r="N36" s="19"/>
    </row>
    <row r="37" spans="1:19">
      <c r="A37" s="20"/>
      <c r="K37" s="28" t="s">
        <v>383</v>
      </c>
      <c r="L37" s="8">
        <f>Const_Total_Memory</f>
        <v>105600</v>
      </c>
      <c r="M37" s="8" t="s">
        <v>62</v>
      </c>
      <c r="N37" s="19"/>
    </row>
    <row r="38" spans="1:19">
      <c r="A38" s="28"/>
      <c r="B38" s="44"/>
      <c r="C38" s="8"/>
      <c r="K38" s="28" t="s">
        <v>384</v>
      </c>
      <c r="L38" s="8">
        <f>Const_Total_Storage</f>
        <v>1100</v>
      </c>
      <c r="M38" s="8" t="s">
        <v>69</v>
      </c>
      <c r="N38" s="19"/>
      <c r="Q38" s="47"/>
    </row>
    <row r="39" spans="1:19">
      <c r="A39" s="28"/>
      <c r="B39" s="8"/>
      <c r="C39" s="8"/>
      <c r="K39" s="28" t="s">
        <v>385</v>
      </c>
      <c r="L39" s="8">
        <f>Const_Inter_SDC_BW</f>
        <v>220</v>
      </c>
      <c r="M39" s="8" t="s">
        <v>31</v>
      </c>
      <c r="N39" s="19"/>
      <c r="Q39" s="47"/>
    </row>
    <row r="40" spans="1:19">
      <c r="A40" s="18"/>
      <c r="K40" s="28" t="s">
        <v>386</v>
      </c>
      <c r="L40" s="8">
        <f>Const_To_Client_BW</f>
        <v>55</v>
      </c>
      <c r="M40" s="8" t="s">
        <v>31</v>
      </c>
      <c r="N40" s="19"/>
      <c r="Q40" s="47"/>
    </row>
    <row r="41" spans="1:19">
      <c r="A41" s="18"/>
      <c r="K41" s="28" t="s">
        <v>387</v>
      </c>
      <c r="L41" s="8">
        <f>Const_Deployment_Cost</f>
        <v>190348367.56115073</v>
      </c>
      <c r="M41" s="8" t="s">
        <v>234</v>
      </c>
      <c r="N41" s="19"/>
    </row>
    <row r="42" spans="1:19" ht="17" thickBot="1">
      <c r="B42" s="3"/>
      <c r="K42" s="21"/>
      <c r="L42" s="23"/>
      <c r="M42" s="23"/>
      <c r="N42" s="24"/>
      <c r="P42" s="32"/>
    </row>
    <row r="43" spans="1:19">
      <c r="P43" s="8"/>
      <c r="Q43" s="44"/>
      <c r="R43" s="8"/>
      <c r="S43" s="8"/>
    </row>
    <row r="44" spans="1:19">
      <c r="P44" s="9"/>
      <c r="Q44" s="43"/>
      <c r="R44" s="9"/>
      <c r="S44" s="9"/>
    </row>
    <row r="45" spans="1:19">
      <c r="A45" s="1"/>
      <c r="Q45" s="70"/>
      <c r="R45" s="3"/>
    </row>
    <row r="46" spans="1:19">
      <c r="A46" s="8"/>
      <c r="B46" s="8"/>
      <c r="C46" s="8"/>
      <c r="P46" s="9"/>
      <c r="Q46" s="43"/>
      <c r="R46" s="9"/>
      <c r="S46" s="9"/>
    </row>
    <row r="47" spans="1:19">
      <c r="A47" s="8"/>
      <c r="B47" s="8"/>
      <c r="C47" s="8"/>
      <c r="P47" s="9"/>
      <c r="Q47" s="43"/>
      <c r="R47" s="9"/>
      <c r="S47" s="9"/>
    </row>
    <row r="48" spans="1:19">
      <c r="A48" s="8"/>
      <c r="B48" s="8"/>
      <c r="C48" s="8"/>
    </row>
    <row r="49" spans="1:3">
      <c r="A49" s="8"/>
      <c r="B49" s="8"/>
      <c r="C49" s="8"/>
    </row>
    <row r="50" spans="1:3">
      <c r="A50" s="8"/>
      <c r="B50" s="8"/>
      <c r="C50" s="8"/>
    </row>
    <row r="51" spans="1:3">
      <c r="A51" s="8"/>
      <c r="B51" s="8"/>
      <c r="C51" s="8"/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CA3A-F269-9B4A-AA9F-B4E9F6796314}">
  <sheetPr codeName="Sheet5"/>
  <dimension ref="A1:AE42"/>
  <sheetViews>
    <sheetView workbookViewId="0"/>
  </sheetViews>
  <sheetFormatPr baseColWidth="10" defaultColWidth="11" defaultRowHeight="16"/>
  <cols>
    <col min="1" max="1" width="40.1640625" customWidth="1"/>
    <col min="2" max="2" width="9" customWidth="1"/>
    <col min="3" max="3" width="12" customWidth="1"/>
    <col min="4" max="4" width="14" customWidth="1"/>
    <col min="6" max="6" width="42.6640625" customWidth="1"/>
    <col min="9" max="9" width="15.33203125" customWidth="1"/>
    <col min="11" max="11" width="37.5" customWidth="1"/>
    <col min="14" max="14" width="20.83203125" customWidth="1"/>
    <col min="16" max="16" width="27.1640625" customWidth="1"/>
    <col min="17" max="17" width="19" customWidth="1"/>
    <col min="19" max="19" width="13.5" customWidth="1"/>
  </cols>
  <sheetData>
    <row r="1" spans="1:31" ht="21">
      <c r="A1" s="4" t="s">
        <v>388</v>
      </c>
    </row>
    <row r="2" spans="1:31" ht="21">
      <c r="A2" s="4" t="s">
        <v>389</v>
      </c>
    </row>
    <row r="6" spans="1:31" ht="22" thickBot="1">
      <c r="A6" s="4" t="s">
        <v>318</v>
      </c>
      <c r="F6" s="10" t="s">
        <v>319</v>
      </c>
      <c r="K6" s="4" t="s">
        <v>390</v>
      </c>
      <c r="P6" s="4" t="s">
        <v>391</v>
      </c>
    </row>
    <row r="7" spans="1:31" ht="19">
      <c r="A7" s="111" t="s">
        <v>322</v>
      </c>
      <c r="B7" s="112" t="s">
        <v>1</v>
      </c>
      <c r="C7" s="112" t="s">
        <v>52</v>
      </c>
      <c r="D7" s="113" t="s">
        <v>53</v>
      </c>
      <c r="E7" s="2"/>
      <c r="F7" s="13" t="s">
        <v>323</v>
      </c>
      <c r="G7" s="14" t="s">
        <v>1</v>
      </c>
      <c r="H7" s="14" t="s">
        <v>52</v>
      </c>
      <c r="I7" s="15" t="s">
        <v>53</v>
      </c>
      <c r="J7" s="2"/>
      <c r="K7" s="146" t="s">
        <v>324</v>
      </c>
      <c r="L7" s="147" t="s">
        <v>1</v>
      </c>
      <c r="M7" s="147" t="s">
        <v>52</v>
      </c>
      <c r="N7" s="148" t="s">
        <v>53</v>
      </c>
      <c r="O7" s="2"/>
      <c r="P7" s="111" t="s">
        <v>325</v>
      </c>
      <c r="Q7" s="112" t="s">
        <v>1</v>
      </c>
      <c r="R7" s="112" t="s">
        <v>326</v>
      </c>
      <c r="S7" s="113" t="s">
        <v>53</v>
      </c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</row>
    <row r="8" spans="1:31">
      <c r="A8" s="127" t="s">
        <v>327</v>
      </c>
      <c r="D8" s="115"/>
      <c r="F8" s="27"/>
      <c r="I8" s="19"/>
      <c r="K8" s="149" t="s">
        <v>327</v>
      </c>
      <c r="N8" s="150"/>
      <c r="P8" s="159" t="s">
        <v>392</v>
      </c>
      <c r="Q8" s="170"/>
      <c r="R8" s="6"/>
      <c r="S8" s="160"/>
    </row>
    <row r="9" spans="1:31">
      <c r="A9" s="114" t="s">
        <v>330</v>
      </c>
      <c r="B9" s="8">
        <f>Workload_Compute_total</f>
        <v>148.05000000000001</v>
      </c>
      <c r="C9" s="8" t="s">
        <v>59</v>
      </c>
      <c r="D9" s="118"/>
      <c r="F9" s="18"/>
      <c r="I9" s="19"/>
      <c r="K9" s="151" t="s">
        <v>330</v>
      </c>
      <c r="L9" s="8">
        <f>Workload_Compute_total</f>
        <v>148.05000000000001</v>
      </c>
      <c r="M9" s="8" t="s">
        <v>59</v>
      </c>
      <c r="N9" s="150"/>
      <c r="P9" s="140" t="s">
        <v>393</v>
      </c>
      <c r="Q9" s="45">
        <f>Battery_Capacity_Effective</f>
        <v>776.26539580645704</v>
      </c>
      <c r="R9" s="34" t="s">
        <v>394</v>
      </c>
      <c r="S9" s="115"/>
    </row>
    <row r="10" spans="1:31">
      <c r="A10" s="114" t="s">
        <v>333</v>
      </c>
      <c r="B10" s="8">
        <f>Workload_Memory_total</f>
        <v>10</v>
      </c>
      <c r="C10" s="8" t="s">
        <v>62</v>
      </c>
      <c r="D10" s="115"/>
      <c r="F10" s="18"/>
      <c r="I10" s="19"/>
      <c r="K10" s="151" t="s">
        <v>333</v>
      </c>
      <c r="L10" s="8">
        <f>Workload_Memory_total</f>
        <v>10</v>
      </c>
      <c r="M10" s="8" t="s">
        <v>62</v>
      </c>
      <c r="N10" s="150"/>
      <c r="P10" s="140" t="s">
        <v>395</v>
      </c>
      <c r="Q10" s="45">
        <f>Power_Total_Usable</f>
        <v>194.25668781390596</v>
      </c>
      <c r="R10" s="34" t="s">
        <v>347</v>
      </c>
      <c r="S10" s="115"/>
    </row>
    <row r="11" spans="1:31">
      <c r="A11" s="114" t="s">
        <v>336</v>
      </c>
      <c r="B11" s="8">
        <f>Workload_Storage_total</f>
        <v>0.2268</v>
      </c>
      <c r="C11" s="8" t="s">
        <v>69</v>
      </c>
      <c r="D11" s="115"/>
      <c r="F11" s="18"/>
      <c r="I11" s="19"/>
      <c r="K11" s="151" t="s">
        <v>336</v>
      </c>
      <c r="L11" s="8">
        <f>Workload_Storage_total</f>
        <v>0.2268</v>
      </c>
      <c r="M11" s="8" t="s">
        <v>69</v>
      </c>
      <c r="N11" s="150"/>
      <c r="P11" s="140" t="s">
        <v>396</v>
      </c>
      <c r="Q11" s="45">
        <f>Power_Total_Dissipated_sun</f>
        <v>242.9367957499596</v>
      </c>
      <c r="R11" s="34" t="s">
        <v>347</v>
      </c>
      <c r="S11" s="118" t="s">
        <v>397</v>
      </c>
    </row>
    <row r="12" spans="1:31">
      <c r="A12" s="114" t="s">
        <v>339</v>
      </c>
      <c r="B12" s="8">
        <f>Workload_Bandwidth_IntraPod</f>
        <v>3</v>
      </c>
      <c r="C12" s="8" t="s">
        <v>340</v>
      </c>
      <c r="D12" s="115"/>
      <c r="F12" s="18"/>
      <c r="I12" s="19"/>
      <c r="K12" s="151" t="s">
        <v>339</v>
      </c>
      <c r="L12" s="8">
        <f>Workload_Bandwidth_IntraPod</f>
        <v>3</v>
      </c>
      <c r="M12" s="8" t="s">
        <v>340</v>
      </c>
      <c r="N12" s="150"/>
      <c r="P12" s="140" t="s">
        <v>398</v>
      </c>
      <c r="Q12" s="45">
        <f>Power_Weight_Total</f>
        <v>9.806419717364971</v>
      </c>
      <c r="R12" s="34" t="s">
        <v>57</v>
      </c>
      <c r="S12" s="115"/>
    </row>
    <row r="13" spans="1:31" ht="17" thickBot="1">
      <c r="A13" s="114" t="s">
        <v>343</v>
      </c>
      <c r="B13" s="8">
        <f>Workload_Bandwidth_InterSDC</f>
        <v>0.5</v>
      </c>
      <c r="C13" s="8" t="s">
        <v>31</v>
      </c>
      <c r="D13" s="115"/>
      <c r="F13" s="18"/>
      <c r="I13" s="19"/>
      <c r="K13" s="151" t="s">
        <v>343</v>
      </c>
      <c r="L13" s="8">
        <f>Workload_Bandwidth_InterSDC</f>
        <v>0.5</v>
      </c>
      <c r="M13" s="8" t="s">
        <v>31</v>
      </c>
      <c r="N13" s="150"/>
      <c r="P13" s="141" t="s">
        <v>399</v>
      </c>
      <c r="Q13" s="142">
        <f>Power_Cost_Total</f>
        <v>17443.980242116777</v>
      </c>
      <c r="R13" s="143" t="s">
        <v>234</v>
      </c>
      <c r="S13" s="121"/>
    </row>
    <row r="14" spans="1:31" ht="17" thickBot="1">
      <c r="A14" s="116"/>
      <c r="D14" s="115"/>
      <c r="F14" s="18"/>
      <c r="I14" s="19"/>
      <c r="K14" s="152"/>
      <c r="N14" s="150"/>
    </row>
    <row r="15" spans="1:31">
      <c r="A15" s="127" t="s">
        <v>348</v>
      </c>
      <c r="D15" s="115"/>
      <c r="F15" s="18"/>
      <c r="I15" s="19"/>
      <c r="K15" s="149" t="s">
        <v>350</v>
      </c>
      <c r="N15" s="150"/>
      <c r="P15" s="137" t="s">
        <v>400</v>
      </c>
      <c r="Q15" s="144"/>
      <c r="R15" s="138"/>
      <c r="S15" s="139"/>
    </row>
    <row r="16" spans="1:31">
      <c r="A16" s="114" t="s">
        <v>351</v>
      </c>
      <c r="B16" s="8">
        <f>Structural_Mass_Fraction</f>
        <v>20</v>
      </c>
      <c r="C16" s="8" t="s">
        <v>40</v>
      </c>
      <c r="D16" s="118" t="s">
        <v>352</v>
      </c>
      <c r="F16" s="18"/>
      <c r="I16" s="19"/>
      <c r="K16" s="151" t="s">
        <v>351</v>
      </c>
      <c r="L16" s="8">
        <f>Structural_Mass_Fraction</f>
        <v>20</v>
      </c>
      <c r="M16" s="8" t="s">
        <v>40</v>
      </c>
      <c r="N16" s="150"/>
      <c r="P16" s="140" t="s">
        <v>401</v>
      </c>
      <c r="Q16" s="45">
        <f>Thermal_Power_Total</f>
        <v>0</v>
      </c>
      <c r="R16" s="34" t="s">
        <v>347</v>
      </c>
      <c r="S16" s="115"/>
    </row>
    <row r="17" spans="1:19" ht="17" thickBot="1">
      <c r="A17" s="128"/>
      <c r="B17" s="120"/>
      <c r="C17" s="120"/>
      <c r="D17" s="121"/>
      <c r="F17" s="21"/>
      <c r="G17" s="23"/>
      <c r="H17" s="23"/>
      <c r="I17" s="24"/>
      <c r="K17" s="153"/>
      <c r="L17" s="154"/>
      <c r="M17" s="155"/>
      <c r="N17" s="156"/>
      <c r="P17" s="140" t="s">
        <v>398</v>
      </c>
      <c r="Q17" s="45">
        <f>Thermal_Weight_Total</f>
        <v>1.7147706895582431</v>
      </c>
      <c r="R17" s="34" t="s">
        <v>57</v>
      </c>
      <c r="S17" s="115"/>
    </row>
    <row r="18" spans="1:19" ht="17" thickBot="1">
      <c r="P18" s="141" t="s">
        <v>399</v>
      </c>
      <c r="Q18" s="142">
        <f>Thermal_Cost_Total</f>
        <v>1533.1617351011021</v>
      </c>
      <c r="R18" s="143" t="s">
        <v>234</v>
      </c>
      <c r="S18" s="121"/>
    </row>
    <row r="19" spans="1:19" ht="22" thickBot="1">
      <c r="K19" s="99" t="s">
        <v>402</v>
      </c>
      <c r="L19" s="131"/>
      <c r="M19" s="131"/>
      <c r="N19" s="89"/>
    </row>
    <row r="20" spans="1:19" ht="17" thickBot="1">
      <c r="K20" s="92"/>
      <c r="N20" s="93"/>
      <c r="P20" s="137" t="s">
        <v>403</v>
      </c>
      <c r="Q20" s="145"/>
      <c r="R20" s="138"/>
      <c r="S20" s="139"/>
    </row>
    <row r="21" spans="1:19" ht="21">
      <c r="A21" s="129" t="s">
        <v>370</v>
      </c>
      <c r="B21" s="112" t="s">
        <v>1</v>
      </c>
      <c r="C21" s="112" t="s">
        <v>52</v>
      </c>
      <c r="D21" s="113" t="s">
        <v>53</v>
      </c>
      <c r="K21" s="101" t="s">
        <v>329</v>
      </c>
      <c r="N21" s="93"/>
      <c r="P21" s="114" t="s">
        <v>335</v>
      </c>
      <c r="Q21" s="44">
        <f>SDC_Pod_Compute_Power_Limit</f>
        <v>870</v>
      </c>
      <c r="R21" s="8" t="s">
        <v>59</v>
      </c>
      <c r="S21" s="115"/>
    </row>
    <row r="22" spans="1:19">
      <c r="A22" s="117"/>
      <c r="B22" s="1"/>
      <c r="D22" s="115"/>
      <c r="K22" s="132" t="s">
        <v>332</v>
      </c>
      <c r="N22" s="93"/>
      <c r="P22" s="114" t="s">
        <v>404</v>
      </c>
      <c r="Q22" s="8">
        <f>SDC_Pod_Compute_Req</f>
        <v>150</v>
      </c>
      <c r="R22" s="8" t="s">
        <v>59</v>
      </c>
      <c r="S22" s="118"/>
    </row>
    <row r="23" spans="1:19">
      <c r="A23" s="114" t="s">
        <v>372</v>
      </c>
      <c r="B23" s="8">
        <f>Launch_Cost_LEO_per_kg</f>
        <v>1727.3910999597194</v>
      </c>
      <c r="C23" s="8" t="s">
        <v>219</v>
      </c>
      <c r="D23" s="118"/>
      <c r="K23" s="103" t="s">
        <v>335</v>
      </c>
      <c r="L23" s="8">
        <f>SDC_Pod_Compute_Power_Limit</f>
        <v>870</v>
      </c>
      <c r="M23" s="8" t="s">
        <v>59</v>
      </c>
      <c r="N23" s="104"/>
      <c r="P23" s="116"/>
      <c r="S23" s="115"/>
    </row>
    <row r="24" spans="1:19" ht="17" thickBot="1">
      <c r="A24" s="128"/>
      <c r="B24" s="130"/>
      <c r="C24" s="120"/>
      <c r="D24" s="121"/>
      <c r="K24" s="103" t="s">
        <v>338</v>
      </c>
      <c r="L24" s="8">
        <f>SDC_Pod_Memory_P_Limit</f>
        <v>5568</v>
      </c>
      <c r="M24" s="8" t="s">
        <v>62</v>
      </c>
      <c r="N24" s="104"/>
      <c r="P24" s="114" t="s">
        <v>338</v>
      </c>
      <c r="Q24" s="44">
        <f>SDC_Pod_Memory_P_Limit</f>
        <v>5568</v>
      </c>
      <c r="R24" s="8" t="s">
        <v>62</v>
      </c>
      <c r="S24" s="118"/>
    </row>
    <row r="25" spans="1:19">
      <c r="B25" s="3"/>
      <c r="K25" s="103" t="s">
        <v>342</v>
      </c>
      <c r="L25" s="44">
        <f>SDC_Pod_Storage</f>
        <v>10</v>
      </c>
      <c r="M25" s="8" t="s">
        <v>69</v>
      </c>
      <c r="N25" s="104"/>
      <c r="P25" s="114" t="s">
        <v>405</v>
      </c>
      <c r="Q25" s="8">
        <f>SDC_Pod_Memory</f>
        <v>960</v>
      </c>
      <c r="R25" s="8" t="s">
        <v>62</v>
      </c>
      <c r="S25" s="118"/>
    </row>
    <row r="26" spans="1:19">
      <c r="B26" s="3"/>
      <c r="K26" s="103" t="s">
        <v>345</v>
      </c>
      <c r="L26" s="44">
        <f>SDC_Pod_Network_I_BW</f>
        <v>212.6</v>
      </c>
      <c r="M26" s="8" t="s">
        <v>31</v>
      </c>
      <c r="N26" s="104"/>
      <c r="P26" s="116"/>
      <c r="S26" s="115"/>
    </row>
    <row r="27" spans="1:19">
      <c r="K27" s="103" t="s">
        <v>346</v>
      </c>
      <c r="L27" s="44">
        <f>SDC_Pod_Power</f>
        <v>155.18954174803864</v>
      </c>
      <c r="M27" s="8" t="s">
        <v>347</v>
      </c>
      <c r="N27" s="104"/>
      <c r="P27" s="114" t="s">
        <v>342</v>
      </c>
      <c r="Q27" s="44">
        <f>SDC_Pod_Storage</f>
        <v>10</v>
      </c>
      <c r="R27" s="8" t="s">
        <v>69</v>
      </c>
      <c r="S27" s="115"/>
    </row>
    <row r="28" spans="1:19">
      <c r="K28" s="92"/>
      <c r="N28" s="93"/>
      <c r="P28" s="114" t="s">
        <v>406</v>
      </c>
      <c r="Q28" s="42" cm="1">
        <f t="array" ref="Q28">SDC_Pod_Network_I_BW</f>
        <v>212.6</v>
      </c>
      <c r="R28" s="8" t="s">
        <v>31</v>
      </c>
      <c r="S28" s="118" t="s">
        <v>407</v>
      </c>
    </row>
    <row r="29" spans="1:19">
      <c r="A29" s="1"/>
      <c r="B29" s="3"/>
      <c r="K29" s="132" t="s">
        <v>354</v>
      </c>
      <c r="N29" s="93"/>
      <c r="P29" s="114" t="s">
        <v>408</v>
      </c>
      <c r="Q29" s="42" cm="1">
        <f t="array" ref="Q29">SDC_Pod_Network_II_BW</f>
        <v>0</v>
      </c>
      <c r="R29" s="8" t="s">
        <v>31</v>
      </c>
      <c r="S29" s="118" t="s">
        <v>409</v>
      </c>
    </row>
    <row r="30" spans="1:19">
      <c r="B30" s="3"/>
      <c r="K30" s="103" t="s">
        <v>410</v>
      </c>
      <c r="L30" s="44">
        <f>Power_Total_Usable-SDC_Pod_Power_Spare</f>
        <v>192.09831243268076</v>
      </c>
      <c r="M30" s="8" t="s">
        <v>347</v>
      </c>
      <c r="N30" s="104" t="s">
        <v>411</v>
      </c>
      <c r="P30" s="116"/>
      <c r="S30" s="115"/>
    </row>
    <row r="31" spans="1:19">
      <c r="B31" s="3"/>
      <c r="K31" s="102" t="s">
        <v>360</v>
      </c>
      <c r="L31" s="43">
        <f>(SDC_Pod_Weight+Power_Weight_Total+Thermal_Weight_Total)/(1-Structural_Mass_Fraction/100)</f>
        <v>14.987144545362762</v>
      </c>
      <c r="M31" s="9" t="s">
        <v>57</v>
      </c>
      <c r="N31" s="110"/>
      <c r="P31" s="140" t="s">
        <v>401</v>
      </c>
      <c r="Q31" s="45">
        <f>SDC_Pod_Power</f>
        <v>155.18954174803864</v>
      </c>
      <c r="R31" s="34" t="s">
        <v>347</v>
      </c>
      <c r="S31" s="115"/>
    </row>
    <row r="32" spans="1:19">
      <c r="B32" s="3"/>
      <c r="K32" s="92" t="s">
        <v>364</v>
      </c>
      <c r="L32" s="70" t="s">
        <v>412</v>
      </c>
      <c r="M32" s="3" t="s">
        <v>365</v>
      </c>
      <c r="N32" s="94" t="s">
        <v>413</v>
      </c>
      <c r="P32" s="140" t="s">
        <v>414</v>
      </c>
      <c r="Q32" s="45">
        <f>SDC_Pod_Power_Spare</f>
        <v>2.1583753812251985</v>
      </c>
      <c r="R32" s="34" t="s">
        <v>347</v>
      </c>
      <c r="S32" s="115"/>
    </row>
    <row r="33" spans="1:19">
      <c r="K33" s="102" t="s">
        <v>415</v>
      </c>
      <c r="L33" s="76">
        <f>Power_Cost_Total+Thermal_Cost_Total+SDC_Pod_Cost</f>
        <v>22518.786660831305</v>
      </c>
      <c r="M33" s="9" t="s">
        <v>234</v>
      </c>
      <c r="N33" s="110" t="s">
        <v>369</v>
      </c>
      <c r="P33" s="140" t="s">
        <v>398</v>
      </c>
      <c r="Q33" s="45">
        <f>SDC_Pod_Weight</f>
        <v>0.4685252293669962</v>
      </c>
      <c r="R33" s="34" t="s">
        <v>57</v>
      </c>
      <c r="S33" s="115"/>
    </row>
    <row r="34" spans="1:19" ht="17" thickBot="1">
      <c r="K34" s="133" t="s">
        <v>334</v>
      </c>
      <c r="L34" s="310">
        <f>IF(ToplevelArchitecture = "Scout",SDC_Weight*Launch_Cost_LEO_per_kg,IF(ToplevelArchitecture = "LEO-GEO",SDC_Weight*Launch_Cost_GEO_per_kg,SDC_Weight*Launch_Cost_GEO_per_kg*5))</f>
        <v>1681814.1376451515</v>
      </c>
      <c r="M34" s="135" t="s">
        <v>234</v>
      </c>
      <c r="N34" s="136"/>
      <c r="P34" s="141" t="s">
        <v>399</v>
      </c>
      <c r="Q34" s="142">
        <f>SDC_Pod_Cost</f>
        <v>3541.644683613426</v>
      </c>
      <c r="R34" s="143" t="s">
        <v>234</v>
      </c>
      <c r="S34" s="121"/>
    </row>
    <row r="35" spans="1:19">
      <c r="A35" s="1"/>
    </row>
    <row r="36" spans="1:19">
      <c r="A36" s="12"/>
    </row>
    <row r="37" spans="1:19">
      <c r="B37" s="3"/>
    </row>
    <row r="38" spans="1:19">
      <c r="B38" s="3"/>
    </row>
    <row r="40" spans="1:19">
      <c r="A40" s="12"/>
    </row>
    <row r="42" spans="1:19">
      <c r="B42" s="3"/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464D7-ECBC-B343-AFB3-C849A66FCF25}">
  <sheetPr codeName="Sheet6"/>
  <dimension ref="A1:S77"/>
  <sheetViews>
    <sheetView topLeftCell="A6" workbookViewId="0">
      <selection activeCell="I77" sqref="I77"/>
    </sheetView>
  </sheetViews>
  <sheetFormatPr baseColWidth="10" defaultColWidth="11" defaultRowHeight="16"/>
  <cols>
    <col min="1" max="1" width="50.33203125" customWidth="1"/>
    <col min="2" max="2" width="9.1640625" customWidth="1"/>
    <col min="3" max="3" width="12.1640625" customWidth="1"/>
    <col min="4" max="4" width="14" customWidth="1"/>
    <col min="5" max="5" width="6" customWidth="1"/>
    <col min="6" max="6" width="39.6640625" customWidth="1"/>
    <col min="7" max="7" width="9.33203125" customWidth="1"/>
    <col min="8" max="8" width="9.83203125" customWidth="1"/>
    <col min="9" max="9" width="36" customWidth="1"/>
    <col min="10" max="10" width="5" customWidth="1"/>
    <col min="11" max="11" width="35.1640625" customWidth="1"/>
    <col min="14" max="14" width="19" customWidth="1"/>
    <col min="15" max="15" width="5.5" customWidth="1"/>
    <col min="16" max="16" width="20.1640625" customWidth="1"/>
    <col min="19" max="19" width="12.1640625" customWidth="1"/>
  </cols>
  <sheetData>
    <row r="1" spans="1:19" ht="21">
      <c r="A1" s="4" t="s">
        <v>416</v>
      </c>
    </row>
    <row r="6" spans="1:19" ht="22" thickBot="1">
      <c r="A6" s="4" t="s">
        <v>318</v>
      </c>
      <c r="F6" s="10" t="s">
        <v>319</v>
      </c>
      <c r="K6" s="4" t="s">
        <v>417</v>
      </c>
      <c r="P6" s="4" t="s">
        <v>418</v>
      </c>
    </row>
    <row r="7" spans="1:19" s="2" customFormat="1" ht="19">
      <c r="A7" s="111" t="s">
        <v>419</v>
      </c>
      <c r="B7" s="112" t="s">
        <v>1</v>
      </c>
      <c r="C7" s="112" t="s">
        <v>52</v>
      </c>
      <c r="D7" s="113" t="s">
        <v>53</v>
      </c>
      <c r="F7" s="13" t="s">
        <v>420</v>
      </c>
      <c r="G7" s="14" t="s">
        <v>1</v>
      </c>
      <c r="H7" s="14" t="s">
        <v>52</v>
      </c>
      <c r="I7" s="15" t="s">
        <v>53</v>
      </c>
      <c r="K7" s="146" t="s">
        <v>324</v>
      </c>
      <c r="L7" s="147" t="s">
        <v>1</v>
      </c>
      <c r="M7" s="147" t="s">
        <v>52</v>
      </c>
      <c r="N7" s="148" t="s">
        <v>53</v>
      </c>
      <c r="P7" s="111" t="s">
        <v>421</v>
      </c>
      <c r="Q7" s="112" t="s">
        <v>1</v>
      </c>
      <c r="R7" s="112" t="s">
        <v>326</v>
      </c>
      <c r="S7" s="113" t="s">
        <v>53</v>
      </c>
    </row>
    <row r="8" spans="1:19">
      <c r="A8" s="159" t="s">
        <v>55</v>
      </c>
      <c r="B8" s="6"/>
      <c r="C8" s="6"/>
      <c r="D8" s="160"/>
      <c r="E8" s="6"/>
      <c r="F8" s="16" t="s">
        <v>55</v>
      </c>
      <c r="G8" s="6"/>
      <c r="H8" s="6"/>
      <c r="I8" s="17"/>
      <c r="J8" s="6"/>
      <c r="K8" s="161" t="s">
        <v>422</v>
      </c>
      <c r="L8" s="6"/>
      <c r="M8" s="6"/>
      <c r="N8" s="162"/>
      <c r="O8" s="6"/>
      <c r="P8" s="159" t="s">
        <v>422</v>
      </c>
      <c r="Q8" s="86"/>
      <c r="R8" s="6"/>
      <c r="S8" s="160"/>
    </row>
    <row r="9" spans="1:19">
      <c r="A9" s="114" t="s">
        <v>423</v>
      </c>
      <c r="B9" s="8">
        <f>Workload_Compute_total</f>
        <v>148.05000000000001</v>
      </c>
      <c r="C9" s="8" t="s">
        <v>59</v>
      </c>
      <c r="D9" s="118"/>
      <c r="F9" s="38" t="s">
        <v>424</v>
      </c>
      <c r="G9" s="9">
        <f>B9*B32</f>
        <v>148.05000000000001</v>
      </c>
      <c r="H9" s="9" t="s">
        <v>59</v>
      </c>
      <c r="I9" s="39"/>
      <c r="K9" s="151" t="s">
        <v>87</v>
      </c>
      <c r="L9" s="8">
        <f>SDC_Compute_per_Node</f>
        <v>10</v>
      </c>
      <c r="M9" s="8" t="s">
        <v>59</v>
      </c>
      <c r="N9" s="150"/>
      <c r="P9" s="114" t="s">
        <v>425</v>
      </c>
      <c r="Q9" s="179">
        <f>CN_Power</f>
        <v>1.6204160499030102</v>
      </c>
      <c r="R9" s="8" t="s">
        <v>347</v>
      </c>
      <c r="S9" s="118"/>
    </row>
    <row r="10" spans="1:19">
      <c r="A10" s="114" t="s">
        <v>426</v>
      </c>
      <c r="B10" s="8">
        <f>Workload_Memory_total</f>
        <v>10</v>
      </c>
      <c r="C10" s="8" t="s">
        <v>62</v>
      </c>
      <c r="D10" s="118"/>
      <c r="F10" s="38" t="s">
        <v>427</v>
      </c>
      <c r="G10" s="9">
        <f>B10*B32</f>
        <v>10</v>
      </c>
      <c r="H10" s="9" t="s">
        <v>62</v>
      </c>
      <c r="I10" s="39"/>
      <c r="K10" s="151" t="s">
        <v>88</v>
      </c>
      <c r="L10" s="8">
        <f>SDC_Memory_per_Node</f>
        <v>64</v>
      </c>
      <c r="M10" s="8" t="s">
        <v>428</v>
      </c>
      <c r="N10" s="150"/>
      <c r="P10" s="114" t="s">
        <v>429</v>
      </c>
      <c r="Q10" s="44">
        <f>CN_Cost</f>
        <v>28.727511769638465</v>
      </c>
      <c r="R10" s="8" t="s">
        <v>234</v>
      </c>
      <c r="S10" s="118"/>
    </row>
    <row r="11" spans="1:19">
      <c r="A11" s="116"/>
      <c r="D11" s="115"/>
      <c r="F11" s="38" t="s">
        <v>430</v>
      </c>
      <c r="G11" s="9">
        <f>MAX(CEILING(G9/B47,1), CEILING(G10/B48,1))</f>
        <v>15</v>
      </c>
      <c r="H11" s="9" t="s">
        <v>65</v>
      </c>
      <c r="I11" s="39" t="s">
        <v>431</v>
      </c>
      <c r="K11" s="152"/>
      <c r="N11" s="150"/>
      <c r="P11" s="114" t="s">
        <v>432</v>
      </c>
      <c r="Q11" s="179">
        <f>CN_Weight</f>
        <v>0.76365070617830844</v>
      </c>
      <c r="R11" s="8" t="s">
        <v>433</v>
      </c>
      <c r="S11" s="118"/>
    </row>
    <row r="12" spans="1:19">
      <c r="A12" s="116"/>
      <c r="D12" s="115"/>
      <c r="F12" s="18"/>
      <c r="I12" s="19"/>
      <c r="K12" s="152"/>
      <c r="N12" s="150"/>
      <c r="P12" s="116"/>
      <c r="Q12" s="179"/>
      <c r="S12" s="115"/>
    </row>
    <row r="13" spans="1:19">
      <c r="A13" s="159" t="s">
        <v>66</v>
      </c>
      <c r="B13" s="6"/>
      <c r="C13" s="6"/>
      <c r="D13" s="160"/>
      <c r="E13" s="6"/>
      <c r="F13" s="16" t="s">
        <v>66</v>
      </c>
      <c r="G13" s="6"/>
      <c r="H13" s="6"/>
      <c r="I13" s="17"/>
      <c r="J13" s="6"/>
      <c r="K13" s="161" t="s">
        <v>434</v>
      </c>
      <c r="L13" s="6"/>
      <c r="M13" s="6"/>
      <c r="N13" s="162"/>
      <c r="O13" s="6"/>
      <c r="P13" s="159" t="s">
        <v>434</v>
      </c>
      <c r="Q13" s="180"/>
      <c r="R13" s="6"/>
      <c r="S13" s="160"/>
    </row>
    <row r="14" spans="1:19">
      <c r="A14" s="114" t="s">
        <v>435</v>
      </c>
      <c r="B14" s="8">
        <f>Workload_Storage_total</f>
        <v>0.2268</v>
      </c>
      <c r="C14" s="8" t="s">
        <v>69</v>
      </c>
      <c r="D14" s="115"/>
      <c r="F14" s="38" t="s">
        <v>436</v>
      </c>
      <c r="G14" s="9">
        <f>B14*B32</f>
        <v>0.2268</v>
      </c>
      <c r="H14" s="9" t="s">
        <v>69</v>
      </c>
      <c r="I14" s="19"/>
      <c r="K14" s="151" t="s">
        <v>437</v>
      </c>
      <c r="L14" s="8">
        <f>SDC_Storage_per_Node</f>
        <v>10</v>
      </c>
      <c r="M14" s="8" t="s">
        <v>69</v>
      </c>
      <c r="N14" s="150"/>
      <c r="P14" s="114" t="s">
        <v>425</v>
      </c>
      <c r="Q14" s="179">
        <f>SN_Power</f>
        <v>0.15749013123685904</v>
      </c>
      <c r="R14" s="8" t="s">
        <v>347</v>
      </c>
      <c r="S14" s="118"/>
    </row>
    <row r="15" spans="1:19">
      <c r="A15" s="116"/>
      <c r="D15" s="115"/>
      <c r="F15" s="38" t="s">
        <v>430</v>
      </c>
      <c r="G15" s="9">
        <f>_xlfn.CEILING.MATH(G14/B54,1)</f>
        <v>1</v>
      </c>
      <c r="H15" s="9" t="s">
        <v>65</v>
      </c>
      <c r="I15" s="39" t="s">
        <v>373</v>
      </c>
      <c r="K15" s="152"/>
      <c r="N15" s="150"/>
      <c r="P15" s="114" t="s">
        <v>429</v>
      </c>
      <c r="Q15" s="44">
        <f>SN_Cost</f>
        <v>4.9999999999999964</v>
      </c>
      <c r="R15" s="8" t="s">
        <v>234</v>
      </c>
      <c r="S15" s="118"/>
    </row>
    <row r="16" spans="1:19">
      <c r="A16" s="116"/>
      <c r="D16" s="115"/>
      <c r="F16" s="38" t="s">
        <v>438</v>
      </c>
      <c r="G16" s="43">
        <f>SDC_Storage_numb_hours*OTIO_Number_Terminals * OTIO_DataRate_Max*3600/8/1000</f>
        <v>3.9174775348325572</v>
      </c>
      <c r="H16" s="9" t="s">
        <v>69</v>
      </c>
      <c r="I16" s="19"/>
      <c r="K16" s="152"/>
      <c r="N16" s="150"/>
      <c r="P16" s="114" t="s">
        <v>432</v>
      </c>
      <c r="Q16" s="179">
        <f>SN_Weight</f>
        <v>6.2499999999999956</v>
      </c>
      <c r="R16" s="8" t="s">
        <v>433</v>
      </c>
      <c r="S16" s="118"/>
    </row>
    <row r="17" spans="1:19">
      <c r="A17" s="116"/>
      <c r="D17" s="115"/>
      <c r="F17" s="18"/>
      <c r="I17" s="19"/>
      <c r="K17" s="152"/>
      <c r="N17" s="150"/>
      <c r="P17" s="116"/>
      <c r="Q17" s="179"/>
      <c r="S17" s="115"/>
    </row>
    <row r="18" spans="1:19">
      <c r="A18" s="159" t="s">
        <v>439</v>
      </c>
      <c r="B18" s="6"/>
      <c r="C18" s="6"/>
      <c r="D18" s="160"/>
      <c r="E18" s="6"/>
      <c r="F18" s="16" t="s">
        <v>439</v>
      </c>
      <c r="G18" s="6"/>
      <c r="H18" s="6"/>
      <c r="I18" s="17"/>
      <c r="J18" s="6"/>
      <c r="K18" s="161" t="s">
        <v>439</v>
      </c>
      <c r="L18" s="6"/>
      <c r="M18" s="6"/>
      <c r="N18" s="162"/>
      <c r="O18" s="6"/>
      <c r="P18" s="159" t="s">
        <v>439</v>
      </c>
      <c r="Q18" s="180"/>
      <c r="R18" s="6"/>
      <c r="S18" s="160"/>
    </row>
    <row r="19" spans="1:19">
      <c r="A19" s="114" t="s">
        <v>440</v>
      </c>
      <c r="B19" s="8">
        <f>SDC_NetworkSwitches_Number_of</f>
        <v>1</v>
      </c>
      <c r="C19" s="8" t="s">
        <v>65</v>
      </c>
      <c r="D19" s="115"/>
      <c r="F19" s="38" t="s">
        <v>441</v>
      </c>
      <c r="G19" s="9">
        <f>G11+B24+B27</f>
        <v>21</v>
      </c>
      <c r="H19" s="9" t="s">
        <v>65</v>
      </c>
      <c r="I19" s="39" t="s">
        <v>373</v>
      </c>
      <c r="K19" s="151" t="s">
        <v>441</v>
      </c>
      <c r="L19" s="8">
        <f>NS_Ports_Number_of</f>
        <v>21</v>
      </c>
      <c r="M19" s="8" t="s">
        <v>65</v>
      </c>
      <c r="N19" s="150"/>
      <c r="P19" s="114" t="s">
        <v>442</v>
      </c>
      <c r="Q19" s="179">
        <f>NS_Power</f>
        <v>13.85483306311539</v>
      </c>
      <c r="R19" s="8" t="s">
        <v>347</v>
      </c>
      <c r="S19" s="118"/>
    </row>
    <row r="20" spans="1:19">
      <c r="A20" s="114" t="s">
        <v>443</v>
      </c>
      <c r="B20" s="8">
        <v>10</v>
      </c>
      <c r="C20" s="8" t="s">
        <v>31</v>
      </c>
      <c r="D20" s="115" t="s">
        <v>444</v>
      </c>
      <c r="F20" s="28"/>
      <c r="G20" s="8"/>
      <c r="H20" s="8"/>
      <c r="I20" s="40"/>
      <c r="K20" s="151" t="s">
        <v>443</v>
      </c>
      <c r="L20" s="8">
        <f>NS_Internode_BW</f>
        <v>10</v>
      </c>
      <c r="M20" s="8" t="s">
        <v>31</v>
      </c>
      <c r="N20" s="150"/>
      <c r="P20" s="114" t="s">
        <v>445</v>
      </c>
      <c r="Q20" s="44">
        <f>NS_Cost</f>
        <v>692.74165315576931</v>
      </c>
      <c r="R20" s="8" t="s">
        <v>234</v>
      </c>
      <c r="S20" s="118"/>
    </row>
    <row r="21" spans="1:19">
      <c r="A21" s="114" t="s">
        <v>446</v>
      </c>
      <c r="B21" s="8">
        <f>OTIO_Network_Buffer_Memory</f>
        <v>1</v>
      </c>
      <c r="C21" s="8" t="s">
        <v>14</v>
      </c>
      <c r="D21" s="115"/>
      <c r="F21" s="18"/>
      <c r="I21" s="19"/>
      <c r="K21" s="152"/>
      <c r="N21" s="150"/>
      <c r="P21" s="114" t="s">
        <v>447</v>
      </c>
      <c r="Q21" s="179">
        <f>NS_Weight</f>
        <v>318.30047896718349</v>
      </c>
      <c r="R21" s="8" t="s">
        <v>433</v>
      </c>
      <c r="S21" s="118"/>
    </row>
    <row r="22" spans="1:19">
      <c r="A22" s="116"/>
      <c r="D22" s="115"/>
      <c r="F22" s="18"/>
      <c r="I22" s="19"/>
      <c r="K22" s="152"/>
      <c r="N22" s="150"/>
      <c r="P22" s="116"/>
      <c r="Q22" s="179"/>
      <c r="S22" s="115"/>
    </row>
    <row r="23" spans="1:19">
      <c r="A23" s="159" t="s">
        <v>448</v>
      </c>
      <c r="B23" s="6"/>
      <c r="C23" s="6"/>
      <c r="D23" s="160"/>
      <c r="E23" s="6"/>
      <c r="F23" s="16" t="s">
        <v>448</v>
      </c>
      <c r="G23" s="6"/>
      <c r="H23" s="6"/>
      <c r="I23" s="17"/>
      <c r="J23" s="6"/>
      <c r="K23" s="161" t="s">
        <v>448</v>
      </c>
      <c r="L23" s="6"/>
      <c r="M23" s="6"/>
      <c r="N23" s="162"/>
      <c r="O23" s="6"/>
      <c r="P23" s="159" t="s">
        <v>448</v>
      </c>
      <c r="Q23" s="59"/>
      <c r="R23" s="6"/>
      <c r="S23" s="160"/>
    </row>
    <row r="24" spans="1:19">
      <c r="A24" s="114" t="s">
        <v>449</v>
      </c>
      <c r="B24" s="8">
        <f>OTIO_Number_Terminals</f>
        <v>5</v>
      </c>
      <c r="C24" s="8" t="s">
        <v>65</v>
      </c>
      <c r="D24" s="115"/>
      <c r="F24" s="28" t="s">
        <v>95</v>
      </c>
      <c r="G24" s="8">
        <f>OTIO_Number_Terminals</f>
        <v>5</v>
      </c>
      <c r="H24" s="8" t="s">
        <v>65</v>
      </c>
      <c r="I24" s="40" t="s">
        <v>373</v>
      </c>
      <c r="K24" s="149" t="s">
        <v>450</v>
      </c>
      <c r="N24" s="150"/>
      <c r="P24" s="127" t="s">
        <v>451</v>
      </c>
      <c r="Q24" s="60"/>
      <c r="S24" s="115"/>
    </row>
    <row r="25" spans="1:19">
      <c r="A25" s="114" t="s">
        <v>1324</v>
      </c>
      <c r="B25" s="8">
        <f>LEO_Orbits_Intra_Distance</f>
        <v>4510</v>
      </c>
      <c r="C25" s="8" t="s">
        <v>29</v>
      </c>
      <c r="D25" s="115"/>
      <c r="F25" s="28" t="s">
        <v>99</v>
      </c>
      <c r="G25" s="8">
        <f>OTGS_Numb_Terminals</f>
        <v>1</v>
      </c>
      <c r="H25" s="8" t="s">
        <v>65</v>
      </c>
      <c r="I25" s="40"/>
      <c r="K25" s="151" t="s">
        <v>1323</v>
      </c>
      <c r="L25" s="8">
        <f>LEO_Orbits_Intra_Distance</f>
        <v>4510</v>
      </c>
      <c r="M25" s="8" t="s">
        <v>29</v>
      </c>
      <c r="N25" s="150"/>
      <c r="P25" s="114" t="s">
        <v>452</v>
      </c>
      <c r="Q25" s="179">
        <f>OTIO_SDC_Power</f>
        <v>4.0204442424896236E-2</v>
      </c>
      <c r="R25" s="8" t="s">
        <v>347</v>
      </c>
      <c r="S25" s="118"/>
    </row>
    <row r="26" spans="1:19">
      <c r="A26" s="114" t="s">
        <v>453</v>
      </c>
      <c r="B26" s="8">
        <f>OTIO_DataRate_Nominal</f>
        <v>0.5</v>
      </c>
      <c r="C26" s="8" t="s">
        <v>31</v>
      </c>
      <c r="D26" s="115"/>
      <c r="F26" s="18"/>
      <c r="I26" s="19"/>
      <c r="K26" s="151" t="s">
        <v>454</v>
      </c>
      <c r="L26" s="8">
        <f>OTIO_DataRate_Nominal</f>
        <v>0.5</v>
      </c>
      <c r="M26" s="8" t="s">
        <v>31</v>
      </c>
      <c r="N26" s="150"/>
      <c r="P26" s="114" t="s">
        <v>455</v>
      </c>
      <c r="Q26" s="44">
        <f>OTIO_SDC_Cost</f>
        <v>11.486983549970351</v>
      </c>
      <c r="R26" s="8" t="s">
        <v>234</v>
      </c>
      <c r="S26" s="118"/>
    </row>
    <row r="27" spans="1:19">
      <c r="A27" s="114" t="s">
        <v>456</v>
      </c>
      <c r="B27" s="8">
        <f>OTGS_Numb_Terminals</f>
        <v>1</v>
      </c>
      <c r="C27" s="8" t="s">
        <v>65</v>
      </c>
      <c r="D27" s="115"/>
      <c r="F27" s="18"/>
      <c r="I27" s="19"/>
      <c r="K27" s="152"/>
      <c r="N27" s="150"/>
      <c r="P27" s="114" t="s">
        <v>457</v>
      </c>
      <c r="Q27" s="179">
        <f>OTIO_SDC_Weight</f>
        <v>5.1691425974866572E-3</v>
      </c>
      <c r="R27" s="8" t="s">
        <v>57</v>
      </c>
      <c r="S27" s="118"/>
    </row>
    <row r="28" spans="1:19">
      <c r="A28" s="114" t="s">
        <v>458</v>
      </c>
      <c r="B28" s="8">
        <f>OTGS_Link_Distance</f>
        <v>1000</v>
      </c>
      <c r="C28" s="8" t="s">
        <v>29</v>
      </c>
      <c r="D28" s="115"/>
      <c r="F28" s="18"/>
      <c r="I28" s="19"/>
      <c r="K28" s="152"/>
      <c r="N28" s="150"/>
      <c r="P28" s="116"/>
      <c r="Q28" s="60"/>
      <c r="S28" s="115"/>
    </row>
    <row r="29" spans="1:19">
      <c r="A29" s="114" t="s">
        <v>459</v>
      </c>
      <c r="B29" s="8">
        <f>OTGS_DataRate_Nom</f>
        <v>0.1</v>
      </c>
      <c r="C29" s="8" t="s">
        <v>31</v>
      </c>
      <c r="D29" s="115"/>
      <c r="F29" s="18"/>
      <c r="I29" s="19"/>
      <c r="K29" s="149" t="s">
        <v>460</v>
      </c>
      <c r="N29" s="150"/>
      <c r="P29" s="127" t="s">
        <v>461</v>
      </c>
      <c r="Q29" s="60"/>
      <c r="S29" s="115"/>
    </row>
    <row r="30" spans="1:19">
      <c r="A30" s="116"/>
      <c r="D30" s="115"/>
      <c r="F30" s="18"/>
      <c r="I30" s="19"/>
      <c r="K30" s="151" t="s">
        <v>462</v>
      </c>
      <c r="L30" s="8">
        <f>OTGS_Link_Distance</f>
        <v>1000</v>
      </c>
      <c r="M30" s="8" t="s">
        <v>29</v>
      </c>
      <c r="N30" s="150"/>
      <c r="P30" s="114" t="s">
        <v>452</v>
      </c>
      <c r="Q30" s="179">
        <f>OTGS_SDC_Power</f>
        <v>0.45947934199881396</v>
      </c>
      <c r="R30" s="8" t="s">
        <v>347</v>
      </c>
      <c r="S30" s="118"/>
    </row>
    <row r="31" spans="1:19">
      <c r="A31" s="117" t="s">
        <v>463</v>
      </c>
      <c r="D31" s="115"/>
      <c r="F31" s="18"/>
      <c r="I31" s="19"/>
      <c r="K31" s="151" t="s">
        <v>454</v>
      </c>
      <c r="L31" s="8">
        <f>OTGS_DataRate_Nom</f>
        <v>0.1</v>
      </c>
      <c r="M31" s="8" t="s">
        <v>31</v>
      </c>
      <c r="N31" s="150"/>
      <c r="P31" s="114" t="s">
        <v>455</v>
      </c>
      <c r="Q31" s="44">
        <f>OTGS_SDC_Cost</f>
        <v>287.17458874925876</v>
      </c>
      <c r="R31" s="8" t="s">
        <v>234</v>
      </c>
      <c r="S31" s="118"/>
    </row>
    <row r="32" spans="1:19">
      <c r="A32" s="114" t="s">
        <v>464</v>
      </c>
      <c r="B32" s="8">
        <f>SDCs_Numb_Clients</f>
        <v>1</v>
      </c>
      <c r="C32" s="8" t="s">
        <v>65</v>
      </c>
      <c r="D32" s="115"/>
      <c r="F32" s="18"/>
      <c r="I32" s="19"/>
      <c r="K32" s="152"/>
      <c r="N32" s="150"/>
      <c r="P32" s="114" t="s">
        <v>457</v>
      </c>
      <c r="Q32" s="179">
        <f>OTGS_SDC_Weight</f>
        <v>5.1691425974866576E-2</v>
      </c>
      <c r="R32" s="8" t="s">
        <v>57</v>
      </c>
      <c r="S32" s="118"/>
    </row>
    <row r="33" spans="1:19" ht="17" thickBot="1">
      <c r="A33" s="128"/>
      <c r="B33" s="120"/>
      <c r="C33" s="120"/>
      <c r="D33" s="121"/>
      <c r="F33" s="53"/>
      <c r="G33" s="52"/>
      <c r="H33" s="52"/>
      <c r="I33" s="54"/>
      <c r="K33" s="163"/>
      <c r="L33" s="164"/>
      <c r="M33" s="164"/>
      <c r="N33" s="156"/>
      <c r="P33" s="128"/>
      <c r="Q33" s="120"/>
      <c r="R33" s="120"/>
      <c r="S33" s="121"/>
    </row>
    <row r="36" spans="1:19" ht="17" thickBot="1"/>
    <row r="37" spans="1:19" ht="22">
      <c r="A37" s="165" t="s">
        <v>370</v>
      </c>
      <c r="B37" s="166" t="s">
        <v>1</v>
      </c>
      <c r="C37" s="166" t="s">
        <v>52</v>
      </c>
      <c r="D37" s="167" t="s">
        <v>53</v>
      </c>
      <c r="F37" s="31" t="s">
        <v>465</v>
      </c>
      <c r="G37" s="29" t="s">
        <v>1</v>
      </c>
      <c r="H37" s="29" t="s">
        <v>52</v>
      </c>
      <c r="I37" s="71" t="s">
        <v>53</v>
      </c>
      <c r="K37" s="99" t="s">
        <v>466</v>
      </c>
      <c r="L37" s="88" t="s">
        <v>1</v>
      </c>
      <c r="M37" s="88" t="s">
        <v>52</v>
      </c>
      <c r="N37" s="100" t="s">
        <v>53</v>
      </c>
    </row>
    <row r="38" spans="1:19">
      <c r="A38" s="116"/>
      <c r="D38" s="115"/>
      <c r="F38" s="16" t="s">
        <v>467</v>
      </c>
      <c r="G38" s="6"/>
      <c r="H38" s="6"/>
      <c r="I38" s="17"/>
      <c r="K38" s="92"/>
      <c r="N38" s="93"/>
    </row>
    <row r="39" spans="1:19">
      <c r="A39" s="116"/>
      <c r="D39" s="115"/>
      <c r="F39" s="38" t="s">
        <v>468</v>
      </c>
      <c r="G39" s="43">
        <f>Power_Total_Usable*(100-Satellite_Power_Overhead_Fraction)/100</f>
        <v>157.34791712926383</v>
      </c>
      <c r="H39" s="9" t="s">
        <v>17</v>
      </c>
      <c r="I39" s="39" t="s">
        <v>469</v>
      </c>
      <c r="K39" s="92"/>
      <c r="N39" s="93"/>
    </row>
    <row r="40" spans="1:19">
      <c r="A40" s="116"/>
      <c r="D40" s="115"/>
      <c r="F40" s="38" t="s">
        <v>470</v>
      </c>
      <c r="G40" s="43">
        <f>MAX(0, SDC_Pod_Power_limit-OTIO_SDC_Power*OTIO_Number_Terminals-NS_Power_All-SN_Power_All-Optical_Terminals_Power_Total)</f>
        <v>142.47407016866379</v>
      </c>
      <c r="H40" s="9" t="s">
        <v>17</v>
      </c>
      <c r="I40" s="39" t="s">
        <v>471</v>
      </c>
      <c r="K40" s="92"/>
      <c r="N40" s="93"/>
    </row>
    <row r="41" spans="1:19">
      <c r="A41" s="116"/>
      <c r="D41" s="115"/>
      <c r="F41" s="28" t="s">
        <v>472</v>
      </c>
      <c r="G41" s="179">
        <f>CN_Power</f>
        <v>1.6204160499030102</v>
      </c>
      <c r="H41" s="8" t="s">
        <v>17</v>
      </c>
      <c r="I41" s="40"/>
      <c r="K41" s="92"/>
      <c r="N41" s="93"/>
    </row>
    <row r="42" spans="1:19">
      <c r="A42" s="116"/>
      <c r="D42" s="115"/>
      <c r="F42" s="38" t="s">
        <v>473</v>
      </c>
      <c r="G42" s="43">
        <f>_xlfn.FLOOR.MATH(SDC_Pod_Power_CompStore/CN_Power)</f>
        <v>87</v>
      </c>
      <c r="H42" s="9" t="s">
        <v>65</v>
      </c>
      <c r="I42" s="39" t="s">
        <v>474</v>
      </c>
      <c r="K42" s="92"/>
      <c r="N42" s="93"/>
    </row>
    <row r="43" spans="1:19">
      <c r="A43" s="116"/>
      <c r="D43" s="115"/>
      <c r="F43" s="38" t="s">
        <v>475</v>
      </c>
      <c r="G43" s="43">
        <f>SDC_Pod_Number_Nodes_P_Limit*SDC_Compute_per_Node</f>
        <v>870</v>
      </c>
      <c r="H43" s="9" t="s">
        <v>476</v>
      </c>
      <c r="I43" s="39"/>
      <c r="K43" s="92"/>
      <c r="N43" s="93"/>
    </row>
    <row r="44" spans="1:19">
      <c r="A44" s="116"/>
      <c r="D44" s="115"/>
      <c r="F44" s="38" t="s">
        <v>477</v>
      </c>
      <c r="G44" s="43">
        <f>SDC_Pod_Number_Nodes_P_Limit*SDC_Memory_per_Node</f>
        <v>5568</v>
      </c>
      <c r="H44" s="9" t="s">
        <v>428</v>
      </c>
      <c r="I44" s="39"/>
      <c r="K44" s="92"/>
      <c r="N44" s="93"/>
    </row>
    <row r="45" spans="1:19">
      <c r="A45" s="116"/>
      <c r="D45" s="115"/>
      <c r="F45" s="18"/>
      <c r="G45" s="60"/>
      <c r="I45" s="19"/>
      <c r="K45" s="92"/>
      <c r="N45" s="93"/>
    </row>
    <row r="46" spans="1:19">
      <c r="A46" s="159" t="s">
        <v>422</v>
      </c>
      <c r="B46" s="5"/>
      <c r="C46" s="5"/>
      <c r="D46" s="168"/>
      <c r="E46" s="6"/>
      <c r="F46" s="16" t="s">
        <v>422</v>
      </c>
      <c r="G46" s="59"/>
      <c r="H46" s="6"/>
      <c r="I46" s="17"/>
      <c r="J46" s="6"/>
      <c r="K46" s="90" t="s">
        <v>422</v>
      </c>
      <c r="L46" s="6"/>
      <c r="M46" s="6"/>
      <c r="N46" s="91"/>
    </row>
    <row r="47" spans="1:19" ht="19">
      <c r="A47" s="114" t="s">
        <v>478</v>
      </c>
      <c r="B47" s="8">
        <f>SDC_Compute_per_Node</f>
        <v>10</v>
      </c>
      <c r="C47" s="8" t="s">
        <v>59</v>
      </c>
      <c r="D47" s="115" t="s">
        <v>373</v>
      </c>
      <c r="F47" s="28" t="s">
        <v>430</v>
      </c>
      <c r="G47" s="44">
        <f>SDC_Pod_Number_Nodes_Required</f>
        <v>15</v>
      </c>
      <c r="H47" s="8" t="s">
        <v>65</v>
      </c>
      <c r="I47" s="40" t="s">
        <v>479</v>
      </c>
      <c r="K47" s="101"/>
      <c r="N47" s="93"/>
    </row>
    <row r="48" spans="1:19">
      <c r="A48" s="114" t="s">
        <v>480</v>
      </c>
      <c r="B48" s="8">
        <f>SDC_Memory_per_Node</f>
        <v>64</v>
      </c>
      <c r="C48" s="8" t="s">
        <v>62</v>
      </c>
      <c r="D48" s="115" t="s">
        <v>373</v>
      </c>
      <c r="F48" s="28" t="s">
        <v>481</v>
      </c>
      <c r="G48" s="44">
        <f>SDC_Pod_Number_Nodes_P_Limit</f>
        <v>87</v>
      </c>
      <c r="H48" s="8" t="s">
        <v>65</v>
      </c>
      <c r="I48" s="40"/>
      <c r="K48" s="102" t="s">
        <v>482</v>
      </c>
      <c r="L48" s="43">
        <f>SDC_Pod_Number_Nodes_Required*SDC_Compute_per_Node</f>
        <v>150</v>
      </c>
      <c r="M48" s="9" t="s">
        <v>59</v>
      </c>
      <c r="N48" s="93"/>
    </row>
    <row r="49" spans="1:14">
      <c r="A49" s="116"/>
      <c r="B49" s="3"/>
      <c r="D49" s="115"/>
      <c r="F49" s="38" t="s">
        <v>483</v>
      </c>
      <c r="G49" s="43">
        <f>SDC_Pod_Number_Nodes_P_Limit*CN_Power</f>
        <v>140.97619634156189</v>
      </c>
      <c r="H49" s="9" t="s">
        <v>347</v>
      </c>
      <c r="I49" s="39"/>
      <c r="K49" s="103" t="s">
        <v>484</v>
      </c>
      <c r="L49" s="8">
        <f>SDC_Pod_Compute_Power_Limit</f>
        <v>870</v>
      </c>
      <c r="M49" s="8" t="s">
        <v>59</v>
      </c>
      <c r="N49" s="104" t="s">
        <v>485</v>
      </c>
    </row>
    <row r="50" spans="1:14">
      <c r="A50" s="116"/>
      <c r="B50" s="3"/>
      <c r="D50" s="115"/>
      <c r="F50" s="38" t="s">
        <v>486</v>
      </c>
      <c r="G50" s="43">
        <f>SDC_Pod_Number_Nodes_P_Limit*CN_Cost</f>
        <v>2499.2935239585463</v>
      </c>
      <c r="H50" s="9" t="s">
        <v>234</v>
      </c>
      <c r="I50" s="39"/>
      <c r="K50" s="102" t="s">
        <v>487</v>
      </c>
      <c r="L50" s="43">
        <f>SDC_Pod_Number_Nodes_Required*SDC_Memory_per_Node</f>
        <v>960</v>
      </c>
      <c r="M50" s="9" t="s">
        <v>62</v>
      </c>
      <c r="N50" s="93"/>
    </row>
    <row r="51" spans="1:14">
      <c r="A51" s="116"/>
      <c r="B51" s="3"/>
      <c r="D51" s="115"/>
      <c r="F51" s="38" t="s">
        <v>488</v>
      </c>
      <c r="G51" s="43">
        <f>SDC_Pod_Number_Nodes_P_Limit*CN_Weight</f>
        <v>66.437611437512828</v>
      </c>
      <c r="H51" s="9" t="s">
        <v>433</v>
      </c>
      <c r="I51" s="39"/>
      <c r="K51" s="103" t="s">
        <v>489</v>
      </c>
      <c r="L51" s="8">
        <f>SDC_Pod_Memory_P_Limit</f>
        <v>5568</v>
      </c>
      <c r="M51" s="8" t="s">
        <v>428</v>
      </c>
      <c r="N51" s="104" t="s">
        <v>485</v>
      </c>
    </row>
    <row r="52" spans="1:14">
      <c r="A52" s="116"/>
      <c r="B52" s="3"/>
      <c r="D52" s="115"/>
      <c r="F52" s="18"/>
      <c r="G52" s="60"/>
      <c r="I52" s="19"/>
      <c r="K52" s="92"/>
      <c r="N52" s="93"/>
    </row>
    <row r="53" spans="1:14">
      <c r="A53" s="159" t="s">
        <v>434</v>
      </c>
      <c r="B53" s="11"/>
      <c r="C53" s="6"/>
      <c r="D53" s="160"/>
      <c r="E53" s="6"/>
      <c r="F53" s="16" t="s">
        <v>434</v>
      </c>
      <c r="G53" s="59"/>
      <c r="H53" s="6"/>
      <c r="I53" s="17"/>
      <c r="J53" s="6"/>
      <c r="K53" s="90" t="s">
        <v>434</v>
      </c>
      <c r="L53" s="6"/>
      <c r="M53" s="6"/>
      <c r="N53" s="91"/>
    </row>
    <row r="54" spans="1:14">
      <c r="A54" s="114" t="s">
        <v>150</v>
      </c>
      <c r="B54" s="8">
        <f>SDC_Storage_per_Node</f>
        <v>10</v>
      </c>
      <c r="C54" s="8" t="s">
        <v>69</v>
      </c>
      <c r="D54" s="115" t="s">
        <v>373</v>
      </c>
      <c r="F54" s="28" t="s">
        <v>430</v>
      </c>
      <c r="G54" s="44">
        <f>SN_Number_of</f>
        <v>1</v>
      </c>
      <c r="H54" s="8" t="s">
        <v>65</v>
      </c>
      <c r="I54" s="40"/>
      <c r="K54" s="102" t="s">
        <v>490</v>
      </c>
      <c r="L54" s="43">
        <f>SN_Number_of*SDC_Storage_per_Node</f>
        <v>10</v>
      </c>
      <c r="M54" s="9" t="s">
        <v>69</v>
      </c>
      <c r="N54" s="110" t="s">
        <v>491</v>
      </c>
    </row>
    <row r="55" spans="1:14">
      <c r="A55" s="116"/>
      <c r="B55" s="3"/>
      <c r="D55" s="115"/>
      <c r="F55" s="38" t="s">
        <v>492</v>
      </c>
      <c r="G55" s="181">
        <f>SN_Number_of*SN_Power</f>
        <v>0.15749013123685904</v>
      </c>
      <c r="H55" s="9" t="s">
        <v>347</v>
      </c>
      <c r="I55" s="39" t="s">
        <v>493</v>
      </c>
      <c r="K55" s="103"/>
      <c r="L55" s="8"/>
      <c r="M55" s="8"/>
      <c r="N55" s="104"/>
    </row>
    <row r="56" spans="1:14">
      <c r="A56" s="116"/>
      <c r="B56" s="3"/>
      <c r="D56" s="115"/>
      <c r="F56" s="38" t="s">
        <v>486</v>
      </c>
      <c r="G56" s="43">
        <f>SN_Number_of*SN_Cost</f>
        <v>4.9999999999999964</v>
      </c>
      <c r="H56" s="9" t="s">
        <v>234</v>
      </c>
      <c r="I56" s="39"/>
      <c r="K56" s="92"/>
      <c r="N56" s="93"/>
    </row>
    <row r="57" spans="1:14">
      <c r="A57" s="116"/>
      <c r="B57" s="3"/>
      <c r="D57" s="115"/>
      <c r="F57" s="38" t="s">
        <v>488</v>
      </c>
      <c r="G57" s="43">
        <f>SN_Number_of*SN_Weight</f>
        <v>6.2499999999999956</v>
      </c>
      <c r="H57" s="9" t="s">
        <v>433</v>
      </c>
      <c r="I57" s="39"/>
      <c r="K57" s="92"/>
      <c r="N57" s="93"/>
    </row>
    <row r="58" spans="1:14">
      <c r="A58" s="116"/>
      <c r="D58" s="115"/>
      <c r="F58" s="18"/>
      <c r="G58" s="60"/>
      <c r="I58" s="19"/>
      <c r="K58" s="92"/>
      <c r="N58" s="93"/>
    </row>
    <row r="59" spans="1:14">
      <c r="A59" s="116"/>
      <c r="D59" s="115"/>
      <c r="F59" s="18"/>
      <c r="G59" s="60"/>
      <c r="I59" s="19"/>
      <c r="K59" s="92"/>
      <c r="N59" s="93"/>
    </row>
    <row r="60" spans="1:14">
      <c r="A60" s="159" t="s">
        <v>439</v>
      </c>
      <c r="B60" s="11"/>
      <c r="C60" s="6"/>
      <c r="D60" s="160"/>
      <c r="E60" s="6"/>
      <c r="F60" s="16" t="s">
        <v>439</v>
      </c>
      <c r="G60" s="59"/>
      <c r="H60" s="6"/>
      <c r="I60" s="17"/>
      <c r="J60" s="6"/>
      <c r="K60" s="90" t="s">
        <v>439</v>
      </c>
      <c r="L60" s="6"/>
      <c r="M60" s="6"/>
      <c r="N60" s="91"/>
    </row>
    <row r="61" spans="1:14">
      <c r="A61" s="114"/>
      <c r="B61" s="8"/>
      <c r="C61" s="8"/>
      <c r="D61" s="115"/>
      <c r="F61" s="28" t="s">
        <v>494</v>
      </c>
      <c r="G61" s="44">
        <f>SDC_NetworkSwitches_Number_of</f>
        <v>1</v>
      </c>
      <c r="H61" s="8" t="s">
        <v>65</v>
      </c>
      <c r="I61" s="40"/>
      <c r="K61" s="102" t="s">
        <v>495</v>
      </c>
      <c r="L61" s="43">
        <f>NS_Ports_Number_of*NS_Internode_BW+OTIO_Number_Terminals*OTIO_DataRate_Nominal+OTGS_Numb_Terminals*OTGS_DataRate_Nom</f>
        <v>212.6</v>
      </c>
      <c r="M61" s="9" t="s">
        <v>31</v>
      </c>
      <c r="N61" s="110" t="s">
        <v>1227</v>
      </c>
    </row>
    <row r="62" spans="1:14">
      <c r="A62" s="114"/>
      <c r="B62" s="8"/>
      <c r="C62" s="8"/>
      <c r="D62" s="115"/>
      <c r="F62" s="38" t="s">
        <v>496</v>
      </c>
      <c r="G62" s="43">
        <f>SDC_NetworkSwitches_Number_of*NS_Power</f>
        <v>13.85483306311539</v>
      </c>
      <c r="H62" s="9" t="s">
        <v>347</v>
      </c>
      <c r="I62" s="39"/>
      <c r="K62" s="102" t="s">
        <v>497</v>
      </c>
      <c r="L62" s="42">
        <v>0</v>
      </c>
      <c r="M62" s="3" t="s">
        <v>31</v>
      </c>
      <c r="N62" s="94" t="s">
        <v>498</v>
      </c>
    </row>
    <row r="63" spans="1:14">
      <c r="A63" s="114"/>
      <c r="B63" s="8"/>
      <c r="C63" s="8"/>
      <c r="D63" s="115"/>
      <c r="F63" s="38" t="s">
        <v>499</v>
      </c>
      <c r="G63" s="43">
        <f>SDC_NetworkSwitches_Number_of*NS_Cost</f>
        <v>692.74165315576931</v>
      </c>
      <c r="H63" s="9" t="s">
        <v>234</v>
      </c>
      <c r="I63" s="39"/>
      <c r="K63" s="92"/>
      <c r="N63" s="93"/>
    </row>
    <row r="64" spans="1:14">
      <c r="A64" s="116"/>
      <c r="D64" s="115"/>
      <c r="F64" s="38" t="s">
        <v>500</v>
      </c>
      <c r="G64" s="43">
        <f>SDC_NetworkSwitches_Number_of*NS_Weight</f>
        <v>318.30047896718349</v>
      </c>
      <c r="H64" s="9" t="s">
        <v>433</v>
      </c>
      <c r="I64" s="39"/>
      <c r="K64" s="92"/>
      <c r="N64" s="93"/>
    </row>
    <row r="65" spans="1:14">
      <c r="A65" s="116"/>
      <c r="D65" s="115"/>
      <c r="F65" s="18"/>
      <c r="G65" s="60"/>
      <c r="I65" s="19"/>
      <c r="K65" s="92"/>
      <c r="N65" s="93"/>
    </row>
    <row r="66" spans="1:14">
      <c r="A66" s="159" t="s">
        <v>448</v>
      </c>
      <c r="B66" s="6"/>
      <c r="C66" s="6"/>
      <c r="D66" s="160"/>
      <c r="E66" s="6"/>
      <c r="F66" s="16" t="s">
        <v>94</v>
      </c>
      <c r="G66" s="59"/>
      <c r="H66" s="6"/>
      <c r="I66" s="17"/>
      <c r="K66" s="90" t="s">
        <v>501</v>
      </c>
      <c r="L66" s="6"/>
      <c r="M66" s="6"/>
      <c r="N66" s="91"/>
    </row>
    <row r="67" spans="1:14">
      <c r="A67" s="169" t="s">
        <v>451</v>
      </c>
      <c r="D67" s="115"/>
      <c r="F67" s="38" t="s">
        <v>502</v>
      </c>
      <c r="G67" s="43">
        <f>OTGS_Numb_Terminals+OTIO_Number_Terminals</f>
        <v>6</v>
      </c>
      <c r="H67" s="9" t="s">
        <v>65</v>
      </c>
      <c r="I67" s="39"/>
      <c r="K67" s="92"/>
      <c r="N67" s="93"/>
    </row>
    <row r="68" spans="1:14">
      <c r="A68" s="114"/>
      <c r="B68" s="8"/>
      <c r="C68" s="8"/>
      <c r="D68" s="115"/>
      <c r="F68" s="38" t="s">
        <v>503</v>
      </c>
      <c r="G68" s="43">
        <f>OTIO_Number_Terminals*OTIO_SDC_Power+OTGS_Numb_Terminals*OTGS_SDC_Power</f>
        <v>0.66050155412329514</v>
      </c>
      <c r="H68" s="9" t="s">
        <v>347</v>
      </c>
      <c r="I68" s="39"/>
      <c r="K68" s="102" t="s">
        <v>504</v>
      </c>
      <c r="L68" s="43">
        <f>CN_Power_All+SN_Power_All+NS_Power_All+Optical_Terminals_Power_Total-OTGS_SDC_Power</f>
        <v>155.18954174803864</v>
      </c>
      <c r="M68" s="9" t="s">
        <v>347</v>
      </c>
      <c r="N68" s="110" t="s">
        <v>505</v>
      </c>
    </row>
    <row r="69" spans="1:14">
      <c r="A69" s="169" t="s">
        <v>506</v>
      </c>
      <c r="B69" s="8"/>
      <c r="C69" s="8"/>
      <c r="D69" s="115"/>
      <c r="F69" s="38" t="s">
        <v>507</v>
      </c>
      <c r="G69" s="43">
        <f>OTIO_Number_Terminals*OTIO_SDC_Cost+OTGS_Numb_Terminals*OTGS_SDC_Cost</f>
        <v>344.60950649911052</v>
      </c>
      <c r="H69" s="9" t="s">
        <v>234</v>
      </c>
      <c r="I69" s="39"/>
      <c r="K69" s="102" t="s">
        <v>508</v>
      </c>
      <c r="L69" s="43">
        <f>SDC_Pod_Power_limit-SDC_Pod_Power</f>
        <v>2.1583753812251985</v>
      </c>
      <c r="M69" s="9" t="s">
        <v>347</v>
      </c>
      <c r="N69" s="110" t="s">
        <v>509</v>
      </c>
    </row>
    <row r="70" spans="1:14">
      <c r="A70" s="114"/>
      <c r="B70" s="8"/>
      <c r="C70" s="8"/>
      <c r="D70" s="115"/>
      <c r="F70" s="38" t="s">
        <v>510</v>
      </c>
      <c r="G70" s="43">
        <f>OTIO_Number_Terminals*OTIO_SDC_Weight+OTGS_Numb_Terminals*OTGS_SDC_Weight</f>
        <v>7.7537138962299856E-2</v>
      </c>
      <c r="H70" s="9" t="s">
        <v>57</v>
      </c>
      <c r="I70" s="39"/>
      <c r="K70" s="102" t="s">
        <v>511</v>
      </c>
      <c r="L70" s="43">
        <f>(CN_Weight_All+SN_Weight_All+NS_Weight_ALL+1000*Optical_Terminal_Weight_All)/1000</f>
        <v>0.4685252293669962</v>
      </c>
      <c r="M70" s="9" t="s">
        <v>57</v>
      </c>
      <c r="N70" s="93"/>
    </row>
    <row r="71" spans="1:14" ht="17" thickBot="1">
      <c r="A71" s="125"/>
      <c r="B71" s="126"/>
      <c r="C71" s="126"/>
      <c r="D71" s="121"/>
      <c r="F71" s="21"/>
      <c r="G71" s="183"/>
      <c r="H71" s="23"/>
      <c r="I71" s="24"/>
      <c r="K71" s="133" t="s">
        <v>512</v>
      </c>
      <c r="L71" s="134">
        <f>CN_Cost_All+SN_Cost_All+NS_Cost_All+Optical_Terminals_Cost_All</f>
        <v>3541.644683613426</v>
      </c>
      <c r="M71" s="135" t="s">
        <v>234</v>
      </c>
      <c r="N71" s="98"/>
    </row>
    <row r="77" spans="1:14">
      <c r="I77" t="s">
        <v>513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219E0-38DE-794F-BA60-C45D56A4904E}">
  <sheetPr codeName="Sheet7"/>
  <dimension ref="A1:N54"/>
  <sheetViews>
    <sheetView workbookViewId="0"/>
  </sheetViews>
  <sheetFormatPr baseColWidth="10" defaultColWidth="11" defaultRowHeight="16"/>
  <cols>
    <col min="1" max="1" width="28.33203125" customWidth="1"/>
    <col min="4" max="4" width="14.83203125" customWidth="1"/>
    <col min="6" max="6" width="35.1640625" customWidth="1"/>
    <col min="9" max="9" width="23.6640625" customWidth="1"/>
    <col min="11" max="11" width="21.6640625" customWidth="1"/>
    <col min="14" max="14" width="23.6640625" customWidth="1"/>
  </cols>
  <sheetData>
    <row r="1" spans="1:14" ht="21">
      <c r="A1" s="4" t="s">
        <v>514</v>
      </c>
    </row>
    <row r="2" spans="1:14">
      <c r="A2" t="s">
        <v>515</v>
      </c>
    </row>
    <row r="4" spans="1:14" ht="22" thickBot="1">
      <c r="A4" s="4" t="s">
        <v>516</v>
      </c>
      <c r="F4" s="4" t="s">
        <v>319</v>
      </c>
      <c r="K4" s="4" t="s">
        <v>517</v>
      </c>
    </row>
    <row r="5" spans="1:14" ht="19">
      <c r="A5" s="111" t="s">
        <v>518</v>
      </c>
      <c r="B5" s="112" t="s">
        <v>1</v>
      </c>
      <c r="C5" s="112" t="s">
        <v>52</v>
      </c>
      <c r="D5" s="113" t="s">
        <v>53</v>
      </c>
      <c r="E5" s="7"/>
      <c r="F5" s="13" t="s">
        <v>519</v>
      </c>
      <c r="G5" s="14" t="s">
        <v>1</v>
      </c>
      <c r="H5" s="14" t="s">
        <v>52</v>
      </c>
      <c r="I5" s="15" t="s">
        <v>53</v>
      </c>
      <c r="K5" s="87" t="s">
        <v>519</v>
      </c>
      <c r="L5" s="106" t="s">
        <v>1</v>
      </c>
      <c r="M5" s="106" t="s">
        <v>52</v>
      </c>
      <c r="N5" s="107" t="s">
        <v>53</v>
      </c>
    </row>
    <row r="6" spans="1:14">
      <c r="A6" s="114"/>
      <c r="B6" s="44"/>
      <c r="C6" s="8"/>
      <c r="D6" s="115"/>
      <c r="F6" s="18"/>
      <c r="I6" s="19"/>
      <c r="K6" s="92"/>
      <c r="N6" s="93"/>
    </row>
    <row r="7" spans="1:14" ht="19">
      <c r="A7" s="114" t="s">
        <v>520</v>
      </c>
      <c r="B7" s="44">
        <f>Power_Total_Dissipated_sun</f>
        <v>242.9367957499596</v>
      </c>
      <c r="C7" s="8" t="s">
        <v>347</v>
      </c>
      <c r="D7" s="115"/>
      <c r="F7" s="38" t="s">
        <v>521</v>
      </c>
      <c r="G7" s="43">
        <f>Thermal_Temperature_max</f>
        <v>323</v>
      </c>
      <c r="H7" s="9" t="s">
        <v>71</v>
      </c>
      <c r="I7" s="39"/>
      <c r="K7" s="101" t="s">
        <v>522</v>
      </c>
      <c r="L7" s="47"/>
      <c r="N7" s="93"/>
    </row>
    <row r="8" spans="1:14">
      <c r="A8" s="114" t="s">
        <v>523</v>
      </c>
      <c r="B8" s="44">
        <f>Thermal_Temperature_max</f>
        <v>323</v>
      </c>
      <c r="C8" s="8" t="s">
        <v>1152</v>
      </c>
      <c r="D8" s="115" t="s">
        <v>1201</v>
      </c>
      <c r="F8" s="38" t="s">
        <v>524</v>
      </c>
      <c r="G8" s="43">
        <f>Thermal_Temperature_min</f>
        <v>273</v>
      </c>
      <c r="H8" s="9" t="s">
        <v>71</v>
      </c>
      <c r="I8" s="39"/>
      <c r="K8" s="102"/>
      <c r="L8" s="43"/>
      <c r="M8" s="9"/>
      <c r="N8" s="110"/>
    </row>
    <row r="9" spans="1:14" ht="17" thickBot="1">
      <c r="A9" s="125"/>
      <c r="B9" s="157"/>
      <c r="C9" s="126"/>
      <c r="D9" s="121"/>
      <c r="F9" s="48"/>
      <c r="G9" s="50"/>
      <c r="H9" s="51"/>
      <c r="I9" s="49"/>
      <c r="K9" s="109" t="s">
        <v>525</v>
      </c>
      <c r="L9" s="50">
        <v>0</v>
      </c>
      <c r="M9" s="51" t="s">
        <v>347</v>
      </c>
      <c r="N9" s="110" t="s">
        <v>526</v>
      </c>
    </row>
    <row r="10" spans="1:14" ht="17" thickBot="1">
      <c r="A10" s="1"/>
      <c r="B10" s="47"/>
      <c r="F10" s="27" t="s">
        <v>527</v>
      </c>
      <c r="G10" s="47"/>
      <c r="I10" s="19"/>
      <c r="K10" s="109" t="s">
        <v>528</v>
      </c>
      <c r="L10" s="50">
        <f>G12+G18</f>
        <v>1.7147706895582431</v>
      </c>
      <c r="M10" s="51" t="s">
        <v>57</v>
      </c>
      <c r="N10" s="110"/>
    </row>
    <row r="11" spans="1:14" ht="19">
      <c r="A11" s="111" t="s">
        <v>529</v>
      </c>
      <c r="B11" s="122"/>
      <c r="C11" s="122"/>
      <c r="D11" s="123"/>
      <c r="F11" s="38" t="s">
        <v>530</v>
      </c>
      <c r="G11" s="43">
        <f>Power_Total_Dissipated_sun/Constant_Boltzmann/(G7-Constant_Cosmic_Background_Temperature)^4/Thermal_Radiator_Efficiency*100</f>
        <v>0.65658475676422778</v>
      </c>
      <c r="H11" s="9" t="s">
        <v>531</v>
      </c>
      <c r="I11" s="49"/>
      <c r="K11" s="109" t="s">
        <v>532</v>
      </c>
      <c r="L11" s="50">
        <f>G13+G19</f>
        <v>1533.1617351011021</v>
      </c>
      <c r="M11" s="51" t="s">
        <v>234</v>
      </c>
      <c r="N11" s="110"/>
    </row>
    <row r="12" spans="1:14" ht="17" thickBot="1">
      <c r="A12" s="116"/>
      <c r="B12" s="1" t="s">
        <v>1</v>
      </c>
      <c r="C12" s="1" t="s">
        <v>52</v>
      </c>
      <c r="D12" s="124" t="s">
        <v>53</v>
      </c>
      <c r="F12" s="38" t="s">
        <v>533</v>
      </c>
      <c r="G12" s="43">
        <f>G11*B14</f>
        <v>1.7147706895582431</v>
      </c>
      <c r="H12" s="9" t="s">
        <v>57</v>
      </c>
      <c r="I12" s="19"/>
      <c r="K12" s="96"/>
      <c r="L12" s="97"/>
      <c r="M12" s="97"/>
      <c r="N12" s="98"/>
    </row>
    <row r="13" spans="1:14">
      <c r="A13" s="114" t="s">
        <v>534</v>
      </c>
      <c r="B13" s="8">
        <f>Thermal_Radiator_Efficiency</f>
        <v>62</v>
      </c>
      <c r="C13" s="8" t="s">
        <v>40</v>
      </c>
      <c r="D13" s="118"/>
      <c r="F13" s="38" t="s">
        <v>535</v>
      </c>
      <c r="G13" s="43">
        <f>G12*Thermal_Radiator_Cost_Specific</f>
        <v>1299.5531709649431</v>
      </c>
      <c r="H13" s="9" t="s">
        <v>234</v>
      </c>
      <c r="I13" s="49"/>
    </row>
    <row r="14" spans="1:14">
      <c r="A14" s="114" t="s">
        <v>536</v>
      </c>
      <c r="B14" s="8">
        <f>Thermal_Radiator_Weight_Specific</f>
        <v>2.611651689888375</v>
      </c>
      <c r="C14" s="8" t="s">
        <v>217</v>
      </c>
      <c r="D14" s="118"/>
      <c r="F14" s="38"/>
      <c r="G14" s="47"/>
      <c r="I14" s="19"/>
    </row>
    <row r="15" spans="1:14">
      <c r="A15" s="114"/>
      <c r="B15" s="8"/>
      <c r="C15" s="8"/>
      <c r="D15" s="115"/>
      <c r="F15" s="27" t="s">
        <v>537</v>
      </c>
      <c r="G15" s="43"/>
      <c r="H15" s="9"/>
      <c r="I15" s="19"/>
    </row>
    <row r="16" spans="1:14">
      <c r="A16" s="114"/>
      <c r="B16" s="8"/>
      <c r="C16" s="8"/>
      <c r="D16" s="115"/>
      <c r="F16" s="38" t="s">
        <v>538</v>
      </c>
      <c r="G16" s="43">
        <f>(SDC_Pod_Weight+Power_Weight_Total)</f>
        <v>10.274944946731967</v>
      </c>
      <c r="H16" s="9" t="s">
        <v>57</v>
      </c>
      <c r="I16" s="39"/>
    </row>
    <row r="17" spans="1:12">
      <c r="A17" s="114"/>
      <c r="B17" s="8"/>
      <c r="C17" s="8"/>
      <c r="D17" s="115"/>
      <c r="F17" s="38" t="s">
        <v>539</v>
      </c>
      <c r="G17" s="43">
        <f>G16*Thermal_Blanket_Specific_Size_Required/100</f>
        <v>0.61649669680391805</v>
      </c>
      <c r="H17" s="9" t="s">
        <v>540</v>
      </c>
      <c r="I17" s="39"/>
    </row>
    <row r="18" spans="1:12">
      <c r="A18" s="116"/>
      <c r="D18" s="115"/>
      <c r="F18" s="38" t="s">
        <v>541</v>
      </c>
      <c r="G18" s="9">
        <f>G17*Thermal_Blanket_Weight_Specific</f>
        <v>0</v>
      </c>
      <c r="H18" s="9" t="s">
        <v>57</v>
      </c>
      <c r="I18" s="39"/>
    </row>
    <row r="19" spans="1:12">
      <c r="A19" s="114"/>
      <c r="B19" s="8"/>
      <c r="C19" s="8"/>
      <c r="D19" s="115"/>
      <c r="F19" s="38" t="s">
        <v>542</v>
      </c>
      <c r="G19" s="43">
        <f>G17*Thermal_Blanket_Cost_Specific</f>
        <v>233.608564136159</v>
      </c>
      <c r="H19" s="9" t="s">
        <v>234</v>
      </c>
      <c r="I19" s="39"/>
    </row>
    <row r="20" spans="1:12">
      <c r="A20" s="114"/>
      <c r="B20" s="8"/>
      <c r="C20" s="8"/>
      <c r="D20" s="115"/>
      <c r="F20" s="38"/>
      <c r="G20" s="43"/>
      <c r="H20" s="9"/>
      <c r="I20" s="39"/>
    </row>
    <row r="21" spans="1:12" ht="17" thickBot="1">
      <c r="A21" s="158"/>
      <c r="B21" s="120"/>
      <c r="C21" s="120"/>
      <c r="D21" s="121"/>
      <c r="F21" s="53"/>
      <c r="G21" s="52"/>
      <c r="H21" s="52"/>
      <c r="I21" s="54"/>
    </row>
    <row r="25" spans="1:12">
      <c r="L25" s="47"/>
    </row>
    <row r="39" spans="1:9">
      <c r="A39" s="8"/>
      <c r="B39" s="8"/>
      <c r="C39" s="8"/>
      <c r="G39" s="9"/>
    </row>
    <row r="40" spans="1:9">
      <c r="A40" s="8"/>
      <c r="B40" s="8"/>
      <c r="C40" s="8"/>
      <c r="G40" s="9"/>
    </row>
    <row r="41" spans="1:9">
      <c r="A41" s="8"/>
      <c r="B41" s="8"/>
      <c r="C41" s="8"/>
      <c r="G41" s="9"/>
    </row>
    <row r="42" spans="1:9">
      <c r="F42" s="1"/>
      <c r="G42" s="9"/>
    </row>
    <row r="43" spans="1:9">
      <c r="G43" s="9"/>
      <c r="I43" s="3"/>
    </row>
    <row r="44" spans="1:9">
      <c r="G44" s="9"/>
      <c r="I44" s="3"/>
    </row>
    <row r="45" spans="1:9">
      <c r="G45" s="9"/>
    </row>
    <row r="47" spans="1:9">
      <c r="F47" s="1"/>
    </row>
    <row r="48" spans="1:9">
      <c r="F48" s="12"/>
    </row>
    <row r="49" spans="6:9">
      <c r="G49" s="9"/>
      <c r="I49" s="3"/>
    </row>
    <row r="50" spans="6:9">
      <c r="G50" s="9"/>
      <c r="I50" s="3"/>
    </row>
    <row r="51" spans="6:9">
      <c r="G51" s="9"/>
      <c r="I51" s="3"/>
    </row>
    <row r="53" spans="6:9">
      <c r="F53" s="12"/>
    </row>
    <row r="54" spans="6:9">
      <c r="G54" s="9"/>
      <c r="I54" s="3"/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FD312-1B82-0942-BBE2-0B53C25C44A2}">
  <sheetPr codeName="Sheet81"/>
  <dimension ref="A1:N55"/>
  <sheetViews>
    <sheetView workbookViewId="0"/>
  </sheetViews>
  <sheetFormatPr baseColWidth="10" defaultColWidth="11" defaultRowHeight="16"/>
  <cols>
    <col min="1" max="1" width="30.1640625" customWidth="1"/>
    <col min="4" max="4" width="13.5" customWidth="1"/>
    <col min="5" max="5" width="6.6640625" customWidth="1"/>
    <col min="6" max="6" width="33.6640625" customWidth="1"/>
    <col min="7" max="7" width="10.83203125" customWidth="1"/>
    <col min="9" max="9" width="29.6640625" customWidth="1"/>
    <col min="11" max="11" width="26.5" customWidth="1"/>
    <col min="14" max="14" width="50.83203125" customWidth="1"/>
  </cols>
  <sheetData>
    <row r="1" spans="1:14" ht="21">
      <c r="A1" s="4" t="s">
        <v>543</v>
      </c>
    </row>
    <row r="3" spans="1:14" ht="22" thickBot="1">
      <c r="A3" s="4" t="s">
        <v>516</v>
      </c>
      <c r="F3" s="4" t="s">
        <v>544</v>
      </c>
      <c r="K3" s="4" t="s">
        <v>517</v>
      </c>
    </row>
    <row r="4" spans="1:14" ht="19">
      <c r="A4" s="111" t="s">
        <v>518</v>
      </c>
      <c r="B4" s="112" t="s">
        <v>1</v>
      </c>
      <c r="C4" s="112" t="s">
        <v>52</v>
      </c>
      <c r="D4" s="113" t="s">
        <v>53</v>
      </c>
      <c r="E4" s="7"/>
      <c r="F4" s="13" t="s">
        <v>545</v>
      </c>
      <c r="G4" s="14" t="s">
        <v>1</v>
      </c>
      <c r="H4" s="14" t="s">
        <v>52</v>
      </c>
      <c r="I4" s="15" t="s">
        <v>53</v>
      </c>
      <c r="K4" s="87" t="s">
        <v>546</v>
      </c>
      <c r="L4" s="106" t="s">
        <v>1</v>
      </c>
      <c r="M4" s="106" t="s">
        <v>52</v>
      </c>
      <c r="N4" s="107" t="s">
        <v>53</v>
      </c>
    </row>
    <row r="5" spans="1:14">
      <c r="A5" s="114" t="s">
        <v>547</v>
      </c>
      <c r="B5" s="44">
        <f>SDC_Pod_Power</f>
        <v>155.18954174803864</v>
      </c>
      <c r="C5" s="8" t="s">
        <v>347</v>
      </c>
      <c r="D5" s="115"/>
      <c r="F5" s="18"/>
      <c r="I5" s="19"/>
      <c r="K5" s="92"/>
      <c r="N5" s="93"/>
    </row>
    <row r="6" spans="1:14" ht="19">
      <c r="A6" s="114" t="s">
        <v>104</v>
      </c>
      <c r="B6" s="8">
        <f>Satellite_Power_Overhead_Fraction</f>
        <v>19</v>
      </c>
      <c r="C6" s="8" t="s">
        <v>40</v>
      </c>
      <c r="D6" s="115"/>
      <c r="F6" s="33" t="s">
        <v>548</v>
      </c>
      <c r="G6" s="45">
        <f>Power_Total_PV_Capacity</f>
        <v>500</v>
      </c>
      <c r="H6" s="34" t="s">
        <v>347</v>
      </c>
      <c r="I6" s="105" t="s">
        <v>549</v>
      </c>
      <c r="K6" s="101" t="s">
        <v>522</v>
      </c>
      <c r="L6" s="47"/>
      <c r="N6" s="93"/>
    </row>
    <row r="7" spans="1:14">
      <c r="A7" s="116"/>
      <c r="D7" s="115"/>
      <c r="F7" s="48" t="s">
        <v>550</v>
      </c>
      <c r="G7" s="50">
        <f>Power_Total_PV_Capacity/(100+PV_Capacity_Reserve)*100</f>
        <v>454.54545454545456</v>
      </c>
      <c r="H7" s="51" t="s">
        <v>347</v>
      </c>
      <c r="I7" s="49" t="s">
        <v>551</v>
      </c>
      <c r="K7" s="92"/>
      <c r="N7" s="93"/>
    </row>
    <row r="8" spans="1:14">
      <c r="A8" s="114" t="s">
        <v>552</v>
      </c>
      <c r="B8" s="44">
        <f>LEO_Orbits_Period</f>
        <v>201.44914850699064</v>
      </c>
      <c r="C8" s="8" t="s">
        <v>84</v>
      </c>
      <c r="D8" s="115"/>
      <c r="F8" s="38" t="s">
        <v>553</v>
      </c>
      <c r="G8" s="43">
        <f>Power_Total_PV_Draw*Power_Conversion_Efficiency/100</f>
        <v>423.21731759098992</v>
      </c>
      <c r="H8" s="9" t="s">
        <v>347</v>
      </c>
      <c r="I8" s="39" t="s">
        <v>554</v>
      </c>
      <c r="K8" s="108" t="s">
        <v>555</v>
      </c>
      <c r="L8" s="45">
        <f>Power_Total_Usable</f>
        <v>194.25668781390596</v>
      </c>
      <c r="M8" s="34" t="s">
        <v>347</v>
      </c>
      <c r="N8" s="104"/>
    </row>
    <row r="9" spans="1:14">
      <c r="A9" s="117"/>
      <c r="D9" s="115"/>
      <c r="F9" s="38" t="s">
        <v>556</v>
      </c>
      <c r="G9" s="50">
        <f>Power_Conversion_Output_Max*Battery_Cycle_Efficiency/(100+Battery_Cycle_Efficiency)</f>
        <v>194.25668781390596</v>
      </c>
      <c r="H9" s="51" t="s">
        <v>347</v>
      </c>
      <c r="I9" s="39" t="s">
        <v>557</v>
      </c>
      <c r="K9" s="109" t="s">
        <v>558</v>
      </c>
      <c r="L9" s="50">
        <f>Power_Total_PV_Draw-G8/2</f>
        <v>242.9367957499596</v>
      </c>
      <c r="M9" s="51" t="s">
        <v>347</v>
      </c>
      <c r="N9" s="110" t="s">
        <v>559</v>
      </c>
    </row>
    <row r="10" spans="1:14">
      <c r="A10" s="114" t="s">
        <v>560</v>
      </c>
      <c r="B10" s="8">
        <f>Battery_Capacity_Reserve</f>
        <v>10</v>
      </c>
      <c r="C10" s="8" t="s">
        <v>40</v>
      </c>
      <c r="D10" s="115"/>
      <c r="F10" s="38" t="s">
        <v>561</v>
      </c>
      <c r="G10" s="43">
        <f>Power_Total_PV_Draw/(Battery_Cycle_Efficiency+100)*100</f>
        <v>245.90915638196421</v>
      </c>
      <c r="H10" s="9" t="s">
        <v>347</v>
      </c>
      <c r="I10" s="39"/>
      <c r="K10" s="109" t="s">
        <v>562</v>
      </c>
      <c r="L10" s="50">
        <f>Power_Conversion_Output_Max/2</f>
        <v>211.60865879549496</v>
      </c>
      <c r="M10" s="51" t="s">
        <v>347</v>
      </c>
      <c r="N10" s="110" t="s">
        <v>563</v>
      </c>
    </row>
    <row r="11" spans="1:14">
      <c r="A11" s="114" t="s">
        <v>564</v>
      </c>
      <c r="B11" s="8">
        <f>Battery_Depth_of_Discharge</f>
        <v>92.421417167447999</v>
      </c>
      <c r="C11" s="8" t="s">
        <v>40</v>
      </c>
      <c r="D11" s="118" t="s">
        <v>565</v>
      </c>
      <c r="F11" s="48" t="s">
        <v>566</v>
      </c>
      <c r="G11" s="50">
        <f>Power_Total_Usable*LEO_Orbits_Period/60/(Battery_Depth_of_Discharge/100)*(1+Battery_Capacity_Reserve/100)</f>
        <v>776.26539580645704</v>
      </c>
      <c r="H11" s="51" t="s">
        <v>394</v>
      </c>
      <c r="I11" s="49" t="s">
        <v>567</v>
      </c>
      <c r="K11" s="109" t="s">
        <v>528</v>
      </c>
      <c r="L11" s="50">
        <f>Power_Conversion_Weight_Total+Battery_Weight_Total+PV_Weight_Total+Cables_Weight_Total</f>
        <v>9.806419717364971</v>
      </c>
      <c r="M11" s="51" t="s">
        <v>57</v>
      </c>
      <c r="N11" s="110"/>
    </row>
    <row r="12" spans="1:14">
      <c r="A12" s="116"/>
      <c r="D12" s="115"/>
      <c r="F12" s="18"/>
      <c r="I12" s="19"/>
      <c r="K12" s="109" t="s">
        <v>532</v>
      </c>
      <c r="L12" s="50">
        <f>Power_Conversion_Cost_Total+Battery_Cost_Total+PV_Cost_Total+Cables_Cost_Total</f>
        <v>17443.980242116777</v>
      </c>
      <c r="M12" s="51" t="s">
        <v>234</v>
      </c>
      <c r="N12" s="110"/>
    </row>
    <row r="13" spans="1:14" ht="17" thickBot="1">
      <c r="A13" s="116"/>
      <c r="D13" s="115"/>
      <c r="F13" s="18"/>
      <c r="I13" s="19"/>
      <c r="K13" s="96"/>
      <c r="L13" s="97"/>
      <c r="M13" s="97"/>
      <c r="N13" s="98"/>
    </row>
    <row r="14" spans="1:14">
      <c r="A14" s="114" t="s">
        <v>568</v>
      </c>
      <c r="B14" s="8">
        <f>PV_Capacity_Reserve</f>
        <v>10</v>
      </c>
      <c r="C14" s="8" t="s">
        <v>40</v>
      </c>
      <c r="D14" s="118" t="s">
        <v>569</v>
      </c>
      <c r="F14" s="18"/>
      <c r="I14" s="19"/>
    </row>
    <row r="15" spans="1:14" ht="17" thickBot="1">
      <c r="A15" s="119"/>
      <c r="B15" s="120"/>
      <c r="C15" s="120"/>
      <c r="D15" s="121"/>
      <c r="F15" s="38"/>
      <c r="G15" s="43"/>
      <c r="H15" s="9"/>
      <c r="I15" s="39"/>
    </row>
    <row r="16" spans="1:14" ht="17" thickBot="1">
      <c r="F16" s="48"/>
      <c r="I16" s="49"/>
    </row>
    <row r="17" spans="1:12" ht="19">
      <c r="A17" s="111" t="s">
        <v>529</v>
      </c>
      <c r="B17" s="122"/>
      <c r="C17" s="122"/>
      <c r="D17" s="123"/>
      <c r="F17" s="18"/>
      <c r="G17" s="47"/>
      <c r="I17" s="19"/>
    </row>
    <row r="18" spans="1:12" ht="19">
      <c r="A18" s="116"/>
      <c r="B18" s="1" t="s">
        <v>1</v>
      </c>
      <c r="C18" s="1" t="s">
        <v>52</v>
      </c>
      <c r="D18" s="124" t="s">
        <v>53</v>
      </c>
      <c r="F18" s="37" t="s">
        <v>570</v>
      </c>
      <c r="G18" s="47"/>
      <c r="I18" s="19"/>
    </row>
    <row r="19" spans="1:12">
      <c r="A19" s="117" t="s">
        <v>571</v>
      </c>
      <c r="D19" s="115"/>
      <c r="F19" s="27" t="s">
        <v>572</v>
      </c>
      <c r="I19" s="19"/>
    </row>
    <row r="20" spans="1:12">
      <c r="A20" s="114" t="s">
        <v>573</v>
      </c>
      <c r="B20" s="8">
        <f>PV_Density</f>
        <v>241.4</v>
      </c>
      <c r="C20" s="8" t="s">
        <v>78</v>
      </c>
      <c r="D20" s="115"/>
      <c r="F20" s="28" t="s">
        <v>574</v>
      </c>
      <c r="G20" s="44">
        <f>Power_Conversion_Output_Max</f>
        <v>423.21731759098992</v>
      </c>
      <c r="H20" s="8" t="s">
        <v>347</v>
      </c>
      <c r="I20" s="39"/>
    </row>
    <row r="21" spans="1:12">
      <c r="A21" s="114" t="s">
        <v>575</v>
      </c>
      <c r="B21" s="8">
        <f>PV_Weight_Specific</f>
        <v>0.75785828325519866</v>
      </c>
      <c r="C21" s="8" t="s">
        <v>204</v>
      </c>
      <c r="D21" s="115"/>
      <c r="F21" s="38" t="s">
        <v>399</v>
      </c>
      <c r="G21" s="43">
        <f>Power_Total_PV_Draw*Power_Conversion_Cost_Specific</f>
        <v>3916.0171193080737</v>
      </c>
      <c r="H21" s="9" t="s">
        <v>234</v>
      </c>
      <c r="I21" s="39"/>
    </row>
    <row r="22" spans="1:12">
      <c r="A22" s="114" t="s">
        <v>576</v>
      </c>
      <c r="B22" s="8">
        <f>PV_Cost_Specific</f>
        <v>5527.6515198711031</v>
      </c>
      <c r="C22" s="8" t="s">
        <v>206</v>
      </c>
      <c r="D22" s="115"/>
      <c r="F22" s="38" t="s">
        <v>398</v>
      </c>
      <c r="G22" s="43">
        <f>Power_Total_PV_Draw*Power_Conversion_Weight/1000</f>
        <v>1.9580085596540369</v>
      </c>
      <c r="H22" s="9" t="s">
        <v>57</v>
      </c>
      <c r="I22" s="39"/>
    </row>
    <row r="23" spans="1:12">
      <c r="A23" s="114" t="s">
        <v>577</v>
      </c>
      <c r="B23" s="8">
        <f>Power_Total_PV_Capacity</f>
        <v>500</v>
      </c>
      <c r="C23" s="8" t="s">
        <v>17</v>
      </c>
      <c r="D23" s="115"/>
      <c r="F23" s="38"/>
      <c r="G23" s="43"/>
      <c r="H23" s="9"/>
      <c r="I23" s="39"/>
    </row>
    <row r="24" spans="1:12">
      <c r="A24" s="116"/>
      <c r="D24" s="115"/>
      <c r="F24" s="27" t="s">
        <v>578</v>
      </c>
      <c r="G24" s="43"/>
      <c r="H24" s="9"/>
      <c r="I24" s="39"/>
      <c r="L24" s="47"/>
    </row>
    <row r="25" spans="1:12">
      <c r="A25" s="117" t="s">
        <v>572</v>
      </c>
      <c r="B25" s="8"/>
      <c r="D25" s="115"/>
      <c r="F25" s="38" t="s">
        <v>399</v>
      </c>
      <c r="G25" s="43">
        <f>Battery_Capacity_Effective*Battery_Cost_Specific</f>
        <v>891.69478320399958</v>
      </c>
      <c r="H25" s="9" t="s">
        <v>234</v>
      </c>
      <c r="I25" s="39"/>
    </row>
    <row r="26" spans="1:12">
      <c r="A26" s="114" t="s">
        <v>179</v>
      </c>
      <c r="B26" s="8">
        <f>Power_Conversion_Efficiency</f>
        <v>93.107809870017775</v>
      </c>
      <c r="C26" s="8" t="s">
        <v>40</v>
      </c>
      <c r="D26" s="115"/>
      <c r="F26" s="38" t="s">
        <v>398</v>
      </c>
      <c r="G26" s="43">
        <f>Battery_Capacity_Effective*Battery_Energy_Density/1000</f>
        <v>5.8829916021629884</v>
      </c>
      <c r="H26" s="9" t="s">
        <v>57</v>
      </c>
      <c r="I26" s="39"/>
    </row>
    <row r="27" spans="1:12">
      <c r="A27" s="114" t="s">
        <v>575</v>
      </c>
      <c r="B27" s="8">
        <f>Power_Conversion_Weight</f>
        <v>4.307618831238881</v>
      </c>
      <c r="C27" s="8" t="s">
        <v>181</v>
      </c>
      <c r="D27" s="115"/>
      <c r="F27" s="38"/>
      <c r="G27" s="43"/>
      <c r="H27" s="9"/>
      <c r="I27" s="39"/>
    </row>
    <row r="28" spans="1:12">
      <c r="A28" s="114" t="s">
        <v>576</v>
      </c>
      <c r="B28" s="8">
        <f>Power_Conversion_Cost_Specific</f>
        <v>8.615237662477762</v>
      </c>
      <c r="C28" s="8" t="s">
        <v>183</v>
      </c>
      <c r="D28" s="115"/>
      <c r="F28" s="38"/>
      <c r="G28" s="43"/>
      <c r="H28" s="9"/>
      <c r="I28" s="39"/>
    </row>
    <row r="29" spans="1:12">
      <c r="A29" s="116"/>
      <c r="D29" s="115"/>
      <c r="F29" s="27" t="s">
        <v>571</v>
      </c>
      <c r="G29" s="43"/>
      <c r="H29" s="9"/>
      <c r="I29" s="39"/>
    </row>
    <row r="30" spans="1:12">
      <c r="A30" s="117" t="s">
        <v>578</v>
      </c>
      <c r="B30" s="8"/>
      <c r="D30" s="115"/>
      <c r="F30" s="28" t="s">
        <v>574</v>
      </c>
      <c r="G30" s="44">
        <f>Power_Total_PV_Capacity</f>
        <v>500</v>
      </c>
      <c r="H30" s="8" t="s">
        <v>347</v>
      </c>
      <c r="I30" s="40"/>
    </row>
    <row r="31" spans="1:12">
      <c r="A31" s="114" t="s">
        <v>579</v>
      </c>
      <c r="B31" s="8">
        <f>Battery_Cycle_Efficiency</f>
        <v>84.84283433489604</v>
      </c>
      <c r="C31" s="8" t="s">
        <v>40</v>
      </c>
      <c r="D31" s="115"/>
      <c r="F31" s="38" t="s">
        <v>399</v>
      </c>
      <c r="G31" s="43">
        <f>PV_Area_Total*PV_Cost_Specific</f>
        <v>11449.153935109989</v>
      </c>
      <c r="H31" s="9" t="s">
        <v>234</v>
      </c>
      <c r="I31" s="39"/>
    </row>
    <row r="32" spans="1:12">
      <c r="A32" s="114" t="s">
        <v>575</v>
      </c>
      <c r="B32" s="8">
        <f>Battery_Energy_Density</f>
        <v>7.5785828325519873</v>
      </c>
      <c r="C32" s="8" t="s">
        <v>193</v>
      </c>
      <c r="D32" s="115"/>
      <c r="F32" s="38" t="s">
        <v>398</v>
      </c>
      <c r="G32" s="43">
        <f>PV_Area_Total*PV_Weight_Specific</f>
        <v>1.5697147540497072</v>
      </c>
      <c r="H32" s="9" t="s">
        <v>57</v>
      </c>
      <c r="I32" s="39"/>
    </row>
    <row r="33" spans="1:9">
      <c r="A33" s="114" t="s">
        <v>576</v>
      </c>
      <c r="B33" s="8">
        <f>Battery_Cost_Specific</f>
        <v>1.1486983549970351</v>
      </c>
      <c r="C33" s="8" t="s">
        <v>197</v>
      </c>
      <c r="D33" s="115"/>
      <c r="F33" s="38" t="s">
        <v>580</v>
      </c>
      <c r="G33" s="43">
        <f>Power_Total_PV_Capacity/PV_Density</f>
        <v>2.0712510356255178</v>
      </c>
      <c r="H33" s="9" t="s">
        <v>531</v>
      </c>
      <c r="I33" s="39"/>
    </row>
    <row r="34" spans="1:9">
      <c r="A34" s="116"/>
      <c r="D34" s="115"/>
      <c r="F34" s="38"/>
      <c r="G34" s="43"/>
      <c r="H34" s="9"/>
      <c r="I34" s="39"/>
    </row>
    <row r="35" spans="1:9">
      <c r="A35" s="117" t="s">
        <v>581</v>
      </c>
      <c r="D35" s="115"/>
      <c r="F35" s="27" t="s">
        <v>207</v>
      </c>
      <c r="G35" s="43"/>
      <c r="H35" s="9"/>
      <c r="I35" s="39"/>
    </row>
    <row r="36" spans="1:9">
      <c r="A36" s="114" t="s">
        <v>582</v>
      </c>
      <c r="B36" s="8">
        <f>Cables_Weight_Specific</f>
        <v>0.8705505632961249</v>
      </c>
      <c r="C36" s="8" t="s">
        <v>209</v>
      </c>
      <c r="D36" s="115"/>
      <c r="F36" s="38" t="s">
        <v>398</v>
      </c>
      <c r="G36" s="43">
        <f>Power_Total_PV_Draw*Cables_Weight_Specific /1000</f>
        <v>0.39570480149823861</v>
      </c>
      <c r="H36" s="9" t="s">
        <v>57</v>
      </c>
      <c r="I36" s="39"/>
    </row>
    <row r="37" spans="1:9">
      <c r="A37" s="114" t="s">
        <v>583</v>
      </c>
      <c r="B37" s="8">
        <f>Cables_Cost_Specific</f>
        <v>2611.6516898883747</v>
      </c>
      <c r="C37" s="8" t="s">
        <v>212</v>
      </c>
      <c r="D37" s="115"/>
      <c r="F37" s="38" t="s">
        <v>399</v>
      </c>
      <c r="G37" s="43">
        <f>Power_Total_PV_Draw*Cables_Cost_Specific/1000</f>
        <v>1187.1144044947159</v>
      </c>
      <c r="H37" s="9" t="s">
        <v>584</v>
      </c>
      <c r="I37" s="39"/>
    </row>
    <row r="38" spans="1:9" ht="17" thickBot="1">
      <c r="A38" s="125"/>
      <c r="B38" s="126"/>
      <c r="C38" s="126"/>
      <c r="D38" s="121"/>
      <c r="F38" s="21"/>
      <c r="G38" s="52"/>
      <c r="H38" s="23"/>
      <c r="I38" s="24"/>
    </row>
    <row r="39" spans="1:9">
      <c r="A39" s="12"/>
    </row>
    <row r="40" spans="1:9">
      <c r="A40" s="8"/>
      <c r="B40" s="8"/>
      <c r="C40" s="8"/>
    </row>
    <row r="46" spans="1:9">
      <c r="G46" s="9"/>
    </row>
    <row r="47" spans="1:9">
      <c r="G47" s="9"/>
    </row>
    <row r="48" spans="1:9">
      <c r="G48" s="9"/>
    </row>
    <row r="49" spans="6:9">
      <c r="G49" s="9"/>
      <c r="I49" s="3"/>
    </row>
    <row r="50" spans="6:9">
      <c r="G50" s="9"/>
      <c r="I50" s="3"/>
    </row>
    <row r="52" spans="6:9">
      <c r="F52" s="12"/>
    </row>
    <row r="53" spans="6:9">
      <c r="G53" s="9"/>
      <c r="I53" s="3"/>
    </row>
    <row r="54" spans="6:9">
      <c r="G54" s="9"/>
      <c r="I54" s="3"/>
    </row>
    <row r="55" spans="6:9">
      <c r="G55" s="9"/>
      <c r="I55" s="3"/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AD255-00D2-8B4D-85B9-22C22AB2D1B9}">
  <sheetPr codeName="Sheet9"/>
  <dimension ref="A1:I59"/>
  <sheetViews>
    <sheetView workbookViewId="0">
      <selection activeCell="P40" sqref="P40"/>
    </sheetView>
  </sheetViews>
  <sheetFormatPr baseColWidth="10" defaultColWidth="11" defaultRowHeight="16"/>
  <cols>
    <col min="1" max="1" width="35.83203125" customWidth="1"/>
    <col min="2" max="2" width="8.5" customWidth="1"/>
    <col min="3" max="3" width="13.1640625" customWidth="1"/>
    <col min="4" max="4" width="15.6640625" customWidth="1"/>
    <col min="5" max="5" width="6.33203125" customWidth="1"/>
    <col min="6" max="6" width="29.33203125" customWidth="1"/>
    <col min="7" max="7" width="9.83203125" customWidth="1"/>
    <col min="9" max="9" width="19.83203125" customWidth="1"/>
  </cols>
  <sheetData>
    <row r="1" spans="1:9" ht="21">
      <c r="A1" s="4" t="s">
        <v>585</v>
      </c>
    </row>
    <row r="3" spans="1:9" ht="22" thickBot="1">
      <c r="A3" s="4" t="s">
        <v>318</v>
      </c>
      <c r="F3" s="4" t="s">
        <v>586</v>
      </c>
    </row>
    <row r="4" spans="1:9" ht="19">
      <c r="A4" s="13" t="s">
        <v>587</v>
      </c>
      <c r="B4" s="29" t="s">
        <v>2</v>
      </c>
      <c r="C4" s="29" t="s">
        <v>326</v>
      </c>
      <c r="D4" s="26" t="s">
        <v>53</v>
      </c>
      <c r="F4" s="87" t="s">
        <v>588</v>
      </c>
      <c r="G4" s="88" t="s">
        <v>589</v>
      </c>
      <c r="H4" s="88" t="s">
        <v>326</v>
      </c>
      <c r="I4" s="89" t="s">
        <v>53</v>
      </c>
    </row>
    <row r="5" spans="1:9">
      <c r="A5" s="16" t="s">
        <v>422</v>
      </c>
      <c r="B5" s="6"/>
      <c r="C5" s="6"/>
      <c r="D5" s="17"/>
      <c r="E5" s="6"/>
      <c r="F5" s="90" t="s">
        <v>422</v>
      </c>
      <c r="G5" s="6"/>
      <c r="H5" s="6"/>
      <c r="I5" s="91"/>
    </row>
    <row r="6" spans="1:9">
      <c r="A6" s="28" t="s">
        <v>87</v>
      </c>
      <c r="B6" s="8">
        <f>SDC_Compute_per_Node</f>
        <v>10</v>
      </c>
      <c r="C6" s="8" t="s">
        <v>59</v>
      </c>
      <c r="D6" s="19"/>
      <c r="F6" s="92" t="s">
        <v>425</v>
      </c>
      <c r="G6" s="181">
        <f>SDC_Compute_per_Node*Compute_Power_GFLOPS</f>
        <v>1.6204160499030102</v>
      </c>
      <c r="H6" t="s">
        <v>347</v>
      </c>
      <c r="I6" s="93"/>
    </row>
    <row r="7" spans="1:9">
      <c r="A7" s="28" t="s">
        <v>88</v>
      </c>
      <c r="B7" s="8">
        <f>SDC_Memory_per_Node</f>
        <v>64</v>
      </c>
      <c r="C7" s="8" t="s">
        <v>62</v>
      </c>
      <c r="D7" s="19"/>
      <c r="F7" s="92" t="s">
        <v>429</v>
      </c>
      <c r="G7" s="181">
        <f>Compute_Cost_GFLOPS*SDC_Compute_per_Node+SDC_Memory_per_Node*Compute_Cost_GBYTE</f>
        <v>28.727511769638465</v>
      </c>
      <c r="H7" t="s">
        <v>234</v>
      </c>
      <c r="I7" s="93"/>
    </row>
    <row r="8" spans="1:9">
      <c r="A8" s="18"/>
      <c r="D8" s="19"/>
      <c r="F8" s="92" t="s">
        <v>432</v>
      </c>
      <c r="G8" s="181">
        <f>Compute_Weight_GFLOPS*SDC_Compute_per_Node</f>
        <v>0.76365070617830844</v>
      </c>
      <c r="H8" t="s">
        <v>433</v>
      </c>
      <c r="I8" s="93"/>
    </row>
    <row r="9" spans="1:9">
      <c r="A9" s="18"/>
      <c r="D9" s="19"/>
      <c r="F9" s="92"/>
      <c r="G9" s="181"/>
      <c r="I9" s="93"/>
    </row>
    <row r="10" spans="1:9">
      <c r="A10" s="16" t="s">
        <v>434</v>
      </c>
      <c r="B10" s="6"/>
      <c r="C10" s="6"/>
      <c r="D10" s="17"/>
      <c r="E10" s="6"/>
      <c r="F10" s="90" t="s">
        <v>590</v>
      </c>
      <c r="G10" s="182"/>
      <c r="H10" s="6"/>
      <c r="I10" s="91"/>
    </row>
    <row r="11" spans="1:9">
      <c r="A11" s="28" t="s">
        <v>591</v>
      </c>
      <c r="B11" s="8">
        <f>SDC_Storage_per_Node</f>
        <v>10</v>
      </c>
      <c r="C11" s="8" t="s">
        <v>69</v>
      </c>
      <c r="D11" s="19"/>
      <c r="F11" s="92" t="s">
        <v>425</v>
      </c>
      <c r="G11" s="181">
        <f>Storage_Power_Specific</f>
        <v>0.15749013123685904</v>
      </c>
      <c r="H11" t="s">
        <v>347</v>
      </c>
      <c r="I11" s="93"/>
    </row>
    <row r="12" spans="1:9">
      <c r="A12" s="18"/>
      <c r="D12" s="19"/>
      <c r="F12" s="92" t="s">
        <v>429</v>
      </c>
      <c r="G12" s="181">
        <f>Storage_Cost_Specific*SDC_Storage_per_Node</f>
        <v>4.9999999999999964</v>
      </c>
      <c r="H12" t="s">
        <v>234</v>
      </c>
      <c r="I12" s="93"/>
    </row>
    <row r="13" spans="1:9">
      <c r="A13" s="18"/>
      <c r="D13" s="19"/>
      <c r="F13" s="92" t="s">
        <v>432</v>
      </c>
      <c r="G13" s="181">
        <f>Storage_Weight_Specific*SDC_Storage_per_Node</f>
        <v>6.2499999999999956</v>
      </c>
      <c r="H13" t="s">
        <v>433</v>
      </c>
      <c r="I13" s="93"/>
    </row>
    <row r="14" spans="1:9">
      <c r="A14" s="18"/>
      <c r="D14" s="19"/>
      <c r="F14" s="92"/>
      <c r="G14" s="181"/>
      <c r="I14" s="93"/>
    </row>
    <row r="15" spans="1:9">
      <c r="A15" s="16" t="s">
        <v>439</v>
      </c>
      <c r="B15" s="6"/>
      <c r="C15" s="6"/>
      <c r="D15" s="17"/>
      <c r="E15" s="6"/>
      <c r="F15" s="90" t="s">
        <v>439</v>
      </c>
      <c r="G15" s="182"/>
      <c r="H15" s="6"/>
      <c r="I15" s="91"/>
    </row>
    <row r="16" spans="1:9">
      <c r="A16" s="28" t="s">
        <v>592</v>
      </c>
      <c r="B16" s="8">
        <f>NS_Ports_Number_of</f>
        <v>21</v>
      </c>
      <c r="C16" s="8" t="s">
        <v>65</v>
      </c>
      <c r="D16" s="19"/>
      <c r="F16" s="92" t="s">
        <v>593</v>
      </c>
      <c r="G16" s="181">
        <f>Network_Power_Gbps_Port*NS_Internode_BW*NS_Ports_Number_of</f>
        <v>13.85483306311539</v>
      </c>
      <c r="H16" t="s">
        <v>347</v>
      </c>
      <c r="I16" s="94"/>
    </row>
    <row r="17" spans="1:9">
      <c r="A17" s="28" t="s">
        <v>443</v>
      </c>
      <c r="B17" s="8">
        <f>NS_Internode_BW</f>
        <v>10</v>
      </c>
      <c r="C17" s="8" t="s">
        <v>31</v>
      </c>
      <c r="D17" s="40" t="s">
        <v>444</v>
      </c>
      <c r="F17" s="92" t="s">
        <v>594</v>
      </c>
      <c r="G17" s="181">
        <f>NS_Ports_Number_of*NS_Internode_BW*Network_Cost_Gbps_Port</f>
        <v>692.74165315576931</v>
      </c>
      <c r="H17" t="s">
        <v>234</v>
      </c>
      <c r="I17" s="94"/>
    </row>
    <row r="18" spans="1:9">
      <c r="A18" s="18" t="s">
        <v>595</v>
      </c>
      <c r="B18" s="8">
        <f>OTIO_Network_Buffer_Memory</f>
        <v>1</v>
      </c>
      <c r="C18" s="8" t="s">
        <v>14</v>
      </c>
      <c r="D18" s="280" t="s">
        <v>596</v>
      </c>
      <c r="F18" s="92" t="s">
        <v>597</v>
      </c>
      <c r="G18" s="181">
        <f>Network_Weight_Port*NS_Ports_Number_of</f>
        <v>318.30047896718349</v>
      </c>
      <c r="H18" t="s">
        <v>433</v>
      </c>
      <c r="I18" s="93"/>
    </row>
    <row r="19" spans="1:9">
      <c r="A19" s="18"/>
      <c r="D19" s="19"/>
      <c r="F19" s="92"/>
      <c r="G19" s="60"/>
      <c r="I19" s="93"/>
    </row>
    <row r="20" spans="1:9">
      <c r="A20" s="16" t="s">
        <v>448</v>
      </c>
      <c r="B20" s="6"/>
      <c r="C20" s="6"/>
      <c r="D20" s="17"/>
      <c r="E20" s="6"/>
      <c r="F20" s="90" t="s">
        <v>448</v>
      </c>
      <c r="G20" s="59"/>
      <c r="H20" s="6"/>
      <c r="I20" s="91"/>
    </row>
    <row r="21" spans="1:9">
      <c r="A21" s="20" t="s">
        <v>450</v>
      </c>
      <c r="D21" s="19"/>
      <c r="F21" s="95" t="s">
        <v>164</v>
      </c>
      <c r="G21" s="60"/>
      <c r="I21" s="93"/>
    </row>
    <row r="22" spans="1:9">
      <c r="A22" s="28" t="s">
        <v>462</v>
      </c>
      <c r="B22" s="8">
        <f>LEO_Orbits_Intra_Distance</f>
        <v>4510</v>
      </c>
      <c r="C22" s="8" t="s">
        <v>29</v>
      </c>
      <c r="D22" s="19"/>
      <c r="F22" s="92" t="s">
        <v>598</v>
      </c>
      <c r="G22" s="324">
        <f>IF(ToplevelArchitecture = "Scout",OTIO_Power_Efficiency*OTIO_DataRate_Nominal*LEO_Orbits_Intra_Distance,IF(ToplevelArchitecture = "LEO-GEO",OTIO_Power_Efficiency*OTIO_DataRate_Nominal*GEO_Orbits_Altitude,OTIO_Power_Efficiency*OTIO_DataRate_Nominal*100))</f>
        <v>4.0204442424896236E-2</v>
      </c>
      <c r="H22" t="s">
        <v>347</v>
      </c>
      <c r="I22" s="94"/>
    </row>
    <row r="23" spans="1:9">
      <c r="A23" s="28" t="s">
        <v>454</v>
      </c>
      <c r="B23" s="8">
        <f>OTIO_DataRate_Nominal</f>
        <v>0.5</v>
      </c>
      <c r="C23" s="8" t="s">
        <v>31</v>
      </c>
      <c r="D23" s="19"/>
      <c r="F23" s="92" t="s">
        <v>599</v>
      </c>
      <c r="G23" s="181">
        <f>IF(ToplevelArchitecture = "Scout", OTIO_Cost_Specific*OTIO_DataRate_Nominal*LEO_Orbits_Intra_Distance,IF(ToplevelArchitecture = "LEO-GEO", OTIO_Cost_Specific*OTIO_DataRate_Nominal*GEO_Orbits_Altitude, OTIO_Cost_Specific*OTIO_DataRate_Nominal*100))</f>
        <v>11.486983549970351</v>
      </c>
      <c r="H23" t="s">
        <v>234</v>
      </c>
      <c r="I23" s="94"/>
    </row>
    <row r="24" spans="1:9">
      <c r="A24" s="20" t="s">
        <v>460</v>
      </c>
      <c r="D24" s="19"/>
      <c r="F24" s="92" t="s">
        <v>600</v>
      </c>
      <c r="G24" s="181">
        <f>IF(ToplevelArchitecture = "Scout", OTIO_Weight_Specific*OTIO_DataRate_Nominal*LEO_Orbits_Intra_Distance,IF(ToplevelArchitecture = "LEO-GEO", OTIO_Weight_Specific*OTIO_DataRate_Nominal*GEO_Orbits_Altitude, OTIO_Weight_Specific*OTIO_DataRate_Nominal*100))</f>
        <v>5.1691425974866572E-3</v>
      </c>
      <c r="H24" t="s">
        <v>57</v>
      </c>
      <c r="I24" s="94"/>
    </row>
    <row r="25" spans="1:9">
      <c r="A25" s="28" t="s">
        <v>462</v>
      </c>
      <c r="B25" s="8">
        <f>OTGS_Link_Distance</f>
        <v>1000</v>
      </c>
      <c r="C25" s="8" t="s">
        <v>29</v>
      </c>
      <c r="D25" s="19"/>
      <c r="F25" s="92"/>
      <c r="G25" s="60"/>
      <c r="I25" s="93"/>
    </row>
    <row r="26" spans="1:9">
      <c r="A26" s="28" t="s">
        <v>454</v>
      </c>
      <c r="B26" s="8">
        <f>OTGS_DataRate_Nom</f>
        <v>0.1</v>
      </c>
      <c r="C26" s="8" t="s">
        <v>31</v>
      </c>
      <c r="D26" s="19"/>
      <c r="F26" s="95" t="s">
        <v>601</v>
      </c>
      <c r="G26" s="60"/>
      <c r="I26" s="93"/>
    </row>
    <row r="27" spans="1:9">
      <c r="A27" s="18"/>
      <c r="D27" s="19"/>
      <c r="F27" s="92" t="s">
        <v>602</v>
      </c>
      <c r="G27" s="181">
        <f>OTGS_Power_Efficiency*OTGS_DataRate_Nom*OTGS_Link_Distance</f>
        <v>0.45947934199881396</v>
      </c>
      <c r="H27" t="s">
        <v>347</v>
      </c>
      <c r="I27" s="94"/>
    </row>
    <row r="28" spans="1:9" ht="19" customHeight="1">
      <c r="A28" s="27"/>
      <c r="D28" s="19"/>
      <c r="F28" s="92" t="s">
        <v>603</v>
      </c>
      <c r="G28" s="181">
        <f>OTGS_Cost_Specific*OTGS_DataRate_Nom*OTGS_Link_Distance</f>
        <v>287.17458874925876</v>
      </c>
      <c r="H28" t="s">
        <v>234</v>
      </c>
      <c r="I28" s="94"/>
    </row>
    <row r="29" spans="1:9">
      <c r="A29" s="28"/>
      <c r="B29" s="44"/>
      <c r="C29" s="8"/>
      <c r="D29" s="40"/>
      <c r="F29" s="92" t="s">
        <v>604</v>
      </c>
      <c r="G29" s="181">
        <f>OTGS_Weight_Specific*OTGS_DataRate_Nom*OTGS_Link_Distance</f>
        <v>5.1691425974866576E-2</v>
      </c>
      <c r="H29" t="s">
        <v>57</v>
      </c>
      <c r="I29" s="94"/>
    </row>
    <row r="30" spans="1:9">
      <c r="A30" s="18"/>
      <c r="D30" s="19"/>
      <c r="F30" s="92"/>
      <c r="I30" s="93"/>
    </row>
    <row r="31" spans="1:9" ht="17" thickBot="1">
      <c r="A31" s="21"/>
      <c r="B31" s="23"/>
      <c r="C31" s="23"/>
      <c r="D31" s="24"/>
      <c r="F31" s="96"/>
      <c r="G31" s="97"/>
      <c r="H31" s="97"/>
      <c r="I31" s="98"/>
    </row>
    <row r="32" spans="1:9" ht="17" thickBot="1"/>
    <row r="33" spans="1:4" ht="21">
      <c r="A33" s="31" t="s">
        <v>529</v>
      </c>
      <c r="B33" s="25"/>
      <c r="C33" s="25"/>
      <c r="D33" s="26"/>
    </row>
    <row r="34" spans="1:4">
      <c r="A34" s="27" t="s">
        <v>605</v>
      </c>
      <c r="B34" s="1" t="s">
        <v>2</v>
      </c>
      <c r="D34" s="19"/>
    </row>
    <row r="35" spans="1:4">
      <c r="A35" s="28" t="s">
        <v>23</v>
      </c>
      <c r="B35" s="8">
        <f>Compute_Power_GFLOPS</f>
        <v>0.16204160499030101</v>
      </c>
      <c r="C35" s="8" t="s">
        <v>120</v>
      </c>
      <c r="D35" s="19" t="s">
        <v>373</v>
      </c>
    </row>
    <row r="36" spans="1:4">
      <c r="A36" s="28" t="s">
        <v>606</v>
      </c>
      <c r="B36" s="8">
        <f>Compute_Cost_GFLOPS</f>
        <v>1.2727511769638475</v>
      </c>
      <c r="C36" s="8" t="s">
        <v>268</v>
      </c>
      <c r="D36" s="19" t="s">
        <v>373</v>
      </c>
    </row>
    <row r="37" spans="1:4">
      <c r="A37" s="28" t="s">
        <v>146</v>
      </c>
      <c r="B37" s="8">
        <f>Compute_Cost_GBYTE</f>
        <v>0.24999999999999983</v>
      </c>
      <c r="C37" s="8" t="s">
        <v>147</v>
      </c>
      <c r="D37" s="19" t="s">
        <v>373</v>
      </c>
    </row>
    <row r="38" spans="1:4">
      <c r="A38" s="28" t="s">
        <v>607</v>
      </c>
      <c r="B38" s="8">
        <f>Compute_Weight_GFLOPS</f>
        <v>7.6365070617830849E-2</v>
      </c>
      <c r="C38" s="8" t="s">
        <v>608</v>
      </c>
      <c r="D38" s="19" t="s">
        <v>373</v>
      </c>
    </row>
    <row r="39" spans="1:4">
      <c r="A39" s="18"/>
      <c r="B39" s="8"/>
      <c r="D39" s="19"/>
    </row>
    <row r="40" spans="1:4">
      <c r="A40" s="27" t="s">
        <v>609</v>
      </c>
      <c r="B40" s="8"/>
      <c r="D40" s="19"/>
    </row>
    <row r="41" spans="1:4">
      <c r="A41" s="28" t="s">
        <v>155</v>
      </c>
      <c r="B41" s="8">
        <f>Storage_Power_Specific</f>
        <v>0.15749013123685904</v>
      </c>
      <c r="C41" s="8" t="s">
        <v>156</v>
      </c>
      <c r="D41" s="19" t="s">
        <v>373</v>
      </c>
    </row>
    <row r="42" spans="1:4">
      <c r="A42" s="28" t="s">
        <v>151</v>
      </c>
      <c r="B42" s="8">
        <f>Storage_Cost_Specific</f>
        <v>0.49999999999999967</v>
      </c>
      <c r="C42" s="8" t="s">
        <v>152</v>
      </c>
      <c r="D42" s="19" t="s">
        <v>373</v>
      </c>
    </row>
    <row r="43" spans="1:4">
      <c r="A43" s="28" t="s">
        <v>153</v>
      </c>
      <c r="B43" s="8">
        <f>Storage_Weight_Specific</f>
        <v>0.62499999999999956</v>
      </c>
      <c r="C43" s="8" t="s">
        <v>154</v>
      </c>
      <c r="D43" s="19" t="s">
        <v>373</v>
      </c>
    </row>
    <row r="44" spans="1:4">
      <c r="A44" s="18"/>
      <c r="D44" s="19"/>
    </row>
    <row r="45" spans="1:4">
      <c r="A45" s="27" t="s">
        <v>610</v>
      </c>
      <c r="B45" s="8"/>
      <c r="D45" s="19"/>
    </row>
    <row r="46" spans="1:4">
      <c r="A46" s="28" t="s">
        <v>158</v>
      </c>
      <c r="B46" s="8">
        <f>Network_Power_Gbps_Port</f>
        <v>6.5975395538644704E-2</v>
      </c>
      <c r="C46" s="8" t="s">
        <v>159</v>
      </c>
      <c r="D46" s="19" t="s">
        <v>373</v>
      </c>
    </row>
    <row r="47" spans="1:4">
      <c r="A47" s="28" t="s">
        <v>160</v>
      </c>
      <c r="B47" s="8">
        <f>Network_Cost_Gbps_Port</f>
        <v>3.2987697769322351</v>
      </c>
      <c r="C47" s="8" t="s">
        <v>161</v>
      </c>
      <c r="D47" s="19" t="s">
        <v>373</v>
      </c>
    </row>
    <row r="48" spans="1:4">
      <c r="A48" s="28" t="s">
        <v>162</v>
      </c>
      <c r="B48" s="8">
        <f>Network_Weight_Port</f>
        <v>15.157165665103975</v>
      </c>
      <c r="C48" s="8" t="s">
        <v>163</v>
      </c>
      <c r="D48" s="19" t="s">
        <v>373</v>
      </c>
    </row>
    <row r="49" spans="1:4">
      <c r="A49" s="18"/>
      <c r="D49" s="19"/>
    </row>
    <row r="50" spans="1:4">
      <c r="A50" s="27" t="s">
        <v>94</v>
      </c>
      <c r="D50" s="19"/>
    </row>
    <row r="51" spans="1:4">
      <c r="A51" s="20" t="s">
        <v>164</v>
      </c>
      <c r="D51" s="19"/>
    </row>
    <row r="52" spans="1:4">
      <c r="A52" s="28" t="s">
        <v>169</v>
      </c>
      <c r="B52" s="8">
        <f>OTIO_Power_Efficiency</f>
        <v>8.040888484979247E-4</v>
      </c>
      <c r="C52" s="8" t="s">
        <v>170</v>
      </c>
      <c r="D52" s="19" t="s">
        <v>373</v>
      </c>
    </row>
    <row r="53" spans="1:4">
      <c r="A53" s="28" t="s">
        <v>173</v>
      </c>
      <c r="B53" s="8">
        <f>OTIO_Cost_Specific</f>
        <v>0.22973967099940701</v>
      </c>
      <c r="C53" s="8" t="s">
        <v>174</v>
      </c>
      <c r="D53" s="19" t="s">
        <v>373</v>
      </c>
    </row>
    <row r="54" spans="1:4">
      <c r="A54" s="28" t="s">
        <v>171</v>
      </c>
      <c r="B54" s="8">
        <f>OTIO_Weight_Specific</f>
        <v>1.0338285194973315E-4</v>
      </c>
      <c r="C54" s="8" t="s">
        <v>172</v>
      </c>
      <c r="D54" s="19" t="s">
        <v>373</v>
      </c>
    </row>
    <row r="55" spans="1:4">
      <c r="A55" s="20" t="s">
        <v>176</v>
      </c>
      <c r="D55" s="19" t="s">
        <v>373</v>
      </c>
    </row>
    <row r="56" spans="1:4">
      <c r="A56" s="28" t="s">
        <v>169</v>
      </c>
      <c r="B56" s="8">
        <f>OTGS_Power_Efficiency</f>
        <v>4.5947934199881395E-3</v>
      </c>
      <c r="C56" s="8" t="s">
        <v>170</v>
      </c>
      <c r="D56" s="19" t="s">
        <v>373</v>
      </c>
    </row>
    <row r="57" spans="1:4">
      <c r="A57" s="28" t="s">
        <v>173</v>
      </c>
      <c r="B57" s="8">
        <f>OTGS_Cost_Specific</f>
        <v>2.8717458874925876</v>
      </c>
      <c r="C57" s="8" t="s">
        <v>174</v>
      </c>
      <c r="D57" s="19" t="s">
        <v>373</v>
      </c>
    </row>
    <row r="58" spans="1:4">
      <c r="A58" s="28" t="s">
        <v>171</v>
      </c>
      <c r="B58" s="8">
        <f>OTGS_Weight_Specific</f>
        <v>5.1691425974866576E-4</v>
      </c>
      <c r="C58" s="8" t="s">
        <v>172</v>
      </c>
      <c r="D58" s="19" t="s">
        <v>373</v>
      </c>
    </row>
    <row r="59" spans="1:4" ht="17" thickBot="1">
      <c r="A59" s="21"/>
      <c r="B59" s="23"/>
      <c r="C59" s="23"/>
      <c r="D59" s="24"/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2F434-177E-E64A-8EE8-1587DBD52CEE}">
  <sheetPr codeName="Sheet11"/>
  <dimension ref="A1:AH121"/>
  <sheetViews>
    <sheetView topLeftCell="A59" workbookViewId="0">
      <selection activeCell="A96" sqref="A96:AC100"/>
    </sheetView>
  </sheetViews>
  <sheetFormatPr baseColWidth="10" defaultColWidth="11" defaultRowHeight="16"/>
  <cols>
    <col min="1" max="1" width="39.33203125" customWidth="1"/>
    <col min="2" max="2" width="11.1640625" bestFit="1" customWidth="1"/>
    <col min="3" max="9" width="12.1640625" bestFit="1" customWidth="1"/>
    <col min="10" max="10" width="11.1640625" bestFit="1" customWidth="1"/>
    <col min="11" max="12" width="12.1640625" bestFit="1" customWidth="1"/>
    <col min="13" max="13" width="11.1640625" bestFit="1" customWidth="1"/>
    <col min="14" max="28" width="12.1640625" bestFit="1" customWidth="1"/>
    <col min="29" max="29" width="11.83203125" customWidth="1"/>
    <col min="31" max="31" width="39.5" customWidth="1"/>
    <col min="32" max="32" width="14" customWidth="1"/>
    <col min="33" max="33" width="13.5" customWidth="1"/>
  </cols>
  <sheetData>
    <row r="1" spans="1:34" ht="17" thickTop="1">
      <c r="A1" s="1" t="s">
        <v>51</v>
      </c>
      <c r="B1" s="206">
        <v>2023</v>
      </c>
      <c r="C1" s="206">
        <v>2024</v>
      </c>
      <c r="D1" s="206">
        <v>2025</v>
      </c>
      <c r="E1" s="206">
        <v>2026</v>
      </c>
      <c r="F1" s="206">
        <v>2027</v>
      </c>
      <c r="G1" s="206">
        <v>2028</v>
      </c>
      <c r="H1" s="206">
        <v>2029</v>
      </c>
      <c r="I1" s="206">
        <v>2030</v>
      </c>
      <c r="J1" s="206">
        <v>2031</v>
      </c>
      <c r="K1" s="206">
        <v>2032</v>
      </c>
      <c r="L1" s="206">
        <v>2033</v>
      </c>
      <c r="M1" s="206">
        <v>2034</v>
      </c>
      <c r="N1" s="206">
        <v>2035</v>
      </c>
      <c r="O1" s="206">
        <v>2036</v>
      </c>
      <c r="P1" s="206">
        <v>2037</v>
      </c>
      <c r="Q1" s="206">
        <v>2038</v>
      </c>
      <c r="R1" s="206">
        <v>2039</v>
      </c>
      <c r="S1" s="206">
        <v>2040</v>
      </c>
      <c r="T1" s="206">
        <v>2041</v>
      </c>
      <c r="U1" s="206">
        <v>2042</v>
      </c>
      <c r="V1" s="206">
        <v>2043</v>
      </c>
      <c r="W1" s="206">
        <v>2044</v>
      </c>
      <c r="X1" s="206">
        <v>2045</v>
      </c>
      <c r="Y1" s="206">
        <v>2046</v>
      </c>
      <c r="Z1" s="206">
        <v>2047</v>
      </c>
      <c r="AA1" s="206">
        <v>2048</v>
      </c>
      <c r="AB1" s="206">
        <v>2049</v>
      </c>
      <c r="AC1" s="207">
        <v>2050</v>
      </c>
      <c r="AF1" s="1" t="s">
        <v>51</v>
      </c>
      <c r="AG1" s="1" t="s">
        <v>611</v>
      </c>
    </row>
    <row r="3" spans="1:34">
      <c r="A3" s="1" t="s">
        <v>612</v>
      </c>
      <c r="AE3" s="1" t="s">
        <v>613</v>
      </c>
      <c r="AF3">
        <f>Timeline_Year_this</f>
        <v>2031</v>
      </c>
      <c r="AG3" s="47">
        <v>5758.5219269158661</v>
      </c>
      <c r="AH3" t="s">
        <v>22</v>
      </c>
    </row>
    <row r="4" spans="1:34">
      <c r="A4" t="s">
        <v>121</v>
      </c>
      <c r="B4" s="47">
        <v>7190</v>
      </c>
      <c r="C4" s="47">
        <v>6846.3053661779277</v>
      </c>
      <c r="D4" s="47">
        <v>6195.9607169495002</v>
      </c>
      <c r="E4" s="47">
        <v>5770.2374364654788</v>
      </c>
      <c r="F4" s="47">
        <v>5429.0032718554339</v>
      </c>
      <c r="G4" s="47">
        <v>5037.3751391109417</v>
      </c>
      <c r="H4" s="47">
        <v>4686.1954079470306</v>
      </c>
      <c r="I4" s="47">
        <v>4353.352719546665</v>
      </c>
      <c r="J4" s="47">
        <v>4057.3560324233422</v>
      </c>
      <c r="K4" s="47">
        <v>3811.7368965384412</v>
      </c>
      <c r="L4" s="47">
        <v>3565.3749999999991</v>
      </c>
      <c r="M4" s="47">
        <v>3343.3109109476968</v>
      </c>
      <c r="N4" s="47">
        <v>3144.4485097657698</v>
      </c>
      <c r="O4" s="47">
        <v>2960.6033778933656</v>
      </c>
      <c r="P4" s="47">
        <v>2790.5620677409943</v>
      </c>
      <c r="Q4" s="47">
        <v>2635.3293867929319</v>
      </c>
      <c r="R4" s="47">
        <v>2492.1016186082816</v>
      </c>
      <c r="S4" s="47">
        <v>2361.3163678539036</v>
      </c>
      <c r="T4" s="47">
        <v>2240.9105716727281</v>
      </c>
      <c r="U4" s="47">
        <v>2129.1226065214464</v>
      </c>
      <c r="V4" s="47">
        <v>2026.9257812499989</v>
      </c>
      <c r="W4" s="47">
        <v>1932.5255089362188</v>
      </c>
      <c r="X4" s="47">
        <v>1845.2612145806393</v>
      </c>
      <c r="Y4" s="47">
        <v>1764.9075873287461</v>
      </c>
      <c r="Z4" s="47">
        <v>1690.714110573816</v>
      </c>
      <c r="AA4" s="47">
        <v>1622.1137638593655</v>
      </c>
      <c r="AB4" s="47">
        <v>1558.7439266347067</v>
      </c>
      <c r="AC4" s="47">
        <v>1500.1201358804394</v>
      </c>
      <c r="AG4" s="47"/>
    </row>
    <row r="5" spans="1:34">
      <c r="A5" t="s">
        <v>86</v>
      </c>
      <c r="B5" s="47">
        <v>7902</v>
      </c>
      <c r="C5" s="47">
        <v>7334.1318075753752</v>
      </c>
      <c r="D5" s="47">
        <v>7119.3352393790319</v>
      </c>
      <c r="E5" s="47">
        <v>6713.1915454760965</v>
      </c>
      <c r="F5" s="47">
        <v>6418.4622097921911</v>
      </c>
      <c r="G5" s="47">
        <v>6208.9324602189299</v>
      </c>
      <c r="H5" s="47">
        <v>6041.942334627076</v>
      </c>
      <c r="I5" s="47">
        <v>5880.7240667381229</v>
      </c>
      <c r="J5" s="47">
        <v>5758.5219269158661</v>
      </c>
      <c r="K5" s="47">
        <v>5702.5077460143093</v>
      </c>
      <c r="L5" s="47">
        <v>5684.8445197787878</v>
      </c>
      <c r="M5" s="47">
        <v>5702.1309934179808</v>
      </c>
      <c r="N5" s="47">
        <v>5748.4251801916926</v>
      </c>
      <c r="O5" s="47">
        <v>5848.6293480383974</v>
      </c>
      <c r="P5" s="47">
        <v>5984.3867467392029</v>
      </c>
      <c r="Q5" s="47">
        <v>6165.7816849962364</v>
      </c>
      <c r="R5" s="47">
        <v>6392.9758327813233</v>
      </c>
      <c r="S5" s="47">
        <v>6670.1030112488897</v>
      </c>
      <c r="T5" s="47">
        <v>6999.4581026512042</v>
      </c>
      <c r="U5" s="47">
        <v>7385.3332095202113</v>
      </c>
      <c r="V5" s="47">
        <v>7832.404177914138</v>
      </c>
      <c r="W5" s="47">
        <v>8345.5577316454328</v>
      </c>
      <c r="X5" s="47">
        <v>8931.3734273617411</v>
      </c>
      <c r="Y5" s="47">
        <v>9596.5215993032198</v>
      </c>
      <c r="Z5" s="47">
        <v>10348.89592827774</v>
      </c>
      <c r="AA5" s="47">
        <v>11197.175385328399</v>
      </c>
      <c r="AB5" s="47">
        <v>12150.91183340852</v>
      </c>
      <c r="AC5" s="47">
        <v>13221.368413370428</v>
      </c>
      <c r="AG5" s="47"/>
    </row>
    <row r="6" spans="1:34">
      <c r="A6" t="s">
        <v>124</v>
      </c>
      <c r="B6" s="47">
        <v>8168</v>
      </c>
      <c r="C6" s="47">
        <v>7507.1960616638571</v>
      </c>
      <c r="D6" s="47">
        <v>7029.5176632280691</v>
      </c>
      <c r="E6" s="47">
        <v>6619.8616974450415</v>
      </c>
      <c r="F6" s="47">
        <v>6134.4453356386257</v>
      </c>
      <c r="G6" s="47">
        <v>5696.9969924695179</v>
      </c>
      <c r="H6" s="47">
        <v>5285.7527074187947</v>
      </c>
      <c r="I6" s="47">
        <v>4930.1491088083767</v>
      </c>
      <c r="J6" s="47">
        <v>4600.1914186831964</v>
      </c>
      <c r="K6" s="47">
        <v>4283.5921752839076</v>
      </c>
      <c r="L6" s="47">
        <v>3992.4009131273642</v>
      </c>
      <c r="M6" s="47">
        <v>3715.6117412468411</v>
      </c>
      <c r="N6" s="47">
        <v>3475.8558690493005</v>
      </c>
      <c r="O6" s="47">
        <v>3246.9872410589742</v>
      </c>
      <c r="P6" s="47">
        <v>3040.420361543439</v>
      </c>
      <c r="Q6" s="47">
        <v>2852.6632389667848</v>
      </c>
      <c r="R6" s="47">
        <v>2676.7111652250096</v>
      </c>
      <c r="S6" s="47">
        <v>2517.949269111713</v>
      </c>
      <c r="T6" s="47">
        <v>2370.1753498413282</v>
      </c>
      <c r="U6" s="47">
        <v>2235.1159220984264</v>
      </c>
      <c r="V6" s="47">
        <v>2111.3237457814739</v>
      </c>
      <c r="W6" s="47">
        <v>1997.2093281285108</v>
      </c>
      <c r="X6" s="47">
        <v>1893.0885724002169</v>
      </c>
      <c r="Y6" s="47">
        <v>1796.7318473531454</v>
      </c>
      <c r="Z6" s="47">
        <v>1708.5763873140745</v>
      </c>
      <c r="AA6" s="47">
        <v>1627.1334005435597</v>
      </c>
      <c r="AB6" s="47">
        <v>1552.5841106997093</v>
      </c>
      <c r="AC6" s="47">
        <v>1483.6472394329076</v>
      </c>
      <c r="AG6" s="47"/>
    </row>
    <row r="7" spans="1:34">
      <c r="A7" t="s">
        <v>126</v>
      </c>
      <c r="B7" s="47">
        <v>9026</v>
      </c>
      <c r="C7" s="47">
        <v>8939.341438490108</v>
      </c>
      <c r="D7" s="47">
        <v>8593.9607169494993</v>
      </c>
      <c r="E7" s="47">
        <v>8296.0228588638256</v>
      </c>
      <c r="F7" s="47">
        <v>8083.0032718554321</v>
      </c>
      <c r="G7" s="47">
        <v>7906.4609037753562</v>
      </c>
      <c r="H7" s="47">
        <v>7710.1954079470288</v>
      </c>
      <c r="I7" s="47">
        <v>7538.1616620108725</v>
      </c>
      <c r="J7" s="47">
        <v>7381.1060324233395</v>
      </c>
      <c r="K7" s="47">
        <v>7240.2325134690627</v>
      </c>
      <c r="L7" s="47">
        <v>7096.5624999999964</v>
      </c>
      <c r="M7" s="47">
        <v>6974.7903682526812</v>
      </c>
      <c r="N7" s="47">
        <v>6863.8547597657653</v>
      </c>
      <c r="O7" s="47">
        <v>6756.7724239540785</v>
      </c>
      <c r="P7" s="47">
        <v>6661.4995677409906</v>
      </c>
      <c r="Q7" s="47">
        <v>6574.731750217743</v>
      </c>
      <c r="R7" s="47">
        <v>6494.2266186082761</v>
      </c>
      <c r="S7" s="47">
        <v>6420.2694957447929</v>
      </c>
      <c r="T7" s="47">
        <v>6352.0980716727208</v>
      </c>
      <c r="U7" s="47">
        <v>6289.437834213908</v>
      </c>
      <c r="V7" s="47">
        <v>6232.0156249999927</v>
      </c>
      <c r="W7" s="47">
        <v>6179.2610624738918</v>
      </c>
      <c r="X7" s="47">
        <v>6130.6967614556315</v>
      </c>
      <c r="Y7" s="47">
        <v>6086.1835203605224</v>
      </c>
      <c r="Z7" s="47">
        <v>6045.2316886988083</v>
      </c>
      <c r="AA7" s="47">
        <v>6007.5689594923615</v>
      </c>
      <c r="AB7" s="47">
        <v>5973.0100399159473</v>
      </c>
      <c r="AC7" s="47">
        <v>5941.181442293243</v>
      </c>
      <c r="AG7" s="47"/>
    </row>
    <row r="8" spans="1:34">
      <c r="A8" t="s">
        <v>614</v>
      </c>
      <c r="B8" s="47"/>
      <c r="C8" s="47"/>
      <c r="D8" s="47"/>
      <c r="E8" s="47"/>
      <c r="F8" s="47"/>
      <c r="G8" s="47"/>
      <c r="H8" s="47"/>
      <c r="I8" s="47">
        <v>6698.5016434172112</v>
      </c>
      <c r="J8" s="47">
        <v>6867.9632163629321</v>
      </c>
      <c r="K8" s="47">
        <v>7097.3262915752521</v>
      </c>
      <c r="L8" s="47">
        <v>7421.4999999999964</v>
      </c>
      <c r="M8" s="47">
        <v>7842.9053789561094</v>
      </c>
      <c r="N8" s="47">
        <v>8363.8436900362103</v>
      </c>
      <c r="O8" s="47">
        <v>8999.2791514707606</v>
      </c>
      <c r="P8" s="47">
        <v>9754.4291792663189</v>
      </c>
      <c r="Q8" s="47">
        <v>10643.88136750635</v>
      </c>
      <c r="R8" s="47">
        <v>11680.265681108269</v>
      </c>
      <c r="S8" s="47">
        <v>12878.984067968908</v>
      </c>
      <c r="T8" s="47">
        <v>14257.488171982153</v>
      </c>
      <c r="U8" s="47">
        <v>15836.69894480031</v>
      </c>
      <c r="V8" s="47">
        <v>17639.020579374155</v>
      </c>
      <c r="W8" s="47">
        <v>19690.018907655678</v>
      </c>
      <c r="X8" s="47">
        <v>22019.341292705605</v>
      </c>
      <c r="Y8" s="47">
        <v>24659.911280756238</v>
      </c>
      <c r="Z8" s="47">
        <v>27648.818916277713</v>
      </c>
      <c r="AA8" s="47">
        <v>31028.074477909802</v>
      </c>
      <c r="AB8" s="47">
        <v>34844.805818748697</v>
      </c>
      <c r="AC8" s="47">
        <v>39152.246877708189</v>
      </c>
      <c r="AG8" s="47"/>
    </row>
    <row r="9" spans="1:34">
      <c r="AG9" s="47"/>
    </row>
    <row r="10" spans="1:34">
      <c r="AG10" s="47"/>
    </row>
    <row r="11" spans="1:34">
      <c r="A11" s="1" t="s">
        <v>615</v>
      </c>
      <c r="AE11" s="1" t="s">
        <v>616</v>
      </c>
      <c r="AF11">
        <f>Timeline_Year_this</f>
        <v>2031</v>
      </c>
      <c r="AG11" s="47">
        <v>146.23004475379511</v>
      </c>
      <c r="AH11" t="s">
        <v>17</v>
      </c>
    </row>
    <row r="12" spans="1:34">
      <c r="A12" t="s">
        <v>121</v>
      </c>
      <c r="B12" s="47">
        <v>58.785000000000004</v>
      </c>
      <c r="C12" s="47">
        <v>122.79542807448456</v>
      </c>
      <c r="D12" s="47">
        <v>96.201649063295108</v>
      </c>
      <c r="E12" s="47">
        <v>111.74174832136869</v>
      </c>
      <c r="F12" s="47">
        <v>136.48230871911309</v>
      </c>
      <c r="G12" s="47">
        <v>138.54267798148547</v>
      </c>
      <c r="H12" s="47">
        <v>141.44577801499364</v>
      </c>
      <c r="I12" s="47">
        <v>140.73510830499384</v>
      </c>
      <c r="J12" s="47">
        <v>141.82842496116623</v>
      </c>
      <c r="K12" s="47">
        <v>148.80840887059819</v>
      </c>
      <c r="L12" s="47">
        <v>149.74171256574789</v>
      </c>
      <c r="M12" s="47">
        <v>151.37571902961747</v>
      </c>
      <c r="N12" s="47">
        <v>153.95333229499408</v>
      </c>
      <c r="O12" s="47">
        <v>155.91393543558661</v>
      </c>
      <c r="P12" s="47">
        <v>157.36393539713509</v>
      </c>
      <c r="Q12" s="47">
        <v>158.91257258144799</v>
      </c>
      <c r="R12" s="47">
        <v>160.19292669162897</v>
      </c>
      <c r="S12" s="47">
        <v>161.60295917440683</v>
      </c>
      <c r="T12" s="47">
        <v>162.89519664918564</v>
      </c>
      <c r="U12" s="47">
        <v>163.87032426848353</v>
      </c>
      <c r="V12" s="47">
        <v>164.97953063320205</v>
      </c>
      <c r="W12" s="47">
        <v>165.97170909428061</v>
      </c>
      <c r="X12" s="47">
        <v>166.85677018931116</v>
      </c>
      <c r="Y12" s="47">
        <v>167.73550920369752</v>
      </c>
      <c r="Z12" s="47">
        <v>168.56477109122909</v>
      </c>
      <c r="AA12" s="47">
        <v>169.33353524318196</v>
      </c>
      <c r="AB12" s="47">
        <v>170.06941322532012</v>
      </c>
      <c r="AC12" s="47">
        <v>170.75948725390612</v>
      </c>
      <c r="AG12" s="47"/>
    </row>
    <row r="13" spans="1:34">
      <c r="A13" t="s">
        <v>86</v>
      </c>
      <c r="B13" s="47">
        <v>118.78500000000001</v>
      </c>
      <c r="C13" s="47">
        <v>114.57405137348934</v>
      </c>
      <c r="D13" s="47">
        <v>132.97748887811969</v>
      </c>
      <c r="E13" s="47">
        <v>131.40709703536581</v>
      </c>
      <c r="F13" s="47">
        <v>134.09402099499576</v>
      </c>
      <c r="G13" s="47">
        <v>138.97914463416427</v>
      </c>
      <c r="H13" s="47">
        <v>143.22812027257027</v>
      </c>
      <c r="I13" s="47">
        <v>144.85398522967714</v>
      </c>
      <c r="J13" s="47">
        <v>146.23004475379511</v>
      </c>
      <c r="K13" s="47">
        <v>148.90628293544628</v>
      </c>
      <c r="L13" s="47">
        <v>151.29284483551598</v>
      </c>
      <c r="M13" s="47">
        <v>153.26713564495321</v>
      </c>
      <c r="N13" s="47">
        <v>154.60906591514112</v>
      </c>
      <c r="O13" s="47">
        <v>156.41855634069617</v>
      </c>
      <c r="P13" s="47">
        <v>157.8391884526186</v>
      </c>
      <c r="Q13" s="47">
        <v>159.23175667455638</v>
      </c>
      <c r="R13" s="47">
        <v>160.52024692418919</v>
      </c>
      <c r="S13" s="47">
        <v>161.75618721262273</v>
      </c>
      <c r="T13" s="47">
        <v>162.90921147256822</v>
      </c>
      <c r="U13" s="47">
        <v>163.99550202911954</v>
      </c>
      <c r="V13" s="47">
        <v>165.02157774978761</v>
      </c>
      <c r="W13" s="47">
        <v>165.98206750193211</v>
      </c>
      <c r="X13" s="47">
        <v>166.89380163458196</v>
      </c>
      <c r="Y13" s="47">
        <v>167.755412428775</v>
      </c>
      <c r="Z13" s="47">
        <v>168.57225960965476</v>
      </c>
      <c r="AA13" s="47">
        <v>169.34536764553829</v>
      </c>
      <c r="AB13" s="47">
        <v>170.07278687138765</v>
      </c>
      <c r="AC13" s="47">
        <v>170.76070253316792</v>
      </c>
      <c r="AG13" s="47"/>
    </row>
    <row r="14" spans="1:34">
      <c r="A14" t="s">
        <v>124</v>
      </c>
      <c r="B14" s="47">
        <v>118.78500000000001</v>
      </c>
      <c r="C14" s="47">
        <v>116.05580844515654</v>
      </c>
      <c r="D14" s="47">
        <v>122.93220514288625</v>
      </c>
      <c r="E14" s="47">
        <v>133.0660994068281</v>
      </c>
      <c r="F14" s="47">
        <v>134.60861265716781</v>
      </c>
      <c r="G14" s="47">
        <v>137.09738627954917</v>
      </c>
      <c r="H14" s="47">
        <v>138.74786357835487</v>
      </c>
      <c r="I14" s="47">
        <v>142.89951699257719</v>
      </c>
      <c r="J14" s="47">
        <v>146.78139246398194</v>
      </c>
      <c r="K14" s="47">
        <v>148.97086860906469</v>
      </c>
      <c r="L14" s="47">
        <v>151.03483060213793</v>
      </c>
      <c r="M14" s="47">
        <v>151.63086002416327</v>
      </c>
      <c r="N14" s="47">
        <v>154.31972066171721</v>
      </c>
      <c r="O14" s="47">
        <v>155.48622539988253</v>
      </c>
      <c r="P14" s="47">
        <v>157.14487648354782</v>
      </c>
      <c r="Q14" s="47">
        <v>159.03510030855654</v>
      </c>
      <c r="R14" s="47">
        <v>160.14386858212279</v>
      </c>
      <c r="S14" s="47">
        <v>161.70016075402697</v>
      </c>
      <c r="T14" s="47">
        <v>162.75209755450004</v>
      </c>
      <c r="U14" s="47">
        <v>163.85586583588653</v>
      </c>
      <c r="V14" s="47">
        <v>164.9369847850522</v>
      </c>
      <c r="W14" s="47">
        <v>165.85810165556339</v>
      </c>
      <c r="X14" s="47">
        <v>166.88556885204775</v>
      </c>
      <c r="Y14" s="47">
        <v>167.6965337585377</v>
      </c>
      <c r="Z14" s="47">
        <v>168.56113587416024</v>
      </c>
      <c r="AA14" s="47">
        <v>169.28602855732939</v>
      </c>
      <c r="AB14" s="47">
        <v>170.06365108317812</v>
      </c>
      <c r="AC14" s="47">
        <v>170.71661452271613</v>
      </c>
      <c r="AG14" s="47"/>
    </row>
    <row r="15" spans="1:34">
      <c r="A15" t="s">
        <v>126</v>
      </c>
      <c r="B15" s="47">
        <v>118.78500000000001</v>
      </c>
      <c r="C15" s="47">
        <v>129.86649588635004</v>
      </c>
      <c r="D15" s="47">
        <v>131.20164906329512</v>
      </c>
      <c r="E15" s="47">
        <v>132.9549517569651</v>
      </c>
      <c r="F15" s="47">
        <v>136.48230871911309</v>
      </c>
      <c r="G15" s="47">
        <v>140.31044493445182</v>
      </c>
      <c r="H15" s="47">
        <v>142.69577801499364</v>
      </c>
      <c r="I15" s="47">
        <v>145.15452568740974</v>
      </c>
      <c r="J15" s="47">
        <v>147.45342496116623</v>
      </c>
      <c r="K15" s="47">
        <v>149.69229234708141</v>
      </c>
      <c r="L15" s="47">
        <v>151.30421256574792</v>
      </c>
      <c r="M15" s="47">
        <v>153.14348598258385</v>
      </c>
      <c r="N15" s="47">
        <v>154.89083229499411</v>
      </c>
      <c r="O15" s="47">
        <v>156.35587717382825</v>
      </c>
      <c r="P15" s="47">
        <v>157.83268539713515</v>
      </c>
      <c r="Q15" s="47">
        <v>159.24402888512921</v>
      </c>
      <c r="R15" s="47">
        <v>160.544489191629</v>
      </c>
      <c r="S15" s="47">
        <v>161.76868732624746</v>
      </c>
      <c r="T15" s="47">
        <v>162.91472789918566</v>
      </c>
      <c r="U15" s="47">
        <v>163.99462038236402</v>
      </c>
      <c r="V15" s="47">
        <v>165.01859313320207</v>
      </c>
      <c r="W15" s="47">
        <v>165.98551977360066</v>
      </c>
      <c r="X15" s="47">
        <v>166.89583268931119</v>
      </c>
      <c r="Y15" s="47">
        <v>167.75967789250765</v>
      </c>
      <c r="Z15" s="47">
        <v>168.57453671622912</v>
      </c>
      <c r="AA15" s="47">
        <v>169.34389325267202</v>
      </c>
      <c r="AB15" s="47">
        <v>170.07307533469515</v>
      </c>
      <c r="AC15" s="47">
        <v>170.76035042136365</v>
      </c>
      <c r="AG15" s="47"/>
    </row>
    <row r="16" spans="1:34">
      <c r="A16" t="s">
        <v>614</v>
      </c>
      <c r="B16" s="47"/>
      <c r="C16" s="47"/>
      <c r="D16" s="47"/>
      <c r="E16" s="47"/>
      <c r="F16" s="47"/>
      <c r="G16" s="47"/>
      <c r="H16" s="47"/>
      <c r="I16" s="47">
        <v>144.83025636217994</v>
      </c>
      <c r="J16" s="47">
        <v>147.81060890075878</v>
      </c>
      <c r="K16" s="47">
        <v>149.62164025295274</v>
      </c>
      <c r="L16" s="47">
        <v>151.49171256574797</v>
      </c>
      <c r="M16" s="47">
        <v>153.28492277952571</v>
      </c>
      <c r="N16" s="47">
        <v>154.87976256543985</v>
      </c>
      <c r="O16" s="47">
        <v>156.45022485267327</v>
      </c>
      <c r="P16" s="47">
        <v>157.88729692246687</v>
      </c>
      <c r="Q16" s="47">
        <v>159.25928548810444</v>
      </c>
      <c r="R16" s="47">
        <v>160.55230169162917</v>
      </c>
      <c r="S16" s="47">
        <v>161.76992019244472</v>
      </c>
      <c r="T16" s="47">
        <v>162.9142032086296</v>
      </c>
      <c r="U16" s="47">
        <v>163.99940827911954</v>
      </c>
      <c r="V16" s="47">
        <v>165.02354750738436</v>
      </c>
      <c r="W16" s="47">
        <v>165.98780556331062</v>
      </c>
      <c r="X16" s="47">
        <v>166.89973893931145</v>
      </c>
      <c r="Y16" s="47">
        <v>167.76169938869285</v>
      </c>
      <c r="Z16" s="47">
        <v>168.57582679517495</v>
      </c>
      <c r="AA16" s="47">
        <v>169.34552248106201</v>
      </c>
      <c r="AB16" s="47">
        <v>170.0729557299972</v>
      </c>
      <c r="AC16" s="47">
        <v>170.76110963253632</v>
      </c>
      <c r="AG16" s="47"/>
    </row>
    <row r="17" spans="1:34">
      <c r="AG17" s="47"/>
    </row>
    <row r="18" spans="1:34">
      <c r="AG18" s="47"/>
    </row>
    <row r="19" spans="1:34" ht="20" customHeight="1">
      <c r="A19" s="1" t="s">
        <v>617</v>
      </c>
      <c r="AE19" s="1" t="s">
        <v>617</v>
      </c>
      <c r="AF19">
        <f>Timeline_Year_this</f>
        <v>2031</v>
      </c>
      <c r="AG19" s="47">
        <v>1.5999210143448428</v>
      </c>
      <c r="AH19" t="s">
        <v>57</v>
      </c>
    </row>
    <row r="20" spans="1:34" ht="17" customHeight="1">
      <c r="A20" t="s">
        <v>121</v>
      </c>
      <c r="B20" s="47">
        <v>2.6395</v>
      </c>
      <c r="C20" s="47">
        <v>2.4610384296412184</v>
      </c>
      <c r="D20" s="47">
        <v>2.2920057753515946</v>
      </c>
      <c r="E20" s="47">
        <v>2.1425205552447828</v>
      </c>
      <c r="F20" s="47">
        <v>2.0069118679437667</v>
      </c>
      <c r="G20" s="47">
        <v>1.8801735883789097</v>
      </c>
      <c r="H20" s="47">
        <v>1.7632445149111937</v>
      </c>
      <c r="I20" s="47">
        <v>1.6545599331180236</v>
      </c>
      <c r="J20" s="47">
        <v>1.5537585606752915</v>
      </c>
      <c r="K20" s="47">
        <v>1.4605056508628402</v>
      </c>
      <c r="L20" s="47">
        <v>1.3729848480983498</v>
      </c>
      <c r="M20" s="47">
        <v>1.2913390984071311</v>
      </c>
      <c r="N20" s="47">
        <v>1.2151313707153752</v>
      </c>
      <c r="O20" s="47">
        <v>1.1437996841794609</v>
      </c>
      <c r="P20" s="47">
        <v>1.0769931424821293</v>
      </c>
      <c r="Q20" s="47">
        <v>1.0144473809169106</v>
      </c>
      <c r="R20" s="47">
        <v>0.95583059627016453</v>
      </c>
      <c r="S20" s="47">
        <v>0.9009130600697608</v>
      </c>
      <c r="T20" s="47">
        <v>0.8494225617366753</v>
      </c>
      <c r="U20" s="47">
        <v>0.80111101461024425</v>
      </c>
      <c r="V20" s="47">
        <v>0.75581249999999978</v>
      </c>
      <c r="W20" s="47">
        <v>0.71330621085366097</v>
      </c>
      <c r="X20" s="47">
        <v>0.67341131419926303</v>
      </c>
      <c r="Y20" s="47">
        <v>0.63596870061434307</v>
      </c>
      <c r="Z20" s="47">
        <v>0.6008164401945344</v>
      </c>
      <c r="AA20" s="47">
        <v>0.56780646770517629</v>
      </c>
      <c r="AB20" s="47">
        <v>0.53680441745457774</v>
      </c>
      <c r="AC20" s="47">
        <v>0.50768097957461644</v>
      </c>
      <c r="AG20" s="47"/>
    </row>
    <row r="21" spans="1:34">
      <c r="A21" t="s">
        <v>86</v>
      </c>
      <c r="B21" s="47">
        <v>2.6515</v>
      </c>
      <c r="C21" s="47">
        <v>2.4678785890258284</v>
      </c>
      <c r="D21" s="47">
        <v>2.3085082466973663</v>
      </c>
      <c r="E21" s="47">
        <v>2.1603766344476445</v>
      </c>
      <c r="F21" s="47">
        <v>2.0268794042199718</v>
      </c>
      <c r="G21" s="47">
        <v>1.9059617268375078</v>
      </c>
      <c r="H21" s="47">
        <v>1.7954643305119962</v>
      </c>
      <c r="I21" s="47">
        <v>1.6934626546747125</v>
      </c>
      <c r="J21" s="47">
        <v>1.5999210143448428</v>
      </c>
      <c r="K21" s="47">
        <v>1.5149703574456694</v>
      </c>
      <c r="L21" s="47">
        <v>1.4374005192850772</v>
      </c>
      <c r="M21" s="47">
        <v>1.3666928313545286</v>
      </c>
      <c r="N21" s="47">
        <v>1.3022993459409307</v>
      </c>
      <c r="O21" s="47">
        <v>1.2447190279936993</v>
      </c>
      <c r="P21" s="47">
        <v>1.193129498222022</v>
      </c>
      <c r="Q21" s="47">
        <v>1.1476628062941709</v>
      </c>
      <c r="R21" s="47">
        <v>1.1081591428705471</v>
      </c>
      <c r="S21" s="47">
        <v>1.0746297608525111</v>
      </c>
      <c r="T21" s="47">
        <v>1.0470465854703839</v>
      </c>
      <c r="U21" s="47">
        <v>1.0254826540708022</v>
      </c>
      <c r="V21" s="47">
        <v>1.0100522194248482</v>
      </c>
      <c r="W21" s="47">
        <v>1.0009014823361886</v>
      </c>
      <c r="X21" s="47">
        <v>0.99827128915362939</v>
      </c>
      <c r="Y21" s="47">
        <v>1.0024301409196748</v>
      </c>
      <c r="Z21" s="47">
        <v>1.0137229742567699</v>
      </c>
      <c r="AA21" s="47">
        <v>1.0325527534879373</v>
      </c>
      <c r="AB21" s="47">
        <v>1.0593844088531941</v>
      </c>
      <c r="AC21" s="47">
        <v>1.0947856000724832</v>
      </c>
      <c r="AG21" s="47"/>
    </row>
    <row r="22" spans="1:34">
      <c r="A22" t="s">
        <v>124</v>
      </c>
      <c r="B22" s="47">
        <v>2.6515</v>
      </c>
      <c r="C22" s="47">
        <v>2.4667615735272186</v>
      </c>
      <c r="D22" s="47">
        <v>2.3023518865675126</v>
      </c>
      <c r="E22" s="47">
        <v>2.1538564932737398</v>
      </c>
      <c r="F22" s="47">
        <v>2.0165371287313776</v>
      </c>
      <c r="G22" s="47">
        <v>1.8904911317563209</v>
      </c>
      <c r="H22" s="47">
        <v>1.7739549320238657</v>
      </c>
      <c r="I22" s="47">
        <v>1.6664833000498218</v>
      </c>
      <c r="J22" s="47">
        <v>1.5666241541758545</v>
      </c>
      <c r="K22" s="47">
        <v>1.4733544532195397</v>
      </c>
      <c r="L22" s="47">
        <v>1.3863684717056279</v>
      </c>
      <c r="M22" s="47">
        <v>1.3048693496224086</v>
      </c>
      <c r="N22" s="47">
        <v>1.2291108983887198</v>
      </c>
      <c r="O22" s="47">
        <v>1.1579667632306114</v>
      </c>
      <c r="P22" s="47">
        <v>1.0914805806994119</v>
      </c>
      <c r="Q22" s="47">
        <v>1.0292769346934256</v>
      </c>
      <c r="R22" s="47">
        <v>0.97085984714826323</v>
      </c>
      <c r="S22" s="47">
        <v>0.91620711171365987</v>
      </c>
      <c r="T22" s="47">
        <v>0.86488222316773822</v>
      </c>
      <c r="U22" s="47">
        <v>0.81676943327266138</v>
      </c>
      <c r="V22" s="47">
        <v>0.77164383458036967</v>
      </c>
      <c r="W22" s="47">
        <v>0.72928316135819526</v>
      </c>
      <c r="X22" s="47">
        <v>0.68955965205681036</v>
      </c>
      <c r="Y22" s="47">
        <v>0.65224024377381973</v>
      </c>
      <c r="Z22" s="47">
        <v>0.61722196315112043</v>
      </c>
      <c r="AA22" s="47">
        <v>0.58431971783953029</v>
      </c>
      <c r="AB22" s="47">
        <v>0.55343534510427439</v>
      </c>
      <c r="AC22" s="47">
        <v>0.52440576935953365</v>
      </c>
      <c r="AG22" s="47"/>
    </row>
    <row r="23" spans="1:34">
      <c r="A23" t="s">
        <v>126</v>
      </c>
      <c r="B23" s="47">
        <v>2.6515</v>
      </c>
      <c r="C23" s="47">
        <v>2.4695237110154573</v>
      </c>
      <c r="D23" s="47">
        <v>2.3040057753515946</v>
      </c>
      <c r="E23" s="47">
        <v>2.1538342637437675</v>
      </c>
      <c r="F23" s="47">
        <v>2.0169118679437665</v>
      </c>
      <c r="G23" s="47">
        <v>1.8911337434873012</v>
      </c>
      <c r="H23" s="47">
        <v>1.7747445149111936</v>
      </c>
      <c r="I23" s="47">
        <v>1.6669343017887881</v>
      </c>
      <c r="J23" s="47">
        <v>1.5667585606752914</v>
      </c>
      <c r="K23" s="47">
        <v>1.4734987379671429</v>
      </c>
      <c r="L23" s="47">
        <v>1.3864223480983495</v>
      </c>
      <c r="M23" s="47">
        <v>1.305171874814093</v>
      </c>
      <c r="N23" s="47">
        <v>1.2292251207153753</v>
      </c>
      <c r="O23" s="47">
        <v>1.1581406935854004</v>
      </c>
      <c r="P23" s="47">
        <v>1.0916181424821294</v>
      </c>
      <c r="Q23" s="47">
        <v>1.0293187204087402</v>
      </c>
      <c r="R23" s="47">
        <v>0.97093997127016451</v>
      </c>
      <c r="S23" s="47">
        <v>0.91622081702810398</v>
      </c>
      <c r="T23" s="47">
        <v>0.86491474923667533</v>
      </c>
      <c r="U23" s="47">
        <v>0.81679718418195679</v>
      </c>
      <c r="V23" s="47">
        <v>0.77166015624999962</v>
      </c>
      <c r="W23" s="47">
        <v>0.7293086449818027</v>
      </c>
      <c r="X23" s="47">
        <v>0.68956170482426304</v>
      </c>
      <c r="Y23" s="47">
        <v>0.65225287260061371</v>
      </c>
      <c r="Z23" s="47">
        <v>0.61722464331953431</v>
      </c>
      <c r="AA23" s="47">
        <v>0.58433129077859869</v>
      </c>
      <c r="AB23" s="47">
        <v>0.55343722995457778</v>
      </c>
      <c r="AC23" s="47">
        <v>0.52441451653926308</v>
      </c>
      <c r="AG23" s="47"/>
    </row>
    <row r="24" spans="1:34">
      <c r="A24" t="s">
        <v>614</v>
      </c>
      <c r="B24" s="47"/>
      <c r="C24" s="47"/>
      <c r="D24" s="47"/>
      <c r="E24" s="47"/>
      <c r="F24" s="47"/>
      <c r="G24" s="47"/>
      <c r="H24" s="47"/>
      <c r="I24" s="47">
        <v>2.2380694479237424</v>
      </c>
      <c r="J24" s="47">
        <v>2.1655444803732538</v>
      </c>
      <c r="K24" s="47">
        <v>2.0925710178159154</v>
      </c>
      <c r="L24" s="47">
        <v>2.02485984809835</v>
      </c>
      <c r="M24" s="47">
        <v>1.9613670449587313</v>
      </c>
      <c r="N24" s="47">
        <v>1.9011697720676033</v>
      </c>
      <c r="O24" s="47">
        <v>1.8448595631211695</v>
      </c>
      <c r="P24" s="47">
        <v>1.7916412001087874</v>
      </c>
      <c r="Q24" s="47">
        <v>1.7416283087737656</v>
      </c>
      <c r="R24" s="47">
        <v>1.6945415337701646</v>
      </c>
      <c r="S24" s="47">
        <v>1.6502038202307256</v>
      </c>
      <c r="T24" s="47">
        <v>1.6084433757838938</v>
      </c>
      <c r="U24" s="47">
        <v>1.569160641761308</v>
      </c>
      <c r="V24" s="47">
        <v>1.5321849281209099</v>
      </c>
      <c r="W24" s="47">
        <v>1.4973706208204141</v>
      </c>
      <c r="X24" s="47">
        <v>1.4646124860742631</v>
      </c>
      <c r="Y24" s="47">
        <v>1.4337872257162418</v>
      </c>
      <c r="Z24" s="47">
        <v>1.4047779687142621</v>
      </c>
      <c r="AA24" s="47">
        <v>1.3774812259992768</v>
      </c>
      <c r="AB24" s="47">
        <v>1.3517940538060864</v>
      </c>
      <c r="AC24" s="47">
        <v>1.3276239436943746</v>
      </c>
      <c r="AG24" s="47"/>
    </row>
    <row r="25" spans="1:34">
      <c r="AG25" s="47"/>
    </row>
    <row r="26" spans="1:34">
      <c r="AG26" s="47"/>
    </row>
    <row r="27" spans="1:34">
      <c r="A27" s="172" t="s">
        <v>618</v>
      </c>
      <c r="AE27" s="172" t="s">
        <v>618</v>
      </c>
      <c r="AF27">
        <f>Timeline_Year_this</f>
        <v>2031</v>
      </c>
      <c r="AG27" s="47">
        <v>16.401389276585071</v>
      </c>
      <c r="AH27" t="s">
        <v>57</v>
      </c>
    </row>
    <row r="28" spans="1:34">
      <c r="A28" s="171" t="s">
        <v>121</v>
      </c>
      <c r="B28" s="47">
        <v>22.848132896743401</v>
      </c>
      <c r="C28" s="47">
        <v>21.886146641475175</v>
      </c>
      <c r="D28" s="47">
        <v>20.965366716937286</v>
      </c>
      <c r="E28" s="47">
        <v>20.097341117687225</v>
      </c>
      <c r="F28" s="47">
        <v>19.273906397958946</v>
      </c>
      <c r="G28" s="47">
        <v>18.487756887923254</v>
      </c>
      <c r="H28" s="47">
        <v>17.739046058450679</v>
      </c>
      <c r="I28" s="47">
        <v>17.024826887890281</v>
      </c>
      <c r="J28" s="47">
        <v>16.343686209498131</v>
      </c>
      <c r="K28" s="47">
        <v>15.694274034850997</v>
      </c>
      <c r="L28" s="47">
        <v>15.07341861810252</v>
      </c>
      <c r="M28" s="47">
        <v>14.480427662027807</v>
      </c>
      <c r="N28" s="47">
        <v>13.91391413192235</v>
      </c>
      <c r="O28" s="47">
        <v>13.372364816272722</v>
      </c>
      <c r="P28" s="47">
        <v>12.854560028844233</v>
      </c>
      <c r="Q28" s="47">
        <v>12.359417476473427</v>
      </c>
      <c r="R28" s="47">
        <v>11.885799270614648</v>
      </c>
      <c r="S28" s="47">
        <v>11.432723222445675</v>
      </c>
      <c r="T28" s="47">
        <v>10.999181492407605</v>
      </c>
      <c r="U28" s="47">
        <v>10.584223146777809</v>
      </c>
      <c r="V28" s="47">
        <v>10.187025975363655</v>
      </c>
      <c r="W28" s="47">
        <v>9.8067244062970484</v>
      </c>
      <c r="X28" s="47">
        <v>9.4425272998047234</v>
      </c>
      <c r="Y28" s="47">
        <v>9.0936943382197128</v>
      </c>
      <c r="Z28" s="47">
        <v>8.7595045426309373</v>
      </c>
      <c r="AA28" s="47">
        <v>8.4392763247712228</v>
      </c>
      <c r="AB28" s="47">
        <v>8.1323664793299493</v>
      </c>
      <c r="AC28" s="47">
        <v>7.8381585851509339</v>
      </c>
      <c r="AG28" s="47"/>
    </row>
    <row r="29" spans="1:34">
      <c r="A29" s="171" t="s">
        <v>86</v>
      </c>
      <c r="B29" s="47">
        <v>22.863132896743402</v>
      </c>
      <c r="C29" s="47">
        <v>21.894696840705937</v>
      </c>
      <c r="D29" s="47">
        <v>20.985994806119503</v>
      </c>
      <c r="E29" s="47">
        <v>20.119661216690801</v>
      </c>
      <c r="F29" s="47">
        <v>19.298865818304201</v>
      </c>
      <c r="G29" s="47">
        <v>18.519992060996501</v>
      </c>
      <c r="H29" s="47">
        <v>17.779320827951683</v>
      </c>
      <c r="I29" s="47">
        <v>17.073455289836144</v>
      </c>
      <c r="J29" s="47">
        <v>16.401389276585071</v>
      </c>
      <c r="K29" s="47">
        <v>15.762354918079533</v>
      </c>
      <c r="L29" s="47">
        <v>15.153938207085931</v>
      </c>
      <c r="M29" s="47">
        <v>14.574619828212054</v>
      </c>
      <c r="N29" s="47">
        <v>14.022874100954294</v>
      </c>
      <c r="O29" s="47">
        <v>13.498513996040518</v>
      </c>
      <c r="P29" s="47">
        <v>12.999730473519097</v>
      </c>
      <c r="Q29" s="47">
        <v>12.525936758195002</v>
      </c>
      <c r="R29" s="47">
        <v>12.076209953865124</v>
      </c>
      <c r="S29" s="47">
        <v>11.649869098424114</v>
      </c>
      <c r="T29" s="47">
        <v>11.24621152207474</v>
      </c>
      <c r="U29" s="47">
        <v>10.864687696103507</v>
      </c>
      <c r="V29" s="47">
        <v>10.504825624644715</v>
      </c>
      <c r="W29" s="47">
        <v>10.166218495650208</v>
      </c>
      <c r="X29" s="47">
        <v>9.8486022684976824</v>
      </c>
      <c r="Y29" s="47">
        <v>9.5517711386013762</v>
      </c>
      <c r="Z29" s="47">
        <v>9.2756377102087324</v>
      </c>
      <c r="AA29" s="47">
        <v>9.0202091819996753</v>
      </c>
      <c r="AB29" s="47">
        <v>8.7855914685782199</v>
      </c>
      <c r="AC29" s="47">
        <v>8.5720393607732657</v>
      </c>
      <c r="AG29" s="47"/>
    </row>
    <row r="30" spans="1:34">
      <c r="A30" s="171" t="s">
        <v>619</v>
      </c>
      <c r="B30" s="47">
        <v>22.863132896743402</v>
      </c>
      <c r="C30" s="47">
        <v>21.893300571332677</v>
      </c>
      <c r="D30" s="47">
        <v>20.978299355957184</v>
      </c>
      <c r="E30" s="47">
        <v>20.111511040223419</v>
      </c>
      <c r="F30" s="47">
        <v>19.285937973943458</v>
      </c>
      <c r="G30" s="47">
        <v>18.500653817145018</v>
      </c>
      <c r="H30" s="47">
        <v>17.752434079841521</v>
      </c>
      <c r="I30" s="47">
        <v>17.039731096555027</v>
      </c>
      <c r="J30" s="47">
        <v>16.359768201373836</v>
      </c>
      <c r="K30" s="47">
        <v>15.710335037796872</v>
      </c>
      <c r="L30" s="47">
        <v>15.090148147611618</v>
      </c>
      <c r="M30" s="47">
        <v>14.497340476046904</v>
      </c>
      <c r="N30" s="47">
        <v>13.93138854151403</v>
      </c>
      <c r="O30" s="47">
        <v>13.390073665086659</v>
      </c>
      <c r="P30" s="47">
        <v>12.872669326615835</v>
      </c>
      <c r="Q30" s="47">
        <v>12.37795441869407</v>
      </c>
      <c r="R30" s="47">
        <v>11.90458583421227</v>
      </c>
      <c r="S30" s="47">
        <v>11.451840787000549</v>
      </c>
      <c r="T30" s="47">
        <v>11.018506069196434</v>
      </c>
      <c r="U30" s="47">
        <v>10.603796170105829</v>
      </c>
      <c r="V30" s="47">
        <v>10.206815143589116</v>
      </c>
      <c r="W30" s="47">
        <v>9.826695594427715</v>
      </c>
      <c r="X30" s="47">
        <v>9.4627127221266569</v>
      </c>
      <c r="Y30" s="47">
        <v>9.1140337671690581</v>
      </c>
      <c r="Z30" s="47">
        <v>8.7800114463266699</v>
      </c>
      <c r="AA30" s="47">
        <v>8.4599178874391665</v>
      </c>
      <c r="AB30" s="47">
        <v>8.1531551388920711</v>
      </c>
      <c r="AC30" s="47">
        <v>7.8590645723820804</v>
      </c>
      <c r="AG30" s="47"/>
    </row>
    <row r="31" spans="1:34">
      <c r="A31" s="171" t="s">
        <v>126</v>
      </c>
      <c r="B31" s="47">
        <v>22.863132896743402</v>
      </c>
      <c r="C31" s="47">
        <v>21.896753243192972</v>
      </c>
      <c r="D31" s="47">
        <v>20.980366716937286</v>
      </c>
      <c r="E31" s="47">
        <v>20.111483253310958</v>
      </c>
      <c r="F31" s="47">
        <v>19.286406397958945</v>
      </c>
      <c r="G31" s="47">
        <v>18.501457081808745</v>
      </c>
      <c r="H31" s="47">
        <v>17.75342105845068</v>
      </c>
      <c r="I31" s="47">
        <v>17.040294848728735</v>
      </c>
      <c r="J31" s="47">
        <v>16.35993620949813</v>
      </c>
      <c r="K31" s="47">
        <v>15.710515393731374</v>
      </c>
      <c r="L31" s="47">
        <v>15.090215493102521</v>
      </c>
      <c r="M31" s="47">
        <v>14.497718632536509</v>
      </c>
      <c r="N31" s="47">
        <v>13.93153131942235</v>
      </c>
      <c r="O31" s="47">
        <v>13.390291078030145</v>
      </c>
      <c r="P31" s="47">
        <v>12.872841278844231</v>
      </c>
      <c r="Q31" s="47">
        <v>12.378006650838213</v>
      </c>
      <c r="R31" s="47">
        <v>11.904685989364646</v>
      </c>
      <c r="S31" s="47">
        <v>11.451857918643604</v>
      </c>
      <c r="T31" s="47">
        <v>11.018546726782604</v>
      </c>
      <c r="U31" s="47">
        <v>10.60383085874245</v>
      </c>
      <c r="V31" s="47">
        <v>10.206835545676153</v>
      </c>
      <c r="W31" s="47">
        <v>9.8267274489572252</v>
      </c>
      <c r="X31" s="47">
        <v>9.462715288085974</v>
      </c>
      <c r="Y31" s="47">
        <v>9.1140495532025501</v>
      </c>
      <c r="Z31" s="47">
        <v>8.7800147965371877</v>
      </c>
      <c r="AA31" s="47">
        <v>8.4599323536130004</v>
      </c>
      <c r="AB31" s="47">
        <v>8.1531574949549501</v>
      </c>
      <c r="AC31" s="47">
        <v>7.8590755063567412</v>
      </c>
      <c r="AG31" s="47"/>
    </row>
    <row r="32" spans="1:34">
      <c r="A32" s="171" t="s">
        <v>614</v>
      </c>
      <c r="B32" s="47"/>
      <c r="C32" s="47"/>
      <c r="D32" s="47"/>
      <c r="E32" s="47"/>
      <c r="F32" s="47"/>
      <c r="G32" s="47"/>
      <c r="H32" s="47"/>
      <c r="I32" s="47">
        <v>17.754213781397425</v>
      </c>
      <c r="J32" s="47">
        <v>17.108418609120584</v>
      </c>
      <c r="K32" s="47">
        <v>16.484355743542338</v>
      </c>
      <c r="L32" s="47">
        <v>15.88826236810252</v>
      </c>
      <c r="M32" s="47">
        <v>15.317962595217306</v>
      </c>
      <c r="N32" s="47">
        <v>14.771462133612635</v>
      </c>
      <c r="O32" s="47">
        <v>14.248689664949856</v>
      </c>
      <c r="P32" s="47">
        <v>13.747870100877554</v>
      </c>
      <c r="Q32" s="47">
        <v>13.268393636294494</v>
      </c>
      <c r="R32" s="47">
        <v>12.809187942489647</v>
      </c>
      <c r="S32" s="47">
        <v>12.369336672646881</v>
      </c>
      <c r="T32" s="47">
        <v>11.947957509966628</v>
      </c>
      <c r="U32" s="47">
        <v>11.54428518071664</v>
      </c>
      <c r="V32" s="47">
        <v>11.157491510514792</v>
      </c>
      <c r="W32" s="47">
        <v>10.78680491875549</v>
      </c>
      <c r="X32" s="47">
        <v>10.431528764648474</v>
      </c>
      <c r="Y32" s="47">
        <v>10.090967494597084</v>
      </c>
      <c r="Z32" s="47">
        <v>9.7644564532805962</v>
      </c>
      <c r="AA32" s="47">
        <v>9.4513697726388486</v>
      </c>
      <c r="AB32" s="47">
        <v>9.1511035247693364</v>
      </c>
      <c r="AC32" s="47">
        <v>8.8630872903006317</v>
      </c>
      <c r="AG32" s="47"/>
    </row>
    <row r="33" spans="1:34">
      <c r="AG33" s="47"/>
    </row>
    <row r="34" spans="1:34">
      <c r="AG34" s="47"/>
    </row>
    <row r="35" spans="1:34">
      <c r="AG35" s="47"/>
    </row>
    <row r="36" spans="1:34">
      <c r="A36" s="172" t="s">
        <v>620</v>
      </c>
      <c r="AE36" s="172" t="s">
        <v>620</v>
      </c>
      <c r="AF36">
        <f>Timeline_Year_this</f>
        <v>2031</v>
      </c>
      <c r="AG36" s="176">
        <v>9.7547895935188852E-2</v>
      </c>
    </row>
    <row r="37" spans="1:34">
      <c r="A37" s="171" t="s">
        <v>121</v>
      </c>
      <c r="B37" s="176">
        <v>0.11552366278367604</v>
      </c>
      <c r="C37" s="176">
        <v>0.11244731518783879</v>
      </c>
      <c r="D37" s="176">
        <v>0.10932342879077581</v>
      </c>
      <c r="E37" s="176">
        <v>0.10660716473380639</v>
      </c>
      <c r="F37" s="176">
        <v>0.1041258490368249</v>
      </c>
      <c r="G37" s="176">
        <v>0.10169830768421097</v>
      </c>
      <c r="H37" s="176">
        <v>9.9399060642903297E-2</v>
      </c>
      <c r="I37" s="176">
        <v>9.7185125229960964E-2</v>
      </c>
      <c r="J37" s="176">
        <v>9.5067816449652898E-2</v>
      </c>
      <c r="K37" s="176">
        <v>9.3059777573630625E-2</v>
      </c>
      <c r="L37" s="176">
        <v>9.1086493574155408E-2</v>
      </c>
      <c r="M37" s="176">
        <v>8.9178243111798727E-2</v>
      </c>
      <c r="N37" s="176">
        <v>8.7332102181623308E-2</v>
      </c>
      <c r="O37" s="176">
        <v>8.5534585684319681E-2</v>
      </c>
      <c r="P37" s="176">
        <v>8.3782964182786024E-2</v>
      </c>
      <c r="Q37" s="176">
        <v>8.2078899175300604E-2</v>
      </c>
      <c r="R37" s="176">
        <v>8.0417864588481811E-2</v>
      </c>
      <c r="S37" s="176">
        <v>7.8801265677543308E-2</v>
      </c>
      <c r="T37" s="176">
        <v>7.7225979253365856E-2</v>
      </c>
      <c r="U37" s="176">
        <v>7.5689165232134134E-2</v>
      </c>
      <c r="V37" s="176">
        <v>7.4193636280879202E-2</v>
      </c>
      <c r="W37" s="176">
        <v>7.2736438927113733E-2</v>
      </c>
      <c r="X37" s="176">
        <v>7.1316851179576632E-2</v>
      </c>
      <c r="Y37" s="176">
        <v>6.9935130537810405E-2</v>
      </c>
      <c r="Z37" s="176">
        <v>6.8590231019399386E-2</v>
      </c>
      <c r="AA37" s="176">
        <v>6.728141677723401E-2</v>
      </c>
      <c r="AB37" s="176">
        <v>6.6008389909502294E-2</v>
      </c>
      <c r="AC37" s="176">
        <v>6.4770439901075366E-2</v>
      </c>
      <c r="AG37" s="47"/>
    </row>
    <row r="38" spans="1:34">
      <c r="A38" s="171" t="s">
        <v>86</v>
      </c>
      <c r="B38" s="176">
        <v>0.11597273269481265</v>
      </c>
      <c r="C38" s="176">
        <v>0.11271581456371781</v>
      </c>
      <c r="D38" s="176">
        <v>0.11000232621920819</v>
      </c>
      <c r="E38" s="176">
        <v>0.10737639223544412</v>
      </c>
      <c r="F38" s="176">
        <v>0.10502583018622566</v>
      </c>
      <c r="G38" s="176">
        <v>0.10291374426944296</v>
      </c>
      <c r="H38" s="176">
        <v>0.10098610334368142</v>
      </c>
      <c r="I38" s="176">
        <v>9.9186873771405462E-2</v>
      </c>
      <c r="J38" s="176">
        <v>9.7547895935188852E-2</v>
      </c>
      <c r="K38" s="176">
        <v>9.6113199158330567E-2</v>
      </c>
      <c r="L38" s="176">
        <v>9.4853265180463359E-2</v>
      </c>
      <c r="M38" s="176">
        <v>9.3772108464127812E-2</v>
      </c>
      <c r="N38" s="176">
        <v>9.2869645449666111E-2</v>
      </c>
      <c r="O38" s="176">
        <v>9.2211559610102953E-2</v>
      </c>
      <c r="P38" s="176">
        <v>9.1781095050583406E-2</v>
      </c>
      <c r="Q38" s="176">
        <v>9.1622912397615372E-2</v>
      </c>
      <c r="R38" s="176">
        <v>9.1763818872316688E-2</v>
      </c>
      <c r="S38" s="176">
        <v>9.2243934397329572E-2</v>
      </c>
      <c r="T38" s="176">
        <v>9.3102160084325106E-2</v>
      </c>
      <c r="U38" s="176">
        <v>9.4386758529523079E-2</v>
      </c>
      <c r="V38" s="176">
        <v>9.6151259955731955E-2</v>
      </c>
      <c r="W38" s="176">
        <v>9.8453666204837281E-2</v>
      </c>
      <c r="X38" s="176">
        <v>0.10136172239859442</v>
      </c>
      <c r="Y38" s="176">
        <v>0.10494704347223882</v>
      </c>
      <c r="Z38" s="176">
        <v>0.10928876330961808</v>
      </c>
      <c r="AA38" s="176">
        <v>0.11447104303838687</v>
      </c>
      <c r="AB38" s="176">
        <v>0.12058202485764287</v>
      </c>
      <c r="AC38" s="176">
        <v>0.12771588579986698</v>
      </c>
      <c r="AG38" s="47"/>
    </row>
    <row r="39" spans="1:34">
      <c r="A39" s="171" t="s">
        <v>619</v>
      </c>
      <c r="B39" s="176">
        <v>0.11597273269481265</v>
      </c>
      <c r="C39" s="176">
        <v>0.11267198225731312</v>
      </c>
      <c r="D39" s="176">
        <v>0.10974921501030618</v>
      </c>
      <c r="E39" s="176">
        <v>0.10709570697925105</v>
      </c>
      <c r="F39" s="176">
        <v>0.10455997169833528</v>
      </c>
      <c r="G39" s="176">
        <v>0.10218509845335064</v>
      </c>
      <c r="H39" s="176">
        <v>9.9927419758074218E-2</v>
      </c>
      <c r="I39" s="176">
        <v>9.7799859082678811E-2</v>
      </c>
      <c r="J39" s="176">
        <v>9.5760779424997902E-2</v>
      </c>
      <c r="K39" s="176">
        <v>9.3782497297152143E-2</v>
      </c>
      <c r="L39" s="176">
        <v>9.1872422864520006E-2</v>
      </c>
      <c r="M39" s="176">
        <v>9.0007498394506696E-2</v>
      </c>
      <c r="N39" s="176">
        <v>8.8226015283839249E-2</v>
      </c>
      <c r="O39" s="176">
        <v>8.6479491613993084E-2</v>
      </c>
      <c r="P39" s="176">
        <v>8.4790539786696831E-2</v>
      </c>
      <c r="Q39" s="176">
        <v>8.3154041441527535E-2</v>
      </c>
      <c r="R39" s="176">
        <v>8.1553433329711919E-2</v>
      </c>
      <c r="S39" s="176">
        <v>8.000522612519062E-2</v>
      </c>
      <c r="T39" s="176">
        <v>7.8493601377197686E-2</v>
      </c>
      <c r="U39" s="176">
        <v>7.7026134807767599E-2</v>
      </c>
      <c r="V39" s="176">
        <v>7.5600843527085709E-2</v>
      </c>
      <c r="W39" s="176">
        <v>7.4214485871704372E-2</v>
      </c>
      <c r="X39" s="176">
        <v>7.2871244462955467E-2</v>
      </c>
      <c r="Y39" s="176">
        <v>7.1564387453044775E-2</v>
      </c>
      <c r="Z39" s="176">
        <v>7.0298537413564552E-2</v>
      </c>
      <c r="AA39" s="176">
        <v>6.9069194951300525E-2</v>
      </c>
      <c r="AB39" s="176">
        <v>6.7879898723413781E-2</v>
      </c>
      <c r="AC39" s="176">
        <v>6.6726232432594249E-2</v>
      </c>
      <c r="AG39" s="47"/>
    </row>
    <row r="40" spans="1:34">
      <c r="A40" s="171" t="s">
        <v>126</v>
      </c>
      <c r="B40" s="176">
        <v>0.11597273269481265</v>
      </c>
      <c r="C40" s="176">
        <v>0.11278035988203669</v>
      </c>
      <c r="D40" s="176">
        <v>0.10981723086334752</v>
      </c>
      <c r="E40" s="176">
        <v>0.10709474963211285</v>
      </c>
      <c r="F40" s="176">
        <v>0.10457686239346349</v>
      </c>
      <c r="G40" s="176">
        <v>0.10221539498890211</v>
      </c>
      <c r="H40" s="176">
        <v>9.996633939273411E-2</v>
      </c>
      <c r="I40" s="176">
        <v>9.7823090303695487E-2</v>
      </c>
      <c r="J40" s="176">
        <v>9.5768011599316277E-2</v>
      </c>
      <c r="K40" s="176">
        <v>9.3790604638921082E-2</v>
      </c>
      <c r="L40" s="176">
        <v>9.1875583137434949E-2</v>
      </c>
      <c r="M40" s="176">
        <v>9.0026017740816172E-2</v>
      </c>
      <c r="N40" s="176">
        <v>8.8233309930666207E-2</v>
      </c>
      <c r="O40" s="176">
        <v>8.6491076768719144E-2</v>
      </c>
      <c r="P40" s="176">
        <v>8.4800093377686611E-2</v>
      </c>
      <c r="Q40" s="176">
        <v>8.3157066355190309E-2</v>
      </c>
      <c r="R40" s="176">
        <v>8.1559477682786291E-2</v>
      </c>
      <c r="S40" s="176">
        <v>8.0006303216222943E-2</v>
      </c>
      <c r="T40" s="176">
        <v>7.8496263680067804E-2</v>
      </c>
      <c r="U40" s="176">
        <v>7.7028499894313096E-2</v>
      </c>
      <c r="V40" s="176">
        <v>7.560229150325562E-2</v>
      </c>
      <c r="W40" s="176">
        <v>7.4216838593523238E-2</v>
      </c>
      <c r="X40" s="176">
        <v>7.2871441634987724E-2</v>
      </c>
      <c r="Y40" s="176">
        <v>7.156564914346128E-2</v>
      </c>
      <c r="Z40" s="176">
        <v>7.0298815847436372E-2</v>
      </c>
      <c r="AA40" s="176">
        <v>6.9070444816151183E-2</v>
      </c>
      <c r="AB40" s="176">
        <v>6.7880110288196488E-2</v>
      </c>
      <c r="AC40" s="176">
        <v>6.6727252603069553E-2</v>
      </c>
      <c r="AG40" s="47"/>
    </row>
    <row r="41" spans="1:34">
      <c r="A41" s="171" t="s">
        <v>614</v>
      </c>
      <c r="B41" s="176"/>
      <c r="C41" s="176"/>
      <c r="D41" s="176"/>
      <c r="E41" s="176"/>
      <c r="F41" s="176"/>
      <c r="G41" s="176"/>
      <c r="H41" s="176"/>
      <c r="I41" s="176">
        <v>0.1260584938021167</v>
      </c>
      <c r="J41" s="176">
        <v>0.12657771181836708</v>
      </c>
      <c r="K41" s="176">
        <v>0.1269428451054673</v>
      </c>
      <c r="L41" s="176">
        <v>0.12744375698147362</v>
      </c>
      <c r="M41" s="176">
        <v>0.12804359801551707</v>
      </c>
      <c r="N41" s="176">
        <v>0.12870559155694339</v>
      </c>
      <c r="O41" s="176">
        <v>0.12947573471680787</v>
      </c>
      <c r="P41" s="176">
        <v>0.13032136519782969</v>
      </c>
      <c r="Q41" s="176">
        <v>0.13126142896527418</v>
      </c>
      <c r="R41" s="176">
        <v>0.13229109771659783</v>
      </c>
      <c r="S41" s="176">
        <v>0.13341085814891987</v>
      </c>
      <c r="T41" s="176">
        <v>0.13462078137139161</v>
      </c>
      <c r="U41" s="176">
        <v>0.13592531864878085</v>
      </c>
      <c r="V41" s="176">
        <v>0.13732342316164728</v>
      </c>
      <c r="W41" s="176">
        <v>0.13881502744310042</v>
      </c>
      <c r="X41" s="176">
        <v>0.14040247782642415</v>
      </c>
      <c r="Y41" s="176">
        <v>0.14208620000846517</v>
      </c>
      <c r="Z41" s="176">
        <v>0.14386647894182519</v>
      </c>
      <c r="AA41" s="176">
        <v>0.14574408357051089</v>
      </c>
      <c r="AB41" s="176">
        <v>0.14771923955916125</v>
      </c>
      <c r="AC41" s="176">
        <v>0.14979249331632638</v>
      </c>
      <c r="AG41" s="47"/>
    </row>
    <row r="42" spans="1:34">
      <c r="B42" s="176"/>
      <c r="C42" s="176"/>
      <c r="D42" s="176"/>
      <c r="E42" s="176"/>
      <c r="F42" s="176"/>
      <c r="G42" s="176"/>
      <c r="H42" s="176"/>
      <c r="I42" s="176"/>
      <c r="J42" s="176"/>
      <c r="K42" s="176"/>
      <c r="L42" s="176"/>
      <c r="M42" s="176"/>
      <c r="N42" s="176"/>
      <c r="O42" s="176"/>
      <c r="P42" s="176"/>
      <c r="Q42" s="176"/>
      <c r="R42" s="176"/>
      <c r="S42" s="176"/>
      <c r="T42" s="176"/>
      <c r="U42" s="176"/>
      <c r="V42" s="176"/>
      <c r="W42" s="176"/>
      <c r="X42" s="176"/>
      <c r="Y42" s="176"/>
      <c r="Z42" s="176"/>
      <c r="AA42" s="176"/>
      <c r="AB42" s="176"/>
      <c r="AC42" s="176"/>
      <c r="AG42" s="47"/>
    </row>
    <row r="43" spans="1:34" ht="17" customHeight="1">
      <c r="AG43" s="47"/>
    </row>
    <row r="44" spans="1:34">
      <c r="A44" s="1" t="s">
        <v>621</v>
      </c>
      <c r="AE44" s="1" t="s">
        <v>621</v>
      </c>
      <c r="AF44">
        <f>Timeline_Year_this</f>
        <v>2031</v>
      </c>
      <c r="AG44" s="47">
        <v>760</v>
      </c>
      <c r="AH44" t="s">
        <v>476</v>
      </c>
    </row>
    <row r="45" spans="1:34">
      <c r="A45" t="s">
        <v>121</v>
      </c>
      <c r="B45">
        <v>0</v>
      </c>
      <c r="C45">
        <v>10</v>
      </c>
      <c r="D45">
        <v>10</v>
      </c>
      <c r="E45">
        <v>20</v>
      </c>
      <c r="F45">
        <v>40</v>
      </c>
      <c r="G45">
        <v>60</v>
      </c>
      <c r="H45">
        <v>90</v>
      </c>
      <c r="I45">
        <v>130</v>
      </c>
      <c r="J45">
        <v>190</v>
      </c>
      <c r="K45">
        <v>290</v>
      </c>
      <c r="L45">
        <v>420</v>
      </c>
      <c r="M45">
        <v>610</v>
      </c>
      <c r="N45">
        <v>890</v>
      </c>
      <c r="O45">
        <v>1290</v>
      </c>
      <c r="P45">
        <v>1860</v>
      </c>
      <c r="Q45">
        <v>2680</v>
      </c>
      <c r="R45">
        <v>3850</v>
      </c>
      <c r="S45">
        <v>5530</v>
      </c>
      <c r="T45">
        <v>7930</v>
      </c>
      <c r="U45">
        <v>11340</v>
      </c>
      <c r="V45">
        <v>16220</v>
      </c>
      <c r="W45">
        <v>23170</v>
      </c>
      <c r="X45">
        <v>33060</v>
      </c>
      <c r="Y45">
        <v>47150</v>
      </c>
      <c r="Z45">
        <v>67200</v>
      </c>
      <c r="AA45">
        <v>95710</v>
      </c>
      <c r="AB45">
        <v>136250</v>
      </c>
      <c r="AC45">
        <v>193860</v>
      </c>
      <c r="AG45" s="47"/>
    </row>
    <row r="46" spans="1:34">
      <c r="A46" t="s">
        <v>86</v>
      </c>
      <c r="B46">
        <v>20</v>
      </c>
      <c r="C46">
        <v>30</v>
      </c>
      <c r="D46">
        <v>60</v>
      </c>
      <c r="E46">
        <v>90</v>
      </c>
      <c r="F46">
        <v>140</v>
      </c>
      <c r="G46">
        <v>220</v>
      </c>
      <c r="H46">
        <v>340</v>
      </c>
      <c r="I46">
        <v>510</v>
      </c>
      <c r="J46">
        <v>760</v>
      </c>
      <c r="K46">
        <v>1140</v>
      </c>
      <c r="L46">
        <v>1700</v>
      </c>
      <c r="M46">
        <v>2520</v>
      </c>
      <c r="N46">
        <v>3710</v>
      </c>
      <c r="O46">
        <v>5470</v>
      </c>
      <c r="P46">
        <v>8030</v>
      </c>
      <c r="Q46">
        <v>11770</v>
      </c>
      <c r="R46">
        <v>17220</v>
      </c>
      <c r="S46">
        <v>25160</v>
      </c>
      <c r="T46">
        <v>36710</v>
      </c>
      <c r="U46">
        <v>53500</v>
      </c>
      <c r="V46">
        <v>77890</v>
      </c>
      <c r="W46">
        <v>113290</v>
      </c>
      <c r="X46">
        <v>164650</v>
      </c>
      <c r="Y46">
        <v>239120</v>
      </c>
      <c r="Z46">
        <v>347050</v>
      </c>
      <c r="AA46">
        <v>503400</v>
      </c>
      <c r="AB46">
        <v>729780</v>
      </c>
      <c r="AC46">
        <v>1057450</v>
      </c>
      <c r="AG46" s="47"/>
    </row>
    <row r="47" spans="1:34">
      <c r="A47" t="s">
        <v>124</v>
      </c>
      <c r="B47">
        <v>30</v>
      </c>
      <c r="C47">
        <v>40</v>
      </c>
      <c r="D47">
        <v>60</v>
      </c>
      <c r="E47">
        <v>90</v>
      </c>
      <c r="F47">
        <v>120</v>
      </c>
      <c r="G47">
        <v>160</v>
      </c>
      <c r="H47">
        <v>210</v>
      </c>
      <c r="I47">
        <v>280</v>
      </c>
      <c r="J47">
        <v>370</v>
      </c>
      <c r="K47">
        <v>480</v>
      </c>
      <c r="L47">
        <v>620</v>
      </c>
      <c r="M47">
        <v>790</v>
      </c>
      <c r="N47">
        <v>1020</v>
      </c>
      <c r="O47">
        <v>1300</v>
      </c>
      <c r="P47">
        <v>1660</v>
      </c>
      <c r="Q47">
        <v>2120</v>
      </c>
      <c r="R47">
        <v>2690</v>
      </c>
      <c r="S47">
        <v>3420</v>
      </c>
      <c r="T47">
        <v>4330</v>
      </c>
      <c r="U47">
        <v>5480</v>
      </c>
      <c r="V47">
        <v>6930</v>
      </c>
      <c r="W47">
        <v>8750</v>
      </c>
      <c r="X47">
        <v>11050</v>
      </c>
      <c r="Y47">
        <v>13930</v>
      </c>
      <c r="Z47">
        <v>17560</v>
      </c>
      <c r="AA47">
        <v>22110</v>
      </c>
      <c r="AB47">
        <v>27840</v>
      </c>
      <c r="AC47">
        <v>35020</v>
      </c>
      <c r="AG47" s="47"/>
    </row>
    <row r="48" spans="1:34">
      <c r="A48" t="s">
        <v>126</v>
      </c>
      <c r="B48">
        <v>60</v>
      </c>
      <c r="C48">
        <v>110</v>
      </c>
      <c r="D48">
        <v>170</v>
      </c>
      <c r="E48">
        <v>260</v>
      </c>
      <c r="F48">
        <v>400</v>
      </c>
      <c r="G48">
        <v>610</v>
      </c>
      <c r="H48">
        <v>910</v>
      </c>
      <c r="I48">
        <v>1350</v>
      </c>
      <c r="J48">
        <v>1990</v>
      </c>
      <c r="K48">
        <v>2920</v>
      </c>
      <c r="L48">
        <v>4250</v>
      </c>
      <c r="M48">
        <v>6180</v>
      </c>
      <c r="N48">
        <v>8960</v>
      </c>
      <c r="O48">
        <v>12940</v>
      </c>
      <c r="P48">
        <v>18660</v>
      </c>
      <c r="Q48">
        <v>26860</v>
      </c>
      <c r="R48">
        <v>38590</v>
      </c>
      <c r="S48">
        <v>55360</v>
      </c>
      <c r="T48">
        <v>79310</v>
      </c>
      <c r="U48">
        <v>113490</v>
      </c>
      <c r="V48">
        <v>162240</v>
      </c>
      <c r="W48">
        <v>231720</v>
      </c>
      <c r="X48">
        <v>330680</v>
      </c>
      <c r="Y48">
        <v>471570</v>
      </c>
      <c r="Z48">
        <v>672040</v>
      </c>
      <c r="AA48">
        <v>957160</v>
      </c>
      <c r="AB48">
        <v>1362530</v>
      </c>
      <c r="AC48">
        <v>1938610</v>
      </c>
      <c r="AG48" s="47"/>
    </row>
    <row r="49" spans="1:34">
      <c r="A49" t="s">
        <v>614</v>
      </c>
      <c r="I49">
        <v>1190</v>
      </c>
      <c r="J49">
        <v>1980</v>
      </c>
      <c r="K49">
        <v>3250</v>
      </c>
      <c r="L49">
        <v>5320</v>
      </c>
      <c r="M49">
        <v>8680</v>
      </c>
      <c r="N49">
        <v>14110</v>
      </c>
      <c r="O49">
        <v>22890</v>
      </c>
      <c r="P49">
        <v>37040</v>
      </c>
      <c r="Q49">
        <v>59830</v>
      </c>
      <c r="R49">
        <v>96480</v>
      </c>
      <c r="S49">
        <v>155350</v>
      </c>
      <c r="T49">
        <v>249810</v>
      </c>
      <c r="U49">
        <v>401260</v>
      </c>
      <c r="V49">
        <v>643870</v>
      </c>
      <c r="W49">
        <v>1032210</v>
      </c>
      <c r="X49">
        <v>1653440</v>
      </c>
      <c r="Y49">
        <v>2646630</v>
      </c>
      <c r="Z49">
        <v>4233620</v>
      </c>
      <c r="AA49">
        <v>6768210</v>
      </c>
      <c r="AB49">
        <v>10814400</v>
      </c>
      <c r="AC49">
        <v>17271130</v>
      </c>
      <c r="AG49" s="47"/>
    </row>
    <row r="50" spans="1:34">
      <c r="AG50" s="47"/>
    </row>
    <row r="51" spans="1:34">
      <c r="AG51" s="47"/>
    </row>
    <row r="52" spans="1:34">
      <c r="A52" s="1" t="s">
        <v>622</v>
      </c>
      <c r="AE52" s="1" t="s">
        <v>622</v>
      </c>
      <c r="AF52">
        <f>Timeline_Year_this</f>
        <v>2031</v>
      </c>
      <c r="AG52" s="47">
        <v>4864</v>
      </c>
      <c r="AH52" t="s">
        <v>428</v>
      </c>
    </row>
    <row r="53" spans="1:34">
      <c r="A53" s="171" t="s">
        <v>121</v>
      </c>
      <c r="B53">
        <v>0</v>
      </c>
      <c r="C53">
        <v>64</v>
      </c>
      <c r="D53">
        <v>64</v>
      </c>
      <c r="E53">
        <v>128</v>
      </c>
      <c r="F53">
        <v>256</v>
      </c>
      <c r="G53">
        <v>384</v>
      </c>
      <c r="H53">
        <v>576</v>
      </c>
      <c r="I53">
        <v>832</v>
      </c>
      <c r="J53">
        <v>1216</v>
      </c>
      <c r="K53">
        <v>1856</v>
      </c>
      <c r="L53">
        <v>2688</v>
      </c>
      <c r="M53">
        <v>3904</v>
      </c>
      <c r="N53">
        <v>5696</v>
      </c>
      <c r="O53">
        <v>8256</v>
      </c>
      <c r="P53">
        <v>11904</v>
      </c>
      <c r="Q53">
        <v>17152</v>
      </c>
      <c r="R53">
        <v>24640</v>
      </c>
      <c r="S53">
        <v>35392</v>
      </c>
      <c r="T53">
        <v>50752</v>
      </c>
      <c r="U53">
        <v>72576</v>
      </c>
      <c r="V53">
        <v>103808</v>
      </c>
      <c r="W53">
        <v>148288</v>
      </c>
      <c r="X53">
        <v>211584</v>
      </c>
      <c r="Y53">
        <v>301760</v>
      </c>
      <c r="Z53">
        <v>430080</v>
      </c>
      <c r="AA53">
        <v>612544</v>
      </c>
      <c r="AB53">
        <v>872000</v>
      </c>
      <c r="AC53">
        <v>1240704</v>
      </c>
      <c r="AG53" s="47"/>
    </row>
    <row r="54" spans="1:34">
      <c r="A54" s="171" t="s">
        <v>86</v>
      </c>
      <c r="B54">
        <v>128</v>
      </c>
      <c r="C54">
        <v>192</v>
      </c>
      <c r="D54">
        <v>384</v>
      </c>
      <c r="E54">
        <v>576</v>
      </c>
      <c r="F54">
        <v>896</v>
      </c>
      <c r="G54">
        <v>1408</v>
      </c>
      <c r="H54">
        <v>2176</v>
      </c>
      <c r="I54">
        <v>3264</v>
      </c>
      <c r="J54">
        <v>4864</v>
      </c>
      <c r="K54">
        <v>7296</v>
      </c>
      <c r="L54">
        <v>10880</v>
      </c>
      <c r="M54">
        <v>16128</v>
      </c>
      <c r="N54">
        <v>23744</v>
      </c>
      <c r="O54">
        <v>35008</v>
      </c>
      <c r="P54">
        <v>51392</v>
      </c>
      <c r="Q54">
        <v>75328</v>
      </c>
      <c r="R54">
        <v>110208</v>
      </c>
      <c r="S54">
        <v>161024</v>
      </c>
      <c r="T54">
        <v>234944</v>
      </c>
      <c r="U54">
        <v>342400</v>
      </c>
      <c r="V54">
        <v>498496</v>
      </c>
      <c r="W54">
        <v>725056</v>
      </c>
      <c r="X54">
        <v>1053760</v>
      </c>
      <c r="Y54">
        <v>1530368</v>
      </c>
      <c r="Z54">
        <v>2221120</v>
      </c>
      <c r="AA54">
        <v>3221760</v>
      </c>
      <c r="AB54">
        <v>4670592</v>
      </c>
      <c r="AC54">
        <v>6767680</v>
      </c>
      <c r="AG54" s="47"/>
    </row>
    <row r="55" spans="1:34">
      <c r="A55" s="171" t="s">
        <v>124</v>
      </c>
      <c r="B55">
        <v>192</v>
      </c>
      <c r="C55">
        <v>256</v>
      </c>
      <c r="D55">
        <v>384</v>
      </c>
      <c r="E55">
        <v>576</v>
      </c>
      <c r="F55">
        <v>768</v>
      </c>
      <c r="G55">
        <v>1024</v>
      </c>
      <c r="H55">
        <v>1344</v>
      </c>
      <c r="I55">
        <v>1792</v>
      </c>
      <c r="J55">
        <v>2368</v>
      </c>
      <c r="K55">
        <v>3072</v>
      </c>
      <c r="L55">
        <v>3968</v>
      </c>
      <c r="M55">
        <v>5056</v>
      </c>
      <c r="N55">
        <v>6528</v>
      </c>
      <c r="O55">
        <v>8320</v>
      </c>
      <c r="P55">
        <v>10624</v>
      </c>
      <c r="Q55">
        <v>13568</v>
      </c>
      <c r="R55">
        <v>17216</v>
      </c>
      <c r="S55">
        <v>21888</v>
      </c>
      <c r="T55">
        <v>27712</v>
      </c>
      <c r="U55">
        <v>35072</v>
      </c>
      <c r="V55">
        <v>44352</v>
      </c>
      <c r="W55">
        <v>56000</v>
      </c>
      <c r="X55">
        <v>70720</v>
      </c>
      <c r="Y55">
        <v>89152</v>
      </c>
      <c r="Z55">
        <v>112384</v>
      </c>
      <c r="AA55">
        <v>141504</v>
      </c>
      <c r="AB55">
        <v>178176</v>
      </c>
      <c r="AC55">
        <v>224128</v>
      </c>
      <c r="AG55" s="47"/>
    </row>
    <row r="56" spans="1:34">
      <c r="A56" s="171" t="s">
        <v>126</v>
      </c>
      <c r="B56">
        <v>384</v>
      </c>
      <c r="C56">
        <v>704</v>
      </c>
      <c r="D56">
        <v>1088</v>
      </c>
      <c r="E56">
        <v>1664</v>
      </c>
      <c r="F56">
        <v>2560</v>
      </c>
      <c r="G56">
        <v>3904</v>
      </c>
      <c r="H56">
        <v>5824</v>
      </c>
      <c r="I56">
        <v>8640</v>
      </c>
      <c r="J56">
        <v>12736</v>
      </c>
      <c r="K56">
        <v>18688</v>
      </c>
      <c r="L56">
        <v>27200</v>
      </c>
      <c r="M56">
        <v>39552</v>
      </c>
      <c r="N56">
        <v>57344</v>
      </c>
      <c r="O56">
        <v>82816</v>
      </c>
      <c r="P56">
        <v>119424</v>
      </c>
      <c r="Q56">
        <v>171904</v>
      </c>
      <c r="R56">
        <v>246976</v>
      </c>
      <c r="S56">
        <v>354304</v>
      </c>
      <c r="T56">
        <v>507584</v>
      </c>
      <c r="U56">
        <v>726336</v>
      </c>
      <c r="V56">
        <v>1038336</v>
      </c>
      <c r="W56">
        <v>1483008</v>
      </c>
      <c r="X56">
        <v>2116352</v>
      </c>
      <c r="Y56">
        <v>3018048</v>
      </c>
      <c r="Z56">
        <v>4301056</v>
      </c>
      <c r="AA56">
        <v>6125824</v>
      </c>
      <c r="AB56">
        <v>8720192</v>
      </c>
      <c r="AC56">
        <v>12407104</v>
      </c>
      <c r="AG56" s="47"/>
    </row>
    <row r="57" spans="1:34">
      <c r="A57" s="171" t="s">
        <v>614</v>
      </c>
      <c r="I57">
        <v>7616</v>
      </c>
      <c r="J57">
        <v>12672</v>
      </c>
      <c r="K57">
        <v>20800</v>
      </c>
      <c r="L57">
        <v>34048</v>
      </c>
      <c r="M57">
        <v>55552</v>
      </c>
      <c r="N57">
        <v>90304</v>
      </c>
      <c r="O57">
        <v>146496</v>
      </c>
      <c r="P57">
        <v>237056</v>
      </c>
      <c r="Q57">
        <v>382912</v>
      </c>
      <c r="R57">
        <v>617472</v>
      </c>
      <c r="S57">
        <v>994240</v>
      </c>
      <c r="T57">
        <v>1598784</v>
      </c>
      <c r="U57">
        <v>2568064</v>
      </c>
      <c r="V57">
        <v>4120768</v>
      </c>
      <c r="W57">
        <v>6606144</v>
      </c>
      <c r="X57">
        <v>10582016</v>
      </c>
      <c r="Y57">
        <v>16938432</v>
      </c>
      <c r="Z57">
        <v>27095168</v>
      </c>
      <c r="AA57">
        <v>43316544</v>
      </c>
      <c r="AB57">
        <v>69212160</v>
      </c>
      <c r="AC57">
        <v>110535232</v>
      </c>
      <c r="AG57" s="47"/>
    </row>
    <row r="58" spans="1:34">
      <c r="AG58" s="47"/>
    </row>
    <row r="59" spans="1:34">
      <c r="AG59" s="47"/>
    </row>
    <row r="60" spans="1:34">
      <c r="A60" s="172" t="s">
        <v>623</v>
      </c>
      <c r="B60" s="74">
        <v>2.25</v>
      </c>
      <c r="C60" s="74">
        <v>2.4114902907066593</v>
      </c>
      <c r="D60" s="74">
        <v>2.5845712987433287</v>
      </c>
      <c r="E60" s="74">
        <v>2.7700749300260612</v>
      </c>
      <c r="F60" s="74">
        <v>2.9688927992390117</v>
      </c>
      <c r="G60" s="74">
        <v>3.1819805153394634</v>
      </c>
      <c r="H60" s="74">
        <v>3.4103622746483948</v>
      </c>
      <c r="I60" s="74">
        <v>3.6551357836030589</v>
      </c>
      <c r="J60" s="74">
        <v>3.9174775348325572</v>
      </c>
      <c r="K60" s="74">
        <v>4.1986484619156315</v>
      </c>
      <c r="L60" s="74">
        <v>4.4999999999999973</v>
      </c>
      <c r="M60" s="74">
        <v>4.8229805814133169</v>
      </c>
      <c r="N60" s="74">
        <v>5.1691425974866538</v>
      </c>
      <c r="O60" s="74">
        <v>5.5401498600521197</v>
      </c>
      <c r="P60" s="74">
        <v>5.9377855984780208</v>
      </c>
      <c r="Q60" s="74">
        <v>6.363961030678924</v>
      </c>
      <c r="R60" s="74">
        <v>6.820724549296787</v>
      </c>
      <c r="S60" s="74">
        <v>7.3102715672061143</v>
      </c>
      <c r="T60" s="74">
        <v>7.83495506966511</v>
      </c>
      <c r="U60" s="74">
        <v>8.3972969238312594</v>
      </c>
      <c r="V60" s="74">
        <v>8.9999999999999929</v>
      </c>
      <c r="W60" s="74">
        <v>9.6459611628266302</v>
      </c>
      <c r="X60" s="74">
        <v>10.338285194973306</v>
      </c>
      <c r="Y60" s="74">
        <v>11.080299720104236</v>
      </c>
      <c r="Z60" s="74">
        <v>11.875571196956038</v>
      </c>
      <c r="AA60" s="74">
        <v>12.727922061357846</v>
      </c>
      <c r="AB60" s="74">
        <v>13.64144909859357</v>
      </c>
      <c r="AC60" s="74">
        <v>14.620543134412227</v>
      </c>
      <c r="AE60" s="172" t="s">
        <v>623</v>
      </c>
      <c r="AF60">
        <f>Timeline_Year_this</f>
        <v>2031</v>
      </c>
      <c r="AG60" s="47">
        <v>3.9174775348325572</v>
      </c>
      <c r="AH60" t="s">
        <v>624</v>
      </c>
    </row>
    <row r="61" spans="1:34">
      <c r="AG61" s="47"/>
    </row>
    <row r="62" spans="1:34">
      <c r="AG62" s="47"/>
    </row>
    <row r="63" spans="1:34">
      <c r="A63" s="172" t="s">
        <v>625</v>
      </c>
      <c r="AE63" s="172" t="s">
        <v>625</v>
      </c>
      <c r="AF63">
        <f>Timeline_Year_this</f>
        <v>2031</v>
      </c>
      <c r="AG63" s="47">
        <v>46.337538069716459</v>
      </c>
      <c r="AH63" t="s">
        <v>626</v>
      </c>
    </row>
    <row r="64" spans="1:34">
      <c r="A64" s="171" t="s">
        <v>121</v>
      </c>
      <c r="B64" s="178">
        <v>0</v>
      </c>
      <c r="C64" s="178">
        <v>0.4569100337219516</v>
      </c>
      <c r="D64" s="178">
        <v>0.47697710872480481</v>
      </c>
      <c r="E64" s="178">
        <v>0.99515651761508106</v>
      </c>
      <c r="F64" s="178">
        <v>2.0753447263931868</v>
      </c>
      <c r="G64" s="178">
        <v>3.2453910100469661</v>
      </c>
      <c r="H64" s="178">
        <v>5.073553544167333</v>
      </c>
      <c r="I64" s="178">
        <v>7.6359073050233883</v>
      </c>
      <c r="J64" s="178">
        <v>11.62528437982256</v>
      </c>
      <c r="K64" s="178">
        <v>18.478076740346232</v>
      </c>
      <c r="L64" s="178">
        <v>27.863619437703285</v>
      </c>
      <c r="M64" s="178">
        <v>42.125827650768215</v>
      </c>
      <c r="N64" s="178">
        <v>63.964747199215132</v>
      </c>
      <c r="O64" s="178">
        <v>96.467604475627937</v>
      </c>
      <c r="P64" s="178">
        <v>144.6957341073022</v>
      </c>
      <c r="Q64" s="178">
        <v>216.83869851483468</v>
      </c>
      <c r="R64" s="178">
        <v>323.91595317602111</v>
      </c>
      <c r="S64" s="178">
        <v>483.69928077529619</v>
      </c>
      <c r="T64" s="178">
        <v>720.96273758859547</v>
      </c>
      <c r="U64" s="178">
        <v>1071.4059825403695</v>
      </c>
      <c r="V64" s="178">
        <v>1592.2213253629188</v>
      </c>
      <c r="W64" s="178">
        <v>2362.6645391525622</v>
      </c>
      <c r="X64" s="178">
        <v>3501.1812992781815</v>
      </c>
      <c r="Y64" s="178">
        <v>5184.9114613226193</v>
      </c>
      <c r="Z64" s="178">
        <v>7671.6667789770136</v>
      </c>
      <c r="AA64" s="178">
        <v>11341.019812216489</v>
      </c>
      <c r="AB64" s="178">
        <v>16754.040825177624</v>
      </c>
      <c r="AC64" s="178">
        <v>24732.849928203766</v>
      </c>
      <c r="AG64" s="47"/>
    </row>
    <row r="65" spans="1:34">
      <c r="A65" s="171" t="s">
        <v>86</v>
      </c>
      <c r="B65" s="178">
        <v>0.87477075387375181</v>
      </c>
      <c r="C65" s="178">
        <v>1.3701948110203992</v>
      </c>
      <c r="D65" s="178">
        <v>2.859049597329741</v>
      </c>
      <c r="E65" s="178">
        <v>4.4732363547621814</v>
      </c>
      <c r="F65" s="178">
        <v>7.2543123164893766</v>
      </c>
      <c r="G65" s="178">
        <v>11.879054768242838</v>
      </c>
      <c r="H65" s="178">
        <v>19.123340159623559</v>
      </c>
      <c r="I65" s="178">
        <v>29.870930713339781</v>
      </c>
      <c r="J65" s="178">
        <v>46.337538069716459</v>
      </c>
      <c r="K65" s="178">
        <v>72.324218425789411</v>
      </c>
      <c r="L65" s="178">
        <v>112.18205965793669</v>
      </c>
      <c r="M65" s="178">
        <v>172.90330929401276</v>
      </c>
      <c r="N65" s="178">
        <v>264.56773221315058</v>
      </c>
      <c r="O65" s="178">
        <v>405.22979059802435</v>
      </c>
      <c r="P65" s="178">
        <v>617.70511445274883</v>
      </c>
      <c r="Q65" s="178">
        <v>939.65028142901679</v>
      </c>
      <c r="R65" s="178">
        <v>1425.9440723360849</v>
      </c>
      <c r="S65" s="178">
        <v>2159.6809189386868</v>
      </c>
      <c r="T65" s="178">
        <v>3264.2103456744885</v>
      </c>
      <c r="U65" s="178">
        <v>4924.2096502403056</v>
      </c>
      <c r="V65" s="178">
        <v>7414.6875715163833</v>
      </c>
      <c r="W65" s="178">
        <v>11143.769932593234</v>
      </c>
      <c r="X65" s="178">
        <v>16718.10836819547</v>
      </c>
      <c r="Y65" s="178">
        <v>25034.100642722613</v>
      </c>
      <c r="Z65" s="178">
        <v>37415.217243558152</v>
      </c>
      <c r="AA65" s="178">
        <v>55808.018399901688</v>
      </c>
      <c r="AB65" s="178">
        <v>83065.551432714288</v>
      </c>
      <c r="AC65" s="178">
        <v>123360.37615961317</v>
      </c>
      <c r="AG65" s="47"/>
    </row>
    <row r="66" spans="1:34">
      <c r="A66" s="171" t="s">
        <v>124</v>
      </c>
      <c r="B66" s="178">
        <v>1.3121561308106278</v>
      </c>
      <c r="C66" s="178">
        <v>1.8270429289394778</v>
      </c>
      <c r="D66" s="178">
        <v>2.8600983798508848</v>
      </c>
      <c r="E66" s="178">
        <v>4.4750491308185758</v>
      </c>
      <c r="F66" s="178">
        <v>6.2221500536882219</v>
      </c>
      <c r="G66" s="178">
        <v>8.6483430035172049</v>
      </c>
      <c r="H66" s="178">
        <v>11.829363739953948</v>
      </c>
      <c r="I66" s="178">
        <v>16.43218419430389</v>
      </c>
      <c r="J66" s="178">
        <v>22.616457363309628</v>
      </c>
      <c r="K66" s="178">
        <v>30.553135808064376</v>
      </c>
      <c r="L66" s="178">
        <v>41.086409088576779</v>
      </c>
      <c r="M66" s="178">
        <v>54.492753433312139</v>
      </c>
      <c r="N66" s="178">
        <v>73.215960990572498</v>
      </c>
      <c r="O66" s="178">
        <v>97.086844517489553</v>
      </c>
      <c r="P66" s="178">
        <v>128.9553827478303</v>
      </c>
      <c r="Q66" s="178">
        <v>171.27224162323822</v>
      </c>
      <c r="R66" s="178">
        <v>225.96334198114488</v>
      </c>
      <c r="S66" s="178">
        <v>298.64194443588332</v>
      </c>
      <c r="T66" s="178">
        <v>392.97523392077977</v>
      </c>
      <c r="U66" s="178">
        <v>516.79605229014021</v>
      </c>
      <c r="V66" s="178">
        <v>678.95811793483119</v>
      </c>
      <c r="W66" s="178">
        <v>890.43157141875224</v>
      </c>
      <c r="X66" s="178">
        <v>1167.7412518465017</v>
      </c>
      <c r="Y66" s="178">
        <v>1528.4121560070591</v>
      </c>
      <c r="Z66" s="178">
        <v>1999.9973926396931</v>
      </c>
      <c r="AA66" s="178">
        <v>2613.5005438797161</v>
      </c>
      <c r="AB66" s="178">
        <v>3414.6290026051392</v>
      </c>
      <c r="AC66" s="178">
        <v>4456.0010517111004</v>
      </c>
      <c r="AG66" s="47"/>
    </row>
    <row r="67" spans="1:34">
      <c r="A67" s="171" t="s">
        <v>126</v>
      </c>
      <c r="B67" s="178">
        <v>2.6243122616212555</v>
      </c>
      <c r="C67" s="178">
        <v>5.0235758141082227</v>
      </c>
      <c r="D67" s="178">
        <v>8.1028135634426413</v>
      </c>
      <c r="E67" s="178">
        <v>12.927937573037839</v>
      </c>
      <c r="F67" s="178">
        <v>20.739996438233899</v>
      </c>
      <c r="G67" s="178">
        <v>32.970376187277303</v>
      </c>
      <c r="H67" s="178">
        <v>51.257726440664648</v>
      </c>
      <c r="I67" s="178">
        <v>79.223981274051411</v>
      </c>
      <c r="J67" s="178">
        <v>121.63861609953348</v>
      </c>
      <c r="K67" s="178">
        <v>185.86277577915135</v>
      </c>
      <c r="L67" s="178">
        <v>281.63945053949709</v>
      </c>
      <c r="M67" s="178">
        <v>426.2739646588625</v>
      </c>
      <c r="N67" s="178">
        <v>643.14537968332354</v>
      </c>
      <c r="O67" s="178">
        <v>966.37182303161796</v>
      </c>
      <c r="P67" s="178">
        <v>1449.5634332621369</v>
      </c>
      <c r="Q67" s="178">
        <v>2169.9778290376908</v>
      </c>
      <c r="R67" s="178">
        <v>3241.5806712142899</v>
      </c>
      <c r="S67" s="178">
        <v>4834.1500910410368</v>
      </c>
      <c r="T67" s="178">
        <v>7197.8639258498997</v>
      </c>
      <c r="U67" s="178">
        <v>10702.735785947762</v>
      </c>
      <c r="V67" s="178">
        <v>15895.230140033807</v>
      </c>
      <c r="W67" s="178">
        <v>23580.586843750229</v>
      </c>
      <c r="X67" s="178">
        <v>34945.572167466824</v>
      </c>
      <c r="Y67" s="178">
        <v>51740.995838046205</v>
      </c>
      <c r="Z67" s="178">
        <v>76542.012237274437</v>
      </c>
      <c r="AA67" s="178">
        <v>113140.38457898825</v>
      </c>
      <c r="AB67" s="178">
        <v>167116.85023171856</v>
      </c>
      <c r="AC67" s="178">
        <v>246671.50715525929</v>
      </c>
      <c r="AG67" s="47"/>
    </row>
    <row r="68" spans="1:34" ht="17" customHeight="1">
      <c r="A68" s="171" t="s">
        <v>614</v>
      </c>
      <c r="B68" s="178"/>
      <c r="C68" s="178"/>
      <c r="D68" s="178"/>
      <c r="E68" s="178"/>
      <c r="F68" s="178"/>
      <c r="G68" s="178"/>
      <c r="H68" s="178"/>
      <c r="I68" s="178">
        <v>67.026341726653229</v>
      </c>
      <c r="J68" s="178">
        <v>115.73249668700835</v>
      </c>
      <c r="K68" s="178">
        <v>197.1566284155916</v>
      </c>
      <c r="L68" s="178">
        <v>334.83837796387985</v>
      </c>
      <c r="M68" s="178">
        <v>566.65499383776648</v>
      </c>
      <c r="N68" s="178">
        <v>955.22026677999122</v>
      </c>
      <c r="O68" s="178">
        <v>1606.4635091538823</v>
      </c>
      <c r="P68" s="178">
        <v>2694.2355236274498</v>
      </c>
      <c r="Q68" s="178">
        <v>4509.2120146586876</v>
      </c>
      <c r="R68" s="178">
        <v>7532.0934030457938</v>
      </c>
      <c r="S68" s="178">
        <v>12559.283016650001</v>
      </c>
      <c r="T68" s="178">
        <v>20908.176128984054</v>
      </c>
      <c r="U68" s="178">
        <v>34758.32359635894</v>
      </c>
      <c r="V68" s="178">
        <v>57707.415631301941</v>
      </c>
      <c r="W68" s="178">
        <v>95691.913200845171</v>
      </c>
      <c r="X68" s="178">
        <v>158504.09247811898</v>
      </c>
      <c r="Y68" s="178">
        <v>262277.13065343449</v>
      </c>
      <c r="Z68" s="178">
        <v>433574.56917918014</v>
      </c>
      <c r="AA68" s="178">
        <v>716108.89879618969</v>
      </c>
      <c r="AB68" s="178">
        <v>1181759.1147044301</v>
      </c>
      <c r="AC68" s="178">
        <v>1948658.4566193719</v>
      </c>
      <c r="AG68" s="47"/>
    </row>
    <row r="69" spans="1:34">
      <c r="AG69" s="47"/>
    </row>
    <row r="70" spans="1:34" ht="16" customHeight="1">
      <c r="AG70" s="47"/>
    </row>
    <row r="71" spans="1:34">
      <c r="A71" s="172" t="s">
        <v>627</v>
      </c>
      <c r="AE71" s="172" t="s">
        <v>627</v>
      </c>
      <c r="AF71">
        <f>Timeline_Year_this</f>
        <v>2031</v>
      </c>
      <c r="AG71" s="47">
        <v>3237.1038820044773</v>
      </c>
      <c r="AH71" t="s">
        <v>219</v>
      </c>
    </row>
    <row r="72" spans="1:34" ht="17" customHeight="1">
      <c r="A72" s="171" t="s">
        <v>121</v>
      </c>
      <c r="B72" s="47">
        <v>4173.1023889984235</v>
      </c>
      <c r="C72" s="47">
        <v>4032.418167800527</v>
      </c>
      <c r="D72" s="47">
        <v>3882.2208375919599</v>
      </c>
      <c r="E72" s="47">
        <v>3745.6879190056106</v>
      </c>
      <c r="F72" s="47">
        <v>3617.0462985039971</v>
      </c>
      <c r="G72" s="47">
        <v>3489.6534839814472</v>
      </c>
      <c r="H72" s="47">
        <v>3367.8384604871221</v>
      </c>
      <c r="I72" s="47">
        <v>3250.3915113800726</v>
      </c>
      <c r="J72" s="47">
        <v>3138.2828232921388</v>
      </c>
      <c r="K72" s="47">
        <v>3032.368593708763</v>
      </c>
      <c r="L72" s="47">
        <v>2929.5501285679184</v>
      </c>
      <c r="M72" s="47">
        <v>2831.260407504165</v>
      </c>
      <c r="N72" s="47">
        <v>2737.4061892167883</v>
      </c>
      <c r="O72" s="47">
        <v>2647.3892480245386</v>
      </c>
      <c r="P72" s="47">
        <v>2561.0536776032159</v>
      </c>
      <c r="Q72" s="47">
        <v>2478.414543620861</v>
      </c>
      <c r="R72" s="47">
        <v>2399.2036138259245</v>
      </c>
      <c r="S72" s="47">
        <v>2323.4028887351328</v>
      </c>
      <c r="T72" s="47">
        <v>2250.7929783544873</v>
      </c>
      <c r="U72" s="47">
        <v>2181.165578932832</v>
      </c>
      <c r="V72" s="47">
        <v>2114.5573554858843</v>
      </c>
      <c r="W72" s="47">
        <v>2050.756704510778</v>
      </c>
      <c r="X72" s="47">
        <v>1989.6511474444692</v>
      </c>
      <c r="Y72" s="47">
        <v>1931.1733772839698</v>
      </c>
      <c r="Z72" s="47">
        <v>1875.2032371798002</v>
      </c>
      <c r="AA72" s="47">
        <v>1821.6375916670124</v>
      </c>
      <c r="AB72" s="47">
        <v>1770.3958256493604</v>
      </c>
      <c r="AC72" s="47">
        <v>1721.3833270822822</v>
      </c>
      <c r="AG72" s="47"/>
    </row>
    <row r="73" spans="1:34">
      <c r="A73" s="171" t="s">
        <v>86</v>
      </c>
      <c r="B73" s="47">
        <v>4203.1622879312999</v>
      </c>
      <c r="C73" s="47">
        <v>4054.0652769498683</v>
      </c>
      <c r="D73" s="47">
        <v>3924.6668300507795</v>
      </c>
      <c r="E73" s="47">
        <v>3790.8382669626894</v>
      </c>
      <c r="F73" s="47">
        <v>3666.3532935659582</v>
      </c>
      <c r="G73" s="47">
        <v>3550.3274287941354</v>
      </c>
      <c r="H73" s="47">
        <v>3440.7996022188249</v>
      </c>
      <c r="I73" s="47">
        <v>3335.7988667744039</v>
      </c>
      <c r="J73" s="47">
        <v>3237.1038820044773</v>
      </c>
      <c r="K73" s="47">
        <v>3146.425929788526</v>
      </c>
      <c r="L73" s="47">
        <v>3062.3050724727436</v>
      </c>
      <c r="M73" s="47">
        <v>2984.6315430223945</v>
      </c>
      <c r="N73" s="47">
        <v>2913.1110349609912</v>
      </c>
      <c r="O73" s="47">
        <v>2849.5554916966321</v>
      </c>
      <c r="P73" s="47">
        <v>2792.9219678882969</v>
      </c>
      <c r="Q73" s="47">
        <v>2744.1251220764821</v>
      </c>
      <c r="R73" s="47">
        <v>2703.4323391339622</v>
      </c>
      <c r="S73" s="47">
        <v>2671.4438399138812</v>
      </c>
      <c r="T73" s="47">
        <v>2648.6626390031697</v>
      </c>
      <c r="U73" s="47">
        <v>2635.7917342155856</v>
      </c>
      <c r="V73" s="47">
        <v>2633.6124818932535</v>
      </c>
      <c r="W73" s="47">
        <v>2642.9652291328348</v>
      </c>
      <c r="X73" s="47">
        <v>2664.876266869303</v>
      </c>
      <c r="Y73" s="47">
        <v>2700.4109543664099</v>
      </c>
      <c r="Z73" s="47">
        <v>2750.7624654002552</v>
      </c>
      <c r="AA73" s="47">
        <v>2817.1943821167088</v>
      </c>
      <c r="AB73" s="47">
        <v>2901.0222508641259</v>
      </c>
      <c r="AC73" s="47">
        <v>3003.662485251878</v>
      </c>
      <c r="AG73" s="47"/>
    </row>
    <row r="74" spans="1:34">
      <c r="A74" s="171" t="s">
        <v>124</v>
      </c>
      <c r="B74" s="47">
        <v>4214.7967389578207</v>
      </c>
      <c r="C74" s="47">
        <v>4062.0750062963129</v>
      </c>
      <c r="D74" s="47">
        <v>3920.9807301010555</v>
      </c>
      <c r="E74" s="47">
        <v>3786.8431426167672</v>
      </c>
      <c r="F74" s="47">
        <v>3652.677307500775</v>
      </c>
      <c r="G74" s="47">
        <v>3524.2721020055351</v>
      </c>
      <c r="H74" s="47">
        <v>3400.5153963732369</v>
      </c>
      <c r="I74" s="47">
        <v>3282.9973971592826</v>
      </c>
      <c r="J74" s="47">
        <v>3170.0948844118143</v>
      </c>
      <c r="K74" s="47">
        <v>3061.0074068540657</v>
      </c>
      <c r="L74" s="47">
        <v>2956.3654508135537</v>
      </c>
      <c r="M74" s="47">
        <v>2855.4115038071745</v>
      </c>
      <c r="N74" s="47">
        <v>2759.5820494904924</v>
      </c>
      <c r="O74" s="47">
        <v>2667.1092204846286</v>
      </c>
      <c r="P74" s="47">
        <v>2578.7232182174935</v>
      </c>
      <c r="Q74" s="47">
        <v>2494.1544088141327</v>
      </c>
      <c r="R74" s="47">
        <v>2412.8301657601423</v>
      </c>
      <c r="S74" s="47">
        <v>2335.1265092559397</v>
      </c>
      <c r="T74" s="47">
        <v>2260.5081313057608</v>
      </c>
      <c r="U74" s="47">
        <v>2189.0761203146262</v>
      </c>
      <c r="V74" s="47">
        <v>2120.6732147405669</v>
      </c>
      <c r="W74" s="47">
        <v>2055.1201677438771</v>
      </c>
      <c r="X74" s="47">
        <v>1992.4146257265145</v>
      </c>
      <c r="Y74" s="47">
        <v>1932.3070511216906</v>
      </c>
      <c r="Z74" s="47">
        <v>1874.8084518900027</v>
      </c>
      <c r="AA74" s="47">
        <v>1819.7322175278327</v>
      </c>
      <c r="AB74" s="47">
        <v>1767.0682125695157</v>
      </c>
      <c r="AC74" s="47">
        <v>1716.6430538366601</v>
      </c>
      <c r="AG74" s="47"/>
    </row>
    <row r="75" spans="1:34">
      <c r="A75" s="171" t="s">
        <v>126</v>
      </c>
      <c r="B75" s="47">
        <v>4252.3244042990045</v>
      </c>
      <c r="C75" s="47">
        <v>4127.2190154206592</v>
      </c>
      <c r="D75" s="47">
        <v>3995.3881718272219</v>
      </c>
      <c r="E75" s="47">
        <v>3870.1888257358769</v>
      </c>
      <c r="F75" s="47">
        <v>3753.6722834760358</v>
      </c>
      <c r="G75" s="47">
        <v>3643.6271921672965</v>
      </c>
      <c r="H75" s="47">
        <v>3536.9947640172654</v>
      </c>
      <c r="I75" s="47">
        <v>3435.9989896414122</v>
      </c>
      <c r="J75" s="47">
        <v>3340.0634740204582</v>
      </c>
      <c r="K75" s="47">
        <v>3249.1863964208146</v>
      </c>
      <c r="L75" s="47">
        <v>3162.0662703811577</v>
      </c>
      <c r="M75" s="47">
        <v>3080.1829854995731</v>
      </c>
      <c r="N75" s="47">
        <v>3002.757912745024</v>
      </c>
      <c r="O75" s="47">
        <v>2929.2026061760662</v>
      </c>
      <c r="P75" s="47">
        <v>2860.0024911172927</v>
      </c>
      <c r="Q75" s="47">
        <v>2794.8493734209374</v>
      </c>
      <c r="R75" s="47">
        <v>2733.4933668206613</v>
      </c>
      <c r="S75" s="47">
        <v>2675.8834416277232</v>
      </c>
      <c r="T75" s="47">
        <v>2621.887510980479</v>
      </c>
      <c r="U75" s="47">
        <v>2571.4174179209163</v>
      </c>
      <c r="V75" s="47">
        <v>2524.3898300301785</v>
      </c>
      <c r="W75" s="47">
        <v>2480.6959086951852</v>
      </c>
      <c r="X75" s="47">
        <v>2440.2359219760838</v>
      </c>
      <c r="Y75" s="47">
        <v>2402.9469077032495</v>
      </c>
      <c r="Z75" s="47">
        <v>2368.7315168014347</v>
      </c>
      <c r="AA75" s="47">
        <v>2337.516590814007</v>
      </c>
      <c r="AB75" s="47">
        <v>2309.2414213041643</v>
      </c>
      <c r="AC75" s="47">
        <v>2283.8247003758643</v>
      </c>
      <c r="AG75" s="47"/>
    </row>
    <row r="76" spans="1:34">
      <c r="A76" s="171" t="s">
        <v>614</v>
      </c>
      <c r="B76" s="47"/>
      <c r="C76" s="47"/>
      <c r="D76" s="47"/>
      <c r="E76" s="47"/>
      <c r="F76" s="47"/>
      <c r="G76" s="47"/>
      <c r="H76" s="47"/>
      <c r="I76" s="47">
        <v>3324.042440553751</v>
      </c>
      <c r="J76" s="47">
        <v>3240.312240588617</v>
      </c>
      <c r="K76" s="47">
        <v>3166.2409917799341</v>
      </c>
      <c r="L76" s="47">
        <v>3103.6488545065063</v>
      </c>
      <c r="M76" s="47">
        <v>3053.3208541445615</v>
      </c>
      <c r="N76" s="47">
        <v>3016.1088935063644</v>
      </c>
      <c r="O76" s="47">
        <v>2993.6368530783893</v>
      </c>
      <c r="P76" s="47">
        <v>2987.2067859131685</v>
      </c>
      <c r="Q76" s="47">
        <v>2998.8184573468075</v>
      </c>
      <c r="R76" s="47">
        <v>3030.5947216362911</v>
      </c>
      <c r="S76" s="47">
        <v>3085.0785418414457</v>
      </c>
      <c r="T76" s="47">
        <v>3165.23618247473</v>
      </c>
      <c r="U76" s="47">
        <v>3274.6069512449258</v>
      </c>
      <c r="V76" s="47">
        <v>3417.2210494150231</v>
      </c>
      <c r="W76" s="47">
        <v>3597.7764063843551</v>
      </c>
      <c r="X76" s="47">
        <v>3821.7872115173654</v>
      </c>
      <c r="Y76" s="47">
        <v>4095.6062958961575</v>
      </c>
      <c r="Z76" s="47">
        <v>4426.5885020735504</v>
      </c>
      <c r="AA76" s="47">
        <v>4823.2638494749117</v>
      </c>
      <c r="AB76" s="47">
        <v>5295.4791675847546</v>
      </c>
      <c r="AC76" s="47">
        <v>5854.6287492597257</v>
      </c>
      <c r="AG76" s="47"/>
    </row>
    <row r="77" spans="1:34"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G77" s="47"/>
    </row>
    <row r="78" spans="1:34"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G78" s="47"/>
    </row>
    <row r="79" spans="1:34">
      <c r="A79" s="172" t="s">
        <v>1659</v>
      </c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E79" s="172" t="s">
        <v>1659</v>
      </c>
      <c r="AF79">
        <f>Timeline_Year_this</f>
        <v>2031</v>
      </c>
      <c r="AG79" s="47">
        <v>69.859211707237023</v>
      </c>
      <c r="AH79" t="s">
        <v>1650</v>
      </c>
    </row>
    <row r="80" spans="1:34">
      <c r="A80" s="171" t="s">
        <v>121</v>
      </c>
      <c r="B80" s="60"/>
      <c r="C80" s="60">
        <v>8825.4095340230979</v>
      </c>
      <c r="D80" s="60">
        <v>8139.2183536250868</v>
      </c>
      <c r="E80" s="60">
        <v>3763.9183914327878</v>
      </c>
      <c r="F80" s="60">
        <v>1742.8652948612478</v>
      </c>
      <c r="G80" s="60">
        <v>1075.2644205823897</v>
      </c>
      <c r="H80" s="60">
        <v>663.8026840889188</v>
      </c>
      <c r="I80" s="60">
        <v>425.67194460856763</v>
      </c>
      <c r="J80" s="60">
        <v>269.95320895023468</v>
      </c>
      <c r="K80" s="60">
        <v>164.10628856669334</v>
      </c>
      <c r="L80" s="60">
        <v>105.13889393004833</v>
      </c>
      <c r="M80" s="60">
        <v>67.209609054471201</v>
      </c>
      <c r="N80" s="60">
        <v>42.795544562870987</v>
      </c>
      <c r="O80" s="60">
        <v>27.443298321908554</v>
      </c>
      <c r="P80" s="60">
        <v>17.699579696689693</v>
      </c>
      <c r="Q80" s="60">
        <v>11.429761203124469</v>
      </c>
      <c r="R80" s="60">
        <v>7.4068707956540774</v>
      </c>
      <c r="S80" s="60">
        <v>4.8034036457756821</v>
      </c>
      <c r="T80" s="60">
        <v>3.1219269193893653</v>
      </c>
      <c r="U80" s="60">
        <v>2.0357974609784746</v>
      </c>
      <c r="V80" s="60">
        <v>1.3280549141017868</v>
      </c>
      <c r="W80" s="60">
        <v>0.86798471409163369</v>
      </c>
      <c r="X80" s="60">
        <v>0.56827995392716857</v>
      </c>
      <c r="Y80" s="60">
        <v>0.37246024193272276</v>
      </c>
      <c r="Z80" s="60">
        <v>0.24443231063143897</v>
      </c>
      <c r="AA80" s="60">
        <v>0.16062379061402868</v>
      </c>
      <c r="AB80" s="60">
        <v>0.10566978104702039</v>
      </c>
      <c r="AC80" s="60">
        <v>6.9599068933795874E-2</v>
      </c>
      <c r="AG80" s="47"/>
    </row>
    <row r="81" spans="1:34">
      <c r="A81" s="171" t="s">
        <v>86</v>
      </c>
      <c r="B81" s="60">
        <v>4804.8728987776685</v>
      </c>
      <c r="C81" s="60">
        <v>2958.7510070416638</v>
      </c>
      <c r="D81" s="60">
        <v>1372.7172951865859</v>
      </c>
      <c r="E81" s="60">
        <v>847.4486850950733</v>
      </c>
      <c r="F81" s="60">
        <v>505.40328753590779</v>
      </c>
      <c r="G81" s="60">
        <v>298.87288997820684</v>
      </c>
      <c r="H81" s="60">
        <v>179.92670597805005</v>
      </c>
      <c r="I81" s="60">
        <v>111.67375060344874</v>
      </c>
      <c r="J81" s="60">
        <v>69.859211707237023</v>
      </c>
      <c r="K81" s="60">
        <v>43.504458095416787</v>
      </c>
      <c r="L81" s="60">
        <v>27.297636376175156</v>
      </c>
      <c r="M81" s="60">
        <v>17.261853201127511</v>
      </c>
      <c r="N81" s="60">
        <v>11.010832691471331</v>
      </c>
      <c r="O81" s="60">
        <v>7.0319496685852112</v>
      </c>
      <c r="P81" s="60">
        <v>4.5214486695041618</v>
      </c>
      <c r="Q81" s="60">
        <v>2.9203685416910923</v>
      </c>
      <c r="R81" s="60">
        <v>1.8958894612921271</v>
      </c>
      <c r="S81" s="60">
        <v>1.2369622829407065</v>
      </c>
      <c r="T81" s="60">
        <v>0.81142523260273314</v>
      </c>
      <c r="U81" s="60">
        <v>0.53527203783595134</v>
      </c>
      <c r="V81" s="60">
        <v>0.35518859783253842</v>
      </c>
      <c r="W81" s="60">
        <v>0.23716975898817738</v>
      </c>
      <c r="X81" s="60">
        <v>0.15940058577075406</v>
      </c>
      <c r="Y81" s="60">
        <v>0.10786930167397152</v>
      </c>
      <c r="Z81" s="60">
        <v>7.3519884903885183E-2</v>
      </c>
      <c r="AA81" s="60">
        <v>5.0480100582135555E-2</v>
      </c>
      <c r="AB81" s="60">
        <v>3.4924492775010897E-2</v>
      </c>
      <c r="AC81" s="60">
        <v>2.434868130886297E-2</v>
      </c>
      <c r="AG81" s="47"/>
    </row>
    <row r="82" spans="1:34">
      <c r="A82" s="171" t="s">
        <v>124</v>
      </c>
      <c r="B82" s="60">
        <v>3212.115265851779</v>
      </c>
      <c r="C82" s="60">
        <v>2223.3057264035815</v>
      </c>
      <c r="D82" s="60">
        <v>1370.9251254166584</v>
      </c>
      <c r="E82" s="60">
        <v>846.21264078146066</v>
      </c>
      <c r="F82" s="60">
        <v>587.04423326075619</v>
      </c>
      <c r="G82" s="60">
        <v>407.50836322891502</v>
      </c>
      <c r="H82" s="60">
        <v>287.46393053143834</v>
      </c>
      <c r="I82" s="60">
        <v>199.790688708158</v>
      </c>
      <c r="J82" s="60">
        <v>140.16761482523856</v>
      </c>
      <c r="K82" s="60">
        <v>100.18635815594828</v>
      </c>
      <c r="L82" s="60">
        <v>71.954826824608276</v>
      </c>
      <c r="M82" s="60">
        <v>52.399838949257862</v>
      </c>
      <c r="N82" s="60">
        <v>37.690989944744757</v>
      </c>
      <c r="O82" s="60">
        <v>27.471376103939257</v>
      </c>
      <c r="P82" s="60">
        <v>19.997018839144822</v>
      </c>
      <c r="Q82" s="60">
        <v>14.562513955418014</v>
      </c>
      <c r="R82" s="60">
        <v>10.677971677200086</v>
      </c>
      <c r="S82" s="60">
        <v>7.8191511700302287</v>
      </c>
      <c r="T82" s="60">
        <v>5.7522915852795418</v>
      </c>
      <c r="U82" s="60">
        <v>4.2358607628945908</v>
      </c>
      <c r="V82" s="60">
        <v>3.1234227247933379</v>
      </c>
      <c r="W82" s="60">
        <v>2.3080046055300918</v>
      </c>
      <c r="X82" s="60">
        <v>1.7062124186980552</v>
      </c>
      <c r="Y82" s="60">
        <v>1.2642578400905926</v>
      </c>
      <c r="Z82" s="60">
        <v>0.93740544802187975</v>
      </c>
      <c r="AA82" s="60">
        <v>0.69628155302637051</v>
      </c>
      <c r="AB82" s="60">
        <v>0.51749932751738414</v>
      </c>
      <c r="AC82" s="60">
        <v>0.38524296424424559</v>
      </c>
      <c r="AG82" s="47"/>
    </row>
    <row r="83" spans="1:34">
      <c r="A83" s="171" t="s">
        <v>126</v>
      </c>
      <c r="B83" s="60">
        <v>1620.3576329258894</v>
      </c>
      <c r="C83" s="60">
        <v>821.56996692072755</v>
      </c>
      <c r="D83" s="60">
        <v>493.08652365558089</v>
      </c>
      <c r="E83" s="60">
        <v>299.36629906130111</v>
      </c>
      <c r="F83" s="60">
        <v>180.98712285968344</v>
      </c>
      <c r="G83" s="60">
        <v>110.51215101310579</v>
      </c>
      <c r="H83" s="60">
        <v>69.004128930916394</v>
      </c>
      <c r="I83" s="60">
        <v>43.370693246980515</v>
      </c>
      <c r="J83" s="60">
        <v>27.458907221431865</v>
      </c>
      <c r="K83" s="60">
        <v>17.481641403449238</v>
      </c>
      <c r="L83" s="60">
        <v>11.227355629064153</v>
      </c>
      <c r="M83" s="60">
        <v>7.2258294919901447</v>
      </c>
      <c r="N83" s="60">
        <v>4.6688633823717165</v>
      </c>
      <c r="O83" s="60">
        <v>3.0311341208054117</v>
      </c>
      <c r="P83" s="60">
        <v>1.9730095458334413</v>
      </c>
      <c r="Q83" s="60">
        <v>1.2879621791621509</v>
      </c>
      <c r="R83" s="60">
        <v>0.84325939844548126</v>
      </c>
      <c r="S83" s="60">
        <v>0.55353751770902715</v>
      </c>
      <c r="T83" s="60">
        <v>0.36425911047921</v>
      </c>
      <c r="U83" s="60">
        <v>0.24025795547499906</v>
      </c>
      <c r="V83" s="60">
        <v>0.15881429886769854</v>
      </c>
      <c r="W83" s="60">
        <v>0.10520077066498731</v>
      </c>
      <c r="X83" s="60">
        <v>6.9829617047960757E-2</v>
      </c>
      <c r="Y83" s="60">
        <v>4.6441837246903428E-2</v>
      </c>
      <c r="Z83" s="60">
        <v>3.0946815318345002E-2</v>
      </c>
      <c r="AA83" s="60">
        <v>2.0660320357865539E-2</v>
      </c>
      <c r="AB83" s="60">
        <v>1.3818124372869932E-2</v>
      </c>
      <c r="AC83" s="60">
        <v>9.2585670988679925E-3</v>
      </c>
      <c r="AG83" s="47"/>
    </row>
    <row r="84" spans="1:34">
      <c r="A84" s="171" t="s">
        <v>614</v>
      </c>
      <c r="B84" s="60"/>
      <c r="C84" s="60"/>
      <c r="D84" s="60"/>
      <c r="E84" s="60"/>
      <c r="F84" s="60"/>
      <c r="G84" s="60"/>
      <c r="H84" s="60"/>
      <c r="I84" s="60">
        <v>49.59307572103306</v>
      </c>
      <c r="J84" s="60">
        <v>27.998292038508843</v>
      </c>
      <c r="K84" s="60">
        <v>16.059520885626693</v>
      </c>
      <c r="L84" s="60">
        <v>9.269095356928613</v>
      </c>
      <c r="M84" s="60">
        <v>5.388324266703151</v>
      </c>
      <c r="N84" s="60">
        <v>3.1575009433934489</v>
      </c>
      <c r="O84" s="60">
        <v>1.8634950847125844</v>
      </c>
      <c r="P84" s="60">
        <v>1.1087400339415276</v>
      </c>
      <c r="Q84" s="60">
        <v>0.66504268320011461</v>
      </c>
      <c r="R84" s="60">
        <v>0.402357559773594</v>
      </c>
      <c r="S84" s="60">
        <v>0.24564129478979954</v>
      </c>
      <c r="T84" s="60">
        <v>0.15138748415682737</v>
      </c>
      <c r="U84" s="60">
        <v>9.4210727458327495E-2</v>
      </c>
      <c r="V84" s="60">
        <v>5.921632448848458E-2</v>
      </c>
      <c r="W84" s="60">
        <v>3.7597496863011608E-2</v>
      </c>
      <c r="X84" s="60">
        <v>2.4111599591947142E-2</v>
      </c>
      <c r="Y84" s="60">
        <v>1.5615567722936449E-2</v>
      </c>
      <c r="Z84" s="60">
        <v>1.0209520614766977E-2</v>
      </c>
      <c r="AA84" s="60">
        <v>6.7353776186597162E-3</v>
      </c>
      <c r="AB84" s="60">
        <v>4.481014025357619E-3</v>
      </c>
      <c r="AC84" s="60">
        <v>3.0044406855250674E-3</v>
      </c>
      <c r="AG84" s="47"/>
    </row>
    <row r="85" spans="1:34"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G85" s="47"/>
    </row>
    <row r="86" spans="1:34"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G86" s="47"/>
    </row>
    <row r="87" spans="1:34">
      <c r="A87" s="1" t="s">
        <v>628</v>
      </c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E87" s="1" t="s">
        <v>628</v>
      </c>
      <c r="AF87">
        <f>Timeline_Year_this</f>
        <v>2031</v>
      </c>
      <c r="AG87" s="176">
        <v>0.65789473684210531</v>
      </c>
      <c r="AH87" t="s">
        <v>629</v>
      </c>
    </row>
    <row r="88" spans="1:34">
      <c r="A88" s="171" t="s">
        <v>121</v>
      </c>
      <c r="B88" s="176"/>
      <c r="C88" s="176">
        <v>50</v>
      </c>
      <c r="D88" s="176">
        <v>50</v>
      </c>
      <c r="E88" s="176">
        <v>25</v>
      </c>
      <c r="F88" s="176">
        <v>12.5</v>
      </c>
      <c r="G88" s="176">
        <v>8.3333333333333339</v>
      </c>
      <c r="H88" s="176">
        <v>5.5555555555555554</v>
      </c>
      <c r="I88" s="176">
        <v>3.8461538461538463</v>
      </c>
      <c r="J88" s="176">
        <v>2.6315789473684212</v>
      </c>
      <c r="K88" s="176">
        <v>1.7241379310344827</v>
      </c>
      <c r="L88" s="176">
        <v>1.1904761904761905</v>
      </c>
      <c r="M88" s="176">
        <v>0.81967213114754101</v>
      </c>
      <c r="N88" s="176">
        <v>0.5617977528089888</v>
      </c>
      <c r="O88" s="176">
        <v>0.38759689922480622</v>
      </c>
      <c r="P88" s="176">
        <v>0.26881720430107525</v>
      </c>
      <c r="Q88" s="176">
        <v>0.18656716417910449</v>
      </c>
      <c r="R88" s="176">
        <v>0.12987012987012986</v>
      </c>
      <c r="S88" s="176">
        <v>9.0415913200723327E-2</v>
      </c>
      <c r="T88" s="176">
        <v>6.3051702395964693E-2</v>
      </c>
      <c r="U88" s="176">
        <v>4.4091710758377423E-2</v>
      </c>
      <c r="V88" s="176">
        <v>3.0826140567200986E-2</v>
      </c>
      <c r="W88" s="176">
        <v>2.1579628830384119E-2</v>
      </c>
      <c r="X88" s="176">
        <v>1.5124016938898971E-2</v>
      </c>
      <c r="Y88" s="176">
        <v>1.0604453870625663E-2</v>
      </c>
      <c r="Z88" s="176">
        <v>7.4404761904761901E-3</v>
      </c>
      <c r="AA88" s="176">
        <v>5.2241145125901164E-3</v>
      </c>
      <c r="AB88" s="176">
        <v>3.669724770642202E-3</v>
      </c>
      <c r="AC88" s="176">
        <v>2.5791808521613536E-3</v>
      </c>
      <c r="AG88" s="47"/>
    </row>
    <row r="89" spans="1:34">
      <c r="A89" s="171" t="s">
        <v>86</v>
      </c>
      <c r="B89" s="176">
        <v>25</v>
      </c>
      <c r="C89" s="176">
        <v>16.666666666666668</v>
      </c>
      <c r="D89" s="176">
        <v>8.3333333333333339</v>
      </c>
      <c r="E89" s="176">
        <v>5.5555555555555554</v>
      </c>
      <c r="F89" s="176">
        <v>3.5714285714285716</v>
      </c>
      <c r="G89" s="176">
        <v>2.2727272727272729</v>
      </c>
      <c r="H89" s="176">
        <v>1.4705882352941178</v>
      </c>
      <c r="I89" s="176">
        <v>0.98039215686274506</v>
      </c>
      <c r="J89" s="176">
        <v>0.65789473684210531</v>
      </c>
      <c r="K89" s="176">
        <v>0.43859649122807015</v>
      </c>
      <c r="L89" s="176">
        <v>0.29411764705882354</v>
      </c>
      <c r="M89" s="176">
        <v>0.1984126984126984</v>
      </c>
      <c r="N89" s="176">
        <v>0.13477088948787061</v>
      </c>
      <c r="O89" s="176">
        <v>9.1407678244972576E-2</v>
      </c>
      <c r="P89" s="176">
        <v>6.2266500622665005E-2</v>
      </c>
      <c r="Q89" s="176">
        <v>4.2480883602378929E-2</v>
      </c>
      <c r="R89" s="176">
        <v>2.9036004645760744E-2</v>
      </c>
      <c r="S89" s="176">
        <v>1.987281399046105E-2</v>
      </c>
      <c r="T89" s="176">
        <v>1.3620266957232362E-2</v>
      </c>
      <c r="U89" s="176">
        <v>9.3457943925233638E-3</v>
      </c>
      <c r="V89" s="176">
        <v>6.4193092823212226E-3</v>
      </c>
      <c r="W89" s="176">
        <v>4.4134522023126493E-3</v>
      </c>
      <c r="X89" s="176">
        <v>3.0367446097783178E-3</v>
      </c>
      <c r="Y89" s="176">
        <v>2.0910003345600537E-3</v>
      </c>
      <c r="Z89" s="176">
        <v>1.4407145944388417E-3</v>
      </c>
      <c r="AA89" s="176">
        <v>9.9324592769169649E-4</v>
      </c>
      <c r="AB89" s="176">
        <v>6.8513798679053963E-4</v>
      </c>
      <c r="AC89" s="176">
        <v>4.7283559506359639E-4</v>
      </c>
      <c r="AG89" s="47"/>
    </row>
    <row r="90" spans="1:34">
      <c r="A90" s="171" t="s">
        <v>124</v>
      </c>
      <c r="B90" s="176">
        <v>16.666666666666668</v>
      </c>
      <c r="C90" s="176">
        <v>12.5</v>
      </c>
      <c r="D90" s="176">
        <v>8.3333333333333339</v>
      </c>
      <c r="E90" s="176">
        <v>5.5555555555555554</v>
      </c>
      <c r="F90" s="176">
        <v>4.166666666666667</v>
      </c>
      <c r="G90" s="176">
        <v>3.125</v>
      </c>
      <c r="H90" s="176">
        <v>2.3809523809523809</v>
      </c>
      <c r="I90" s="176">
        <v>1.7857142857142858</v>
      </c>
      <c r="J90" s="176">
        <v>1.3513513513513513</v>
      </c>
      <c r="K90" s="176">
        <v>1.0416666666666667</v>
      </c>
      <c r="L90" s="176">
        <v>0.80645161290322576</v>
      </c>
      <c r="M90" s="176">
        <v>0.63291139240506333</v>
      </c>
      <c r="N90" s="176">
        <v>0.49019607843137253</v>
      </c>
      <c r="O90" s="176">
        <v>0.38461538461538464</v>
      </c>
      <c r="P90" s="176">
        <v>0.30120481927710846</v>
      </c>
      <c r="Q90" s="176">
        <v>0.23584905660377359</v>
      </c>
      <c r="R90" s="176">
        <v>0.18587360594795538</v>
      </c>
      <c r="S90" s="176">
        <v>0.14619883040935672</v>
      </c>
      <c r="T90" s="176">
        <v>0.11547344110854503</v>
      </c>
      <c r="U90" s="176">
        <v>9.1240875912408759E-2</v>
      </c>
      <c r="V90" s="176">
        <v>7.2150072150072145E-2</v>
      </c>
      <c r="W90" s="176">
        <v>5.7142857142857141E-2</v>
      </c>
      <c r="X90" s="176">
        <v>4.5248868778280542E-2</v>
      </c>
      <c r="Y90" s="176">
        <v>3.5893754486719311E-2</v>
      </c>
      <c r="Z90" s="176">
        <v>2.847380410022779E-2</v>
      </c>
      <c r="AA90" s="176">
        <v>2.2614201718679332E-2</v>
      </c>
      <c r="AB90" s="176">
        <v>1.7959770114942528E-2</v>
      </c>
      <c r="AC90" s="176">
        <v>1.4277555682467162E-2</v>
      </c>
      <c r="AG90" s="47"/>
    </row>
    <row r="91" spans="1:34">
      <c r="A91" s="171" t="s">
        <v>126</v>
      </c>
      <c r="B91" s="176">
        <v>8.3333333333333339</v>
      </c>
      <c r="C91" s="176">
        <v>4.5454545454545459</v>
      </c>
      <c r="D91" s="176">
        <v>2.9411764705882355</v>
      </c>
      <c r="E91" s="176">
        <v>1.9230769230769231</v>
      </c>
      <c r="F91" s="176">
        <v>1.25</v>
      </c>
      <c r="G91" s="176">
        <v>0.81967213114754101</v>
      </c>
      <c r="H91" s="176">
        <v>0.5494505494505495</v>
      </c>
      <c r="I91" s="176">
        <v>0.37037037037037035</v>
      </c>
      <c r="J91" s="176">
        <v>0.25125628140703515</v>
      </c>
      <c r="K91" s="176">
        <v>0.17123287671232876</v>
      </c>
      <c r="L91" s="176">
        <v>0.11764705882352941</v>
      </c>
      <c r="M91" s="176">
        <v>8.0906148867313912E-2</v>
      </c>
      <c r="N91" s="176">
        <v>5.5803571428571432E-2</v>
      </c>
      <c r="O91" s="176">
        <v>3.8639876352395672E-2</v>
      </c>
      <c r="P91" s="176">
        <v>2.6795284030010719E-2</v>
      </c>
      <c r="Q91" s="176">
        <v>1.8615040953090096E-2</v>
      </c>
      <c r="R91" s="176">
        <v>1.2956724540036279E-2</v>
      </c>
      <c r="S91" s="176">
        <v>9.0317919075144516E-3</v>
      </c>
      <c r="T91" s="176">
        <v>6.3043752364140716E-3</v>
      </c>
      <c r="U91" s="176">
        <v>4.4056745087672922E-3</v>
      </c>
      <c r="V91" s="176">
        <v>3.0818540433925051E-3</v>
      </c>
      <c r="W91" s="176">
        <v>2.1577766269635767E-3</v>
      </c>
      <c r="X91" s="176">
        <v>1.5120358050078626E-3</v>
      </c>
      <c r="Y91" s="176">
        <v>1.0602879742137965E-3</v>
      </c>
      <c r="Z91" s="176">
        <v>7.4400333313493243E-4</v>
      </c>
      <c r="AA91" s="176">
        <v>5.2237870366500896E-4</v>
      </c>
      <c r="AB91" s="176">
        <v>3.6696439711419196E-4</v>
      </c>
      <c r="AC91" s="176">
        <v>2.5791675478822456E-4</v>
      </c>
      <c r="AG91" s="47"/>
    </row>
    <row r="92" spans="1:34">
      <c r="A92" s="171" t="s">
        <v>614</v>
      </c>
      <c r="B92" s="176"/>
      <c r="C92" s="176"/>
      <c r="D92" s="176"/>
      <c r="E92" s="176"/>
      <c r="F92" s="176"/>
      <c r="G92" s="176"/>
      <c r="H92" s="176"/>
      <c r="I92" s="176">
        <v>0.42016806722689076</v>
      </c>
      <c r="J92" s="176">
        <v>0.25252525252525254</v>
      </c>
      <c r="K92" s="176">
        <v>0.15384615384615385</v>
      </c>
      <c r="L92" s="176">
        <v>9.3984962406015032E-2</v>
      </c>
      <c r="M92" s="176">
        <v>5.7603686635944701E-2</v>
      </c>
      <c r="N92" s="176">
        <v>3.543586109142452E-2</v>
      </c>
      <c r="O92" s="176">
        <v>2.1843599825251202E-2</v>
      </c>
      <c r="P92" s="176">
        <v>1.3498920086393088E-2</v>
      </c>
      <c r="Q92" s="176">
        <v>8.3570115326759148E-3</v>
      </c>
      <c r="R92" s="176">
        <v>5.1824212271973464E-3</v>
      </c>
      <c r="S92" s="176">
        <v>3.2185387833923397E-3</v>
      </c>
      <c r="T92" s="176">
        <v>2.0015211560786197E-3</v>
      </c>
      <c r="U92" s="176">
        <v>1.2460748641778398E-3</v>
      </c>
      <c r="V92" s="176">
        <v>7.765542733781664E-4</v>
      </c>
      <c r="W92" s="176">
        <v>4.8439755476114356E-4</v>
      </c>
      <c r="X92" s="176">
        <v>3.0239984517127928E-4</v>
      </c>
      <c r="Y92" s="176">
        <v>1.8891949384689208E-4</v>
      </c>
      <c r="Z92" s="176">
        <v>1.1810223874603767E-4</v>
      </c>
      <c r="AA92" s="176">
        <v>7.3874776344114623E-5</v>
      </c>
      <c r="AB92" s="176">
        <v>4.6234650096168072E-5</v>
      </c>
      <c r="AC92" s="176">
        <v>2.8950045538421631E-5</v>
      </c>
      <c r="AG92" s="47"/>
    </row>
    <row r="93" spans="1:34"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G93" s="47"/>
    </row>
    <row r="94" spans="1:34"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G94" s="47"/>
    </row>
    <row r="95" spans="1:34">
      <c r="A95" s="1" t="s">
        <v>630</v>
      </c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E95" s="1" t="s">
        <v>630</v>
      </c>
      <c r="AF95">
        <f>Timeline_Year_this</f>
        <v>2031</v>
      </c>
      <c r="AG95" s="47">
        <v>106186.00179500028</v>
      </c>
      <c r="AH95" t="s">
        <v>212</v>
      </c>
    </row>
    <row r="96" spans="1:34">
      <c r="A96" s="171" t="s">
        <v>121</v>
      </c>
      <c r="B96" s="47">
        <v>190695.19595110673</v>
      </c>
      <c r="C96" s="47">
        <v>176508.19068046196</v>
      </c>
      <c r="D96" s="47">
        <v>162784.36707250174</v>
      </c>
      <c r="E96" s="47">
        <v>150556.73565731151</v>
      </c>
      <c r="F96" s="47">
        <v>139429.22358889983</v>
      </c>
      <c r="G96" s="47">
        <v>129031.73046988677</v>
      </c>
      <c r="H96" s="47">
        <v>119484.48313600538</v>
      </c>
      <c r="I96" s="47">
        <v>110674.70559822758</v>
      </c>
      <c r="J96" s="47">
        <v>102582.21940108918</v>
      </c>
      <c r="K96" s="47">
        <v>95181.647368682141</v>
      </c>
      <c r="L96" s="47">
        <v>88316.670901240592</v>
      </c>
      <c r="M96" s="47">
        <v>81995.723046454863</v>
      </c>
      <c r="N96" s="47">
        <v>76176.069321910356</v>
      </c>
      <c r="O96" s="47">
        <v>70803.709670524069</v>
      </c>
      <c r="P96" s="47">
        <v>65842.436471685651</v>
      </c>
      <c r="Q96" s="47">
        <v>61263.520048747159</v>
      </c>
      <c r="R96" s="47">
        <v>57032.905126536396</v>
      </c>
      <c r="S96" s="47">
        <v>53125.64432227904</v>
      </c>
      <c r="T96" s="47">
        <v>49513.760941515335</v>
      </c>
      <c r="U96" s="47">
        <v>46171.886414991801</v>
      </c>
      <c r="V96" s="47">
        <v>43082.101413461962</v>
      </c>
      <c r="W96" s="47">
        <v>40222.411651006303</v>
      </c>
      <c r="X96" s="47">
        <v>37574.670553664386</v>
      </c>
      <c r="Y96" s="47">
        <v>35123.000814255756</v>
      </c>
      <c r="Z96" s="47">
        <v>32851.702548865396</v>
      </c>
      <c r="AA96" s="47">
        <v>30746.605999337371</v>
      </c>
      <c r="AB96" s="47">
        <v>28795.015335313055</v>
      </c>
      <c r="AC96" s="47">
        <v>26984.951007011336</v>
      </c>
      <c r="AG96" s="47"/>
    </row>
    <row r="97" spans="1:33">
      <c r="A97" s="171" t="s">
        <v>86</v>
      </c>
      <c r="B97" s="47">
        <v>192194.91595110673</v>
      </c>
      <c r="C97" s="47">
        <v>177525.06042249984</v>
      </c>
      <c r="D97" s="47">
        <v>164726.07542239031</v>
      </c>
      <c r="E97" s="47">
        <v>152540.76331711319</v>
      </c>
      <c r="F97" s="47">
        <v>141512.92051005419</v>
      </c>
      <c r="G97" s="47">
        <v>131504.07159041101</v>
      </c>
      <c r="H97" s="47">
        <v>122350.16006507403</v>
      </c>
      <c r="I97" s="47">
        <v>113907.22561551772</v>
      </c>
      <c r="J97" s="47">
        <v>106186.00179500028</v>
      </c>
      <c r="K97" s="47">
        <v>99190.164457550272</v>
      </c>
      <c r="L97" s="47">
        <v>92811.963678995526</v>
      </c>
      <c r="M97" s="47">
        <v>86999.740133682659</v>
      </c>
      <c r="N97" s="47">
        <v>81700.378570717279</v>
      </c>
      <c r="O97" s="47">
        <v>76929.529374322214</v>
      </c>
      <c r="P97" s="47">
        <v>72614.465632236839</v>
      </c>
      <c r="Q97" s="47">
        <v>68745.47547140831</v>
      </c>
      <c r="R97" s="47">
        <v>65294.433046900856</v>
      </c>
      <c r="S97" s="47">
        <v>62243.942077576357</v>
      </c>
      <c r="T97" s="47">
        <v>59574.840577692667</v>
      </c>
      <c r="U97" s="47">
        <v>57274.108048446797</v>
      </c>
      <c r="V97" s="47">
        <v>55331.279770352834</v>
      </c>
      <c r="W97" s="47">
        <v>53737.923991541233</v>
      </c>
      <c r="X97" s="47">
        <v>52490.612894309306</v>
      </c>
      <c r="Y97" s="47">
        <v>51587.414832560142</v>
      </c>
      <c r="Z97" s="47">
        <v>51030.152111786701</v>
      </c>
      <c r="AA97" s="47">
        <v>50823.365266094079</v>
      </c>
      <c r="AB97" s="47">
        <v>50974.3926746949</v>
      </c>
      <c r="AC97" s="47">
        <v>51495.026100114294</v>
      </c>
      <c r="AG97" s="47"/>
    </row>
    <row r="98" spans="1:33">
      <c r="A98" s="171" t="s">
        <v>124</v>
      </c>
      <c r="B98" s="47">
        <v>192726.91595110673</v>
      </c>
      <c r="C98" s="47">
        <v>177864.45811228652</v>
      </c>
      <c r="D98" s="47">
        <v>164511.015049999</v>
      </c>
      <c r="E98" s="47">
        <v>152318.27534066292</v>
      </c>
      <c r="F98" s="47">
        <v>140890.61598258148</v>
      </c>
      <c r="G98" s="47">
        <v>130402.6762332528</v>
      </c>
      <c r="H98" s="47">
        <v>120734.85082320409</v>
      </c>
      <c r="I98" s="47">
        <v>111882.78567656848</v>
      </c>
      <c r="J98" s="47">
        <v>103724.03497067653</v>
      </c>
      <c r="K98" s="47">
        <v>96178.903829710354</v>
      </c>
      <c r="L98" s="47">
        <v>89223.985262514267</v>
      </c>
      <c r="M98" s="47">
        <v>82791.745539827418</v>
      </c>
      <c r="N98" s="47">
        <v>76889.619487279298</v>
      </c>
      <c r="O98" s="47">
        <v>71425.577870242065</v>
      </c>
      <c r="P98" s="47">
        <v>66390.102545960806</v>
      </c>
      <c r="Q98" s="47">
        <v>61745.059170972381</v>
      </c>
      <c r="R98" s="47">
        <v>57447.487623336463</v>
      </c>
      <c r="S98" s="47">
        <v>53482.994003006766</v>
      </c>
      <c r="T98" s="47">
        <v>49814.845128520828</v>
      </c>
      <c r="U98" s="47">
        <v>46425.03396132472</v>
      </c>
      <c r="V98" s="47">
        <v>43290.638965635662</v>
      </c>
      <c r="W98" s="47">
        <v>40390.080596776606</v>
      </c>
      <c r="X98" s="47">
        <v>37707.294453227019</v>
      </c>
      <c r="Y98" s="47">
        <v>35222.223424923912</v>
      </c>
      <c r="Z98" s="47">
        <v>32921.679334528417</v>
      </c>
      <c r="AA98" s="47">
        <v>30789.570274826106</v>
      </c>
      <c r="AB98" s="47">
        <v>28814.362556167947</v>
      </c>
      <c r="AC98" s="47">
        <v>26982.417215666959</v>
      </c>
      <c r="AG98" s="47"/>
    </row>
    <row r="99" spans="1:33">
      <c r="A99" s="171" t="s">
        <v>126</v>
      </c>
      <c r="B99" s="47">
        <v>194442.91595110673</v>
      </c>
      <c r="C99" s="47">
        <v>180745.39272256006</v>
      </c>
      <c r="D99" s="47">
        <v>167649.41804289751</v>
      </c>
      <c r="E99" s="47">
        <v>155670.47551187658</v>
      </c>
      <c r="F99" s="47">
        <v>144789.69828774675</v>
      </c>
      <c r="G99" s="47">
        <v>134824.82423598907</v>
      </c>
      <c r="H99" s="47">
        <v>125587.51465426783</v>
      </c>
      <c r="I99" s="47">
        <v>117100.87176684738</v>
      </c>
      <c r="J99" s="47">
        <v>109286.45074129882</v>
      </c>
      <c r="K99" s="47">
        <v>102092.78579614355</v>
      </c>
      <c r="L99" s="47">
        <v>95432.5228470453</v>
      </c>
      <c r="M99" s="47">
        <v>89311.252520998183</v>
      </c>
      <c r="N99" s="47">
        <v>83666.031812101166</v>
      </c>
      <c r="O99" s="47">
        <v>78445.751046444057</v>
      </c>
      <c r="P99" s="47">
        <v>73632.716250504032</v>
      </c>
      <c r="Q99" s="47">
        <v>69189.328264590746</v>
      </c>
      <c r="R99" s="47">
        <v>65082.76037202224</v>
      </c>
      <c r="S99" s="47">
        <v>61287.673960743487</v>
      </c>
      <c r="T99" s="47">
        <v>57778.780104212288</v>
      </c>
      <c r="U99" s="47">
        <v>54533.750733715286</v>
      </c>
      <c r="V99" s="47">
        <v>51532.06369659082</v>
      </c>
      <c r="W99" s="47">
        <v>48754.24515698172</v>
      </c>
      <c r="X99" s="47">
        <v>46182.515530839322</v>
      </c>
      <c r="Y99" s="47">
        <v>43801.1543810445</v>
      </c>
      <c r="Z99" s="47">
        <v>41594.99553308115</v>
      </c>
      <c r="AA99" s="47">
        <v>39550.464467469159</v>
      </c>
      <c r="AB99" s="47">
        <v>37655.218003532937</v>
      </c>
      <c r="AC99" s="47">
        <v>35897.501527072956</v>
      </c>
      <c r="AG99" s="47"/>
    </row>
    <row r="100" spans="1:33">
      <c r="A100" s="171" t="s">
        <v>614</v>
      </c>
      <c r="B100" s="47"/>
      <c r="C100" s="47"/>
      <c r="D100" s="47"/>
      <c r="E100" s="47"/>
      <c r="F100" s="47"/>
      <c r="G100" s="47"/>
      <c r="H100" s="47"/>
      <c r="I100" s="47">
        <v>118031.52021605868</v>
      </c>
      <c r="J100" s="47">
        <v>110873.23647249502</v>
      </c>
      <c r="K100" s="47">
        <v>104386.88575657349</v>
      </c>
      <c r="L100" s="47">
        <v>98623.174597720441</v>
      </c>
      <c r="M100" s="47">
        <v>93541.309269966703</v>
      </c>
      <c r="N100" s="47">
        <v>89104.676622563129</v>
      </c>
      <c r="O100" s="47">
        <v>85310.804978142114</v>
      </c>
      <c r="P100" s="47">
        <v>82135.461714388366</v>
      </c>
      <c r="Q100" s="47">
        <v>79579.007471725708</v>
      </c>
      <c r="R100" s="47">
        <v>77638.914733912694</v>
      </c>
      <c r="S100" s="47">
        <v>76320.750291190721</v>
      </c>
      <c r="T100" s="47">
        <v>75636.214834434097</v>
      </c>
      <c r="U100" s="47">
        <v>75605.992999856986</v>
      </c>
      <c r="V100" s="47">
        <v>76255.229696801136</v>
      </c>
      <c r="W100" s="47">
        <v>77617.024473938422</v>
      </c>
      <c r="X100" s="47">
        <v>79734.166458618158</v>
      </c>
      <c r="Y100" s="47">
        <v>82657.260005110584</v>
      </c>
      <c r="Z100" s="47">
        <v>86446.461330179533</v>
      </c>
      <c r="AA100" s="47">
        <v>91172.900304777751</v>
      </c>
      <c r="AB100" s="47">
        <v>96918.956151654871</v>
      </c>
      <c r="AC100" s="47">
        <v>103780.17131398512</v>
      </c>
      <c r="AG100" s="47"/>
    </row>
    <row r="103" spans="1:33">
      <c r="A103" s="51" t="s">
        <v>1314</v>
      </c>
    </row>
    <row r="104" spans="1:33">
      <c r="A104" s="9" t="s">
        <v>1315</v>
      </c>
      <c r="B104" s="9">
        <f>B80/(3600*24*365*System_Lifetime)</f>
        <v>0</v>
      </c>
      <c r="C104" s="9">
        <f t="shared" ref="C104:AC104" si="0">C80/(3600*24*365*System_Lifetime)</f>
        <v>5.5970380099081036E-5</v>
      </c>
      <c r="D104" s="9">
        <f t="shared" si="0"/>
        <v>5.1618584180778071E-5</v>
      </c>
      <c r="E104" s="9">
        <f t="shared" si="0"/>
        <v>2.3870613847239901E-5</v>
      </c>
      <c r="F104" s="9">
        <f t="shared" si="0"/>
        <v>1.105317919115454E-5</v>
      </c>
      <c r="G104" s="9">
        <f t="shared" si="0"/>
        <v>6.8192822208421468E-6</v>
      </c>
      <c r="H104" s="9">
        <f t="shared" si="0"/>
        <v>4.2098090061448424E-6</v>
      </c>
      <c r="I104" s="9">
        <f t="shared" si="0"/>
        <v>2.6995937633724483E-6</v>
      </c>
      <c r="J104" s="9">
        <f t="shared" si="0"/>
        <v>1.7120320202323356E-6</v>
      </c>
      <c r="K104" s="9">
        <f t="shared" si="0"/>
        <v>1.0407552547354981E-6</v>
      </c>
      <c r="L104" s="9">
        <f t="shared" si="0"/>
        <v>6.667864911849843E-7</v>
      </c>
      <c r="M104" s="9">
        <f t="shared" si="0"/>
        <v>4.2624054448548456E-7</v>
      </c>
      <c r="N104" s="9">
        <f t="shared" si="0"/>
        <v>2.7140756318411333E-7</v>
      </c>
      <c r="O104" s="9">
        <f t="shared" si="0"/>
        <v>1.740442562272232E-7</v>
      </c>
      <c r="P104" s="9">
        <f t="shared" si="0"/>
        <v>1.1224999807641865E-7</v>
      </c>
      <c r="Q104" s="9">
        <f t="shared" si="0"/>
        <v>7.2487070035035951E-8</v>
      </c>
      <c r="R104" s="9">
        <f t="shared" si="0"/>
        <v>4.697406643616234E-8</v>
      </c>
      <c r="S104" s="9">
        <f t="shared" si="0"/>
        <v>3.0462986084320663E-8</v>
      </c>
      <c r="T104" s="9">
        <f t="shared" si="0"/>
        <v>1.9799130640470354E-8</v>
      </c>
      <c r="U104" s="9">
        <f t="shared" si="0"/>
        <v>1.2910942801740706E-8</v>
      </c>
      <c r="V104" s="9">
        <f t="shared" si="0"/>
        <v>8.4224690138368009E-9</v>
      </c>
      <c r="W104" s="9">
        <f t="shared" si="0"/>
        <v>5.5047229457866163E-9</v>
      </c>
      <c r="X104" s="9">
        <f t="shared" si="0"/>
        <v>3.6040078255147677E-9</v>
      </c>
      <c r="Y104" s="9">
        <f t="shared" si="0"/>
        <v>2.3621273587818539E-9</v>
      </c>
      <c r="Z104" s="9">
        <f t="shared" si="0"/>
        <v>1.5501795448467717E-9</v>
      </c>
      <c r="AA104" s="9">
        <f t="shared" si="0"/>
        <v>1.0186693976029215E-9</v>
      </c>
      <c r="AB104" s="9">
        <f t="shared" si="0"/>
        <v>6.7015335519419322E-10</v>
      </c>
      <c r="AC104" s="9">
        <f t="shared" si="0"/>
        <v>4.4139439963087186E-10</v>
      </c>
    </row>
    <row r="105" spans="1:33">
      <c r="A105" s="9" t="s">
        <v>86</v>
      </c>
      <c r="B105" s="9">
        <f t="shared" ref="B105:AC105" si="1">B81/(3600*24*365*System_Lifetime)</f>
        <v>3.0472304025733566E-5</v>
      </c>
      <c r="C105" s="9">
        <f t="shared" si="1"/>
        <v>1.8764275793009031E-5</v>
      </c>
      <c r="D105" s="9">
        <f t="shared" si="1"/>
        <v>8.705715976576521E-6</v>
      </c>
      <c r="E105" s="9">
        <f t="shared" si="1"/>
        <v>5.3744843042559189E-6</v>
      </c>
      <c r="F105" s="9">
        <f t="shared" si="1"/>
        <v>3.2052466231348795E-6</v>
      </c>
      <c r="G105" s="9">
        <f t="shared" si="1"/>
        <v>1.8954394341590997E-6</v>
      </c>
      <c r="H105" s="9">
        <f t="shared" si="1"/>
        <v>1.1410876837775878E-6</v>
      </c>
      <c r="I105" s="9">
        <f t="shared" si="1"/>
        <v>7.082302803364329E-7</v>
      </c>
      <c r="J105" s="9">
        <f t="shared" si="1"/>
        <v>4.4304421427725153E-7</v>
      </c>
      <c r="K105" s="9">
        <f t="shared" si="1"/>
        <v>2.7590346331441391E-7</v>
      </c>
      <c r="L105" s="9">
        <f t="shared" si="1"/>
        <v>1.731204742273919E-7</v>
      </c>
      <c r="M105" s="9">
        <f t="shared" si="1"/>
        <v>1.0947395485240685E-7</v>
      </c>
      <c r="N105" s="9">
        <f t="shared" si="1"/>
        <v>6.9830242842918129E-8</v>
      </c>
      <c r="O105" s="9">
        <f t="shared" si="1"/>
        <v>4.4596332246227876E-8</v>
      </c>
      <c r="P105" s="9">
        <f t="shared" si="1"/>
        <v>2.8674839355049224E-8</v>
      </c>
      <c r="Q105" s="9">
        <f t="shared" si="1"/>
        <v>1.8520855794590895E-8</v>
      </c>
      <c r="R105" s="9">
        <f t="shared" si="1"/>
        <v>1.202365208835697E-8</v>
      </c>
      <c r="S105" s="9">
        <f t="shared" si="1"/>
        <v>7.8447633367624714E-9</v>
      </c>
      <c r="T105" s="9">
        <f t="shared" si="1"/>
        <v>5.1460250672420926E-9</v>
      </c>
      <c r="U105" s="9">
        <f t="shared" si="1"/>
        <v>3.394672994900757E-9</v>
      </c>
      <c r="V105" s="9">
        <f t="shared" si="1"/>
        <v>2.252591310454962E-9</v>
      </c>
      <c r="W105" s="9">
        <f t="shared" si="1"/>
        <v>1.5041207444709372E-9</v>
      </c>
      <c r="X105" s="9">
        <f t="shared" si="1"/>
        <v>1.0109118833761673E-9</v>
      </c>
      <c r="Y105" s="9">
        <f t="shared" si="1"/>
        <v>6.8410262350311717E-10</v>
      </c>
      <c r="Z105" s="9">
        <f t="shared" si="1"/>
        <v>4.6626005139450266E-10</v>
      </c>
      <c r="AA105" s="9">
        <f t="shared" si="1"/>
        <v>3.2014269775580639E-10</v>
      </c>
      <c r="AB105" s="9">
        <f t="shared" si="1"/>
        <v>2.2148968020681694E-10</v>
      </c>
      <c r="AC105" s="9">
        <f t="shared" si="1"/>
        <v>1.5441832387660433E-10</v>
      </c>
    </row>
    <row r="106" spans="1:33">
      <c r="A106" s="9" t="s">
        <v>124</v>
      </c>
      <c r="B106" s="9">
        <f t="shared" ref="B106:AC106" si="2">B82/(3600*24*365*System_Lifetime)</f>
        <v>2.0371101381606918E-5</v>
      </c>
      <c r="C106" s="9">
        <f t="shared" si="2"/>
        <v>1.4100112420114037E-5</v>
      </c>
      <c r="D106" s="9">
        <f t="shared" si="2"/>
        <v>8.694350110455723E-6</v>
      </c>
      <c r="E106" s="9">
        <f t="shared" si="2"/>
        <v>5.3666453626424444E-6</v>
      </c>
      <c r="F106" s="9">
        <f t="shared" si="2"/>
        <v>3.7230101043934311E-6</v>
      </c>
      <c r="G106" s="9">
        <f t="shared" si="2"/>
        <v>2.5844010859266555E-6</v>
      </c>
      <c r="H106" s="9">
        <f t="shared" si="2"/>
        <v>1.8230842879974527E-6</v>
      </c>
      <c r="I106" s="9">
        <f t="shared" si="2"/>
        <v>1.2670642358457508E-6</v>
      </c>
      <c r="J106" s="9">
        <f t="shared" si="2"/>
        <v>8.889371817937504E-7</v>
      </c>
      <c r="K106" s="9">
        <f t="shared" si="2"/>
        <v>6.3537771534721134E-7</v>
      </c>
      <c r="L106" s="9">
        <f t="shared" si="2"/>
        <v>4.5633451816722653E-7</v>
      </c>
      <c r="M106" s="9">
        <f t="shared" si="2"/>
        <v>3.3231759861274646E-7</v>
      </c>
      <c r="N106" s="9">
        <f t="shared" si="2"/>
        <v>2.390346901620038E-7</v>
      </c>
      <c r="O106" s="9">
        <f t="shared" si="2"/>
        <v>1.7422232435273501E-7</v>
      </c>
      <c r="P106" s="9">
        <f t="shared" si="2"/>
        <v>1.2682026153694079E-7</v>
      </c>
      <c r="Q106" s="9">
        <f t="shared" si="2"/>
        <v>9.235485765739481E-8</v>
      </c>
      <c r="R106" s="9">
        <f t="shared" si="2"/>
        <v>6.7719252138508919E-8</v>
      </c>
      <c r="S106" s="9">
        <f t="shared" si="2"/>
        <v>4.9588731418253605E-8</v>
      </c>
      <c r="T106" s="9">
        <f t="shared" si="2"/>
        <v>3.6480793919834739E-8</v>
      </c>
      <c r="U106" s="9">
        <f t="shared" si="2"/>
        <v>2.6863652732715567E-8</v>
      </c>
      <c r="V106" s="9">
        <f t="shared" si="2"/>
        <v>1.9808616976111986E-8</v>
      </c>
      <c r="W106" s="9">
        <f t="shared" si="2"/>
        <v>1.4637269187785971E-8</v>
      </c>
      <c r="X106" s="9">
        <f t="shared" si="2"/>
        <v>1.0820728175406235E-8</v>
      </c>
      <c r="Y106" s="9">
        <f t="shared" si="2"/>
        <v>8.0178706246232407E-9</v>
      </c>
      <c r="Z106" s="9">
        <f t="shared" si="2"/>
        <v>5.944986352244291E-9</v>
      </c>
      <c r="AA106" s="9">
        <f t="shared" si="2"/>
        <v>4.4157886417197518E-9</v>
      </c>
      <c r="AB106" s="9">
        <f t="shared" si="2"/>
        <v>3.2819592054628623E-9</v>
      </c>
      <c r="AC106" s="9">
        <f t="shared" si="2"/>
        <v>2.4431948518787774E-9</v>
      </c>
    </row>
    <row r="107" spans="1:33">
      <c r="A107" s="9" t="s">
        <v>126</v>
      </c>
      <c r="B107" s="9">
        <f t="shared" ref="B107:AC107" si="3">B83/(3600*24*365*System_Lifetime)</f>
        <v>1.0276240695877025E-5</v>
      </c>
      <c r="C107" s="9">
        <f t="shared" si="3"/>
        <v>5.2103625502329248E-6</v>
      </c>
      <c r="D107" s="9">
        <f t="shared" si="3"/>
        <v>3.1271342190232174E-6</v>
      </c>
      <c r="E107" s="9">
        <f t="shared" si="3"/>
        <v>1.8985686140366636E-6</v>
      </c>
      <c r="F107" s="9">
        <f t="shared" si="3"/>
        <v>1.1478128035241213E-6</v>
      </c>
      <c r="G107" s="9">
        <f t="shared" si="3"/>
        <v>7.0086346406079268E-7</v>
      </c>
      <c r="H107" s="9">
        <f t="shared" si="3"/>
        <v>4.3762131488404614E-7</v>
      </c>
      <c r="I107" s="9">
        <f t="shared" si="3"/>
        <v>2.7505513221068314E-7</v>
      </c>
      <c r="J107" s="9">
        <f t="shared" si="3"/>
        <v>1.7414324721861912E-7</v>
      </c>
      <c r="K107" s="9">
        <f t="shared" si="3"/>
        <v>1.1086784248762835E-7</v>
      </c>
      <c r="L107" s="9">
        <f t="shared" si="3"/>
        <v>7.1203422305074534E-8</v>
      </c>
      <c r="M107" s="9">
        <f t="shared" si="3"/>
        <v>4.5825910020231766E-8</v>
      </c>
      <c r="N107" s="9">
        <f t="shared" si="3"/>
        <v>2.9609737331124532E-8</v>
      </c>
      <c r="O107" s="9">
        <f t="shared" si="3"/>
        <v>1.9223326489126151E-8</v>
      </c>
      <c r="P107" s="9">
        <f t="shared" si="3"/>
        <v>1.2512744456072053E-8</v>
      </c>
      <c r="Q107" s="9">
        <f t="shared" si="3"/>
        <v>8.1682025568375891E-9</v>
      </c>
      <c r="R107" s="9">
        <f t="shared" si="3"/>
        <v>5.3479160226121341E-9</v>
      </c>
      <c r="S107" s="9">
        <f t="shared" si="3"/>
        <v>3.5105119083525314E-9</v>
      </c>
      <c r="T107" s="9">
        <f t="shared" si="3"/>
        <v>2.3101161242973745E-9</v>
      </c>
      <c r="U107" s="9">
        <f t="shared" si="3"/>
        <v>1.5237059581113588E-9</v>
      </c>
      <c r="V107" s="9">
        <f t="shared" si="3"/>
        <v>1.0071936762284282E-9</v>
      </c>
      <c r="W107" s="9">
        <f t="shared" si="3"/>
        <v>6.671789108636943E-10</v>
      </c>
      <c r="X107" s="9">
        <f t="shared" si="3"/>
        <v>4.4285652617935538E-10</v>
      </c>
      <c r="Y107" s="9">
        <f t="shared" si="3"/>
        <v>2.9453219968863158E-10</v>
      </c>
      <c r="Z107" s="9">
        <f t="shared" si="3"/>
        <v>1.962634152609399E-10</v>
      </c>
      <c r="AA107" s="9">
        <f t="shared" si="3"/>
        <v>1.310268921731706E-10</v>
      </c>
      <c r="AB107" s="9">
        <f t="shared" si="3"/>
        <v>8.7633969893898606E-11</v>
      </c>
      <c r="AC107" s="9">
        <f t="shared" si="3"/>
        <v>5.871744735456616E-11</v>
      </c>
    </row>
    <row r="108" spans="1:33">
      <c r="A108" s="9" t="s">
        <v>614</v>
      </c>
      <c r="B108" s="9">
        <f t="shared" ref="B108:AC108" si="4">B84/(3600*24*365*System_Lifetime)</f>
        <v>0</v>
      </c>
      <c r="C108" s="9">
        <f t="shared" si="4"/>
        <v>0</v>
      </c>
      <c r="D108" s="9">
        <f t="shared" si="4"/>
        <v>0</v>
      </c>
      <c r="E108" s="9">
        <f t="shared" si="4"/>
        <v>0</v>
      </c>
      <c r="F108" s="9">
        <f t="shared" si="4"/>
        <v>0</v>
      </c>
      <c r="G108" s="9">
        <f t="shared" si="4"/>
        <v>0</v>
      </c>
      <c r="H108" s="9">
        <f t="shared" si="4"/>
        <v>0</v>
      </c>
      <c r="I108" s="9">
        <f t="shared" si="4"/>
        <v>3.1451722298980884E-7</v>
      </c>
      <c r="J108" s="9">
        <f t="shared" si="4"/>
        <v>1.7756400328836151E-7</v>
      </c>
      <c r="K108" s="9">
        <f t="shared" si="4"/>
        <v>1.0184881332842906E-7</v>
      </c>
      <c r="L108" s="9">
        <f t="shared" si="4"/>
        <v>5.8784217129176897E-8</v>
      </c>
      <c r="M108" s="9">
        <f t="shared" si="4"/>
        <v>3.4172528327645552E-8</v>
      </c>
      <c r="N108" s="9">
        <f t="shared" si="4"/>
        <v>2.0024739620709342E-8</v>
      </c>
      <c r="O108" s="9">
        <f t="shared" si="4"/>
        <v>1.1818208299800764E-8</v>
      </c>
      <c r="P108" s="9">
        <f t="shared" si="4"/>
        <v>7.0315831680715861E-9</v>
      </c>
      <c r="Q108" s="9">
        <f t="shared" si="4"/>
        <v>4.2176730289200574E-9</v>
      </c>
      <c r="R108" s="9">
        <f t="shared" si="4"/>
        <v>2.5517349047031585E-9</v>
      </c>
      <c r="S108" s="9">
        <f t="shared" si="4"/>
        <v>1.5578468720814278E-9</v>
      </c>
      <c r="T108" s="9">
        <f t="shared" si="4"/>
        <v>9.600931263116906E-10</v>
      </c>
      <c r="U108" s="9">
        <f t="shared" si="4"/>
        <v>5.9748051406854066E-10</v>
      </c>
      <c r="V108" s="9">
        <f t="shared" si="4"/>
        <v>3.7554746631459016E-10</v>
      </c>
      <c r="W108" s="9">
        <f t="shared" si="4"/>
        <v>2.3844176092726796E-10</v>
      </c>
      <c r="X108" s="9">
        <f t="shared" si="4"/>
        <v>1.529147614912934E-10</v>
      </c>
      <c r="Y108" s="9">
        <f t="shared" si="4"/>
        <v>9.9033280840540639E-11</v>
      </c>
      <c r="Z108" s="9">
        <f t="shared" si="4"/>
        <v>6.4748354989643437E-11</v>
      </c>
      <c r="AA108" s="9">
        <f t="shared" si="4"/>
        <v>4.2715484643960656E-11</v>
      </c>
      <c r="AB108" s="9">
        <f t="shared" si="4"/>
        <v>2.8418404524084343E-11</v>
      </c>
      <c r="AC108" s="9">
        <f t="shared" si="4"/>
        <v>1.9054037833111794E-11</v>
      </c>
    </row>
    <row r="111" spans="1:33" ht="17" customHeight="1"/>
    <row r="112" spans="1:33" ht="17" customHeight="1"/>
    <row r="120" spans="1:29">
      <c r="A120" s="1" t="s">
        <v>1216</v>
      </c>
    </row>
    <row r="121" spans="1:29">
      <c r="A121" t="s">
        <v>1223</v>
      </c>
      <c r="B121">
        <v>2023</v>
      </c>
      <c r="C121">
        <v>2024</v>
      </c>
      <c r="D121">
        <v>2025</v>
      </c>
      <c r="E121">
        <v>2026</v>
      </c>
      <c r="F121">
        <v>2027</v>
      </c>
      <c r="G121">
        <v>2028</v>
      </c>
      <c r="H121">
        <v>2029</v>
      </c>
      <c r="I121">
        <v>2030</v>
      </c>
      <c r="J121">
        <v>2031</v>
      </c>
      <c r="K121">
        <v>2032</v>
      </c>
      <c r="L121">
        <v>2033</v>
      </c>
      <c r="M121">
        <v>2034</v>
      </c>
      <c r="N121">
        <v>2035</v>
      </c>
      <c r="O121">
        <v>2036</v>
      </c>
      <c r="P121">
        <v>2037</v>
      </c>
      <c r="Q121">
        <v>2038</v>
      </c>
      <c r="R121">
        <v>2039</v>
      </c>
      <c r="S121">
        <v>2040</v>
      </c>
      <c r="T121">
        <v>2041</v>
      </c>
      <c r="U121">
        <v>2042</v>
      </c>
      <c r="V121">
        <v>2043</v>
      </c>
      <c r="W121">
        <v>2044</v>
      </c>
      <c r="X121">
        <v>2045</v>
      </c>
      <c r="Y121">
        <v>2046</v>
      </c>
      <c r="Z121">
        <v>2047</v>
      </c>
      <c r="AA121">
        <v>2048</v>
      </c>
      <c r="AB121">
        <v>2049</v>
      </c>
      <c r="AC121">
        <v>2050</v>
      </c>
    </row>
  </sheetData>
  <pageMargins left="0.7" right="0.7" top="0.75" bottom="0.75" header="0.3" footer="0.3"/>
  <pageSetup paperSize="9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C8D0E-6E92-0641-9303-A7FE5FBFA3E2}">
  <sheetPr codeName="Sheet3"/>
  <dimension ref="A1:CT25"/>
  <sheetViews>
    <sheetView workbookViewId="0">
      <selection activeCell="AM31" sqref="AM31"/>
    </sheetView>
  </sheetViews>
  <sheetFormatPr baseColWidth="10" defaultRowHeight="16"/>
  <cols>
    <col min="1" max="1" width="51.1640625" customWidth="1"/>
    <col min="2" max="2" width="10.6640625" customWidth="1"/>
    <col min="3" max="3" width="12.1640625" bestFit="1" customWidth="1"/>
    <col min="5" max="5" width="12.1640625" bestFit="1" customWidth="1"/>
    <col min="45" max="94" width="11" bestFit="1" customWidth="1"/>
    <col min="95" max="96" width="11.1640625" bestFit="1" customWidth="1"/>
  </cols>
  <sheetData>
    <row r="1" spans="1:98">
      <c r="A1" t="s">
        <v>1630</v>
      </c>
    </row>
    <row r="2" spans="1:98">
      <c r="A2" t="s">
        <v>1631</v>
      </c>
    </row>
    <row r="3" spans="1:98">
      <c r="A3" t="s">
        <v>1647</v>
      </c>
    </row>
    <row r="5" spans="1:98">
      <c r="A5" t="s">
        <v>1633</v>
      </c>
      <c r="C5" s="3">
        <v>4</v>
      </c>
    </row>
    <row r="7" spans="1:98">
      <c r="A7" t="s">
        <v>51</v>
      </c>
      <c r="C7">
        <v>1957</v>
      </c>
      <c r="D7">
        <v>1958</v>
      </c>
      <c r="E7">
        <v>1959</v>
      </c>
      <c r="F7">
        <v>1960</v>
      </c>
      <c r="G7">
        <v>1961</v>
      </c>
      <c r="H7">
        <v>1962</v>
      </c>
      <c r="I7">
        <v>1963</v>
      </c>
      <c r="J7">
        <v>1964</v>
      </c>
      <c r="K7">
        <v>1965</v>
      </c>
      <c r="L7">
        <v>1966</v>
      </c>
      <c r="M7">
        <v>1967</v>
      </c>
      <c r="N7">
        <v>1968</v>
      </c>
      <c r="O7">
        <v>1969</v>
      </c>
      <c r="P7">
        <v>1970</v>
      </c>
      <c r="Q7">
        <v>1971</v>
      </c>
      <c r="R7">
        <v>1972</v>
      </c>
      <c r="S7">
        <v>1973</v>
      </c>
      <c r="T7">
        <v>1974</v>
      </c>
      <c r="U7">
        <v>1975</v>
      </c>
      <c r="V7">
        <v>1976</v>
      </c>
      <c r="W7">
        <v>1977</v>
      </c>
      <c r="X7">
        <v>1978</v>
      </c>
      <c r="Y7">
        <v>1979</v>
      </c>
      <c r="Z7">
        <v>1980</v>
      </c>
      <c r="AA7">
        <v>1981</v>
      </c>
      <c r="AB7">
        <v>1982</v>
      </c>
      <c r="AC7">
        <v>1983</v>
      </c>
      <c r="AD7">
        <v>1984</v>
      </c>
      <c r="AE7">
        <v>1985</v>
      </c>
      <c r="AF7">
        <v>1986</v>
      </c>
      <c r="AG7">
        <v>1987</v>
      </c>
      <c r="AH7">
        <v>1988</v>
      </c>
      <c r="AI7">
        <v>1989</v>
      </c>
      <c r="AJ7">
        <v>1990</v>
      </c>
      <c r="AK7">
        <v>1991</v>
      </c>
      <c r="AL7">
        <v>1992</v>
      </c>
      <c r="AM7">
        <v>1993</v>
      </c>
      <c r="AN7">
        <v>1994</v>
      </c>
      <c r="AO7">
        <v>1995</v>
      </c>
      <c r="AP7">
        <v>1996</v>
      </c>
      <c r="AQ7">
        <v>1997</v>
      </c>
      <c r="AR7">
        <v>1998</v>
      </c>
      <c r="AS7">
        <v>1999</v>
      </c>
      <c r="AT7">
        <v>2000</v>
      </c>
      <c r="AU7">
        <v>2001</v>
      </c>
      <c r="AV7">
        <v>2002</v>
      </c>
      <c r="AW7">
        <v>2003</v>
      </c>
      <c r="AX7">
        <v>2004</v>
      </c>
      <c r="AY7">
        <v>2005</v>
      </c>
      <c r="AZ7">
        <v>2006</v>
      </c>
      <c r="BA7">
        <v>2007</v>
      </c>
      <c r="BB7">
        <v>2008</v>
      </c>
      <c r="BC7">
        <v>2009</v>
      </c>
      <c r="BD7">
        <v>2010</v>
      </c>
      <c r="BE7">
        <v>2011</v>
      </c>
      <c r="BF7">
        <v>2012</v>
      </c>
      <c r="BG7">
        <v>2013</v>
      </c>
      <c r="BH7">
        <v>2014</v>
      </c>
      <c r="BI7">
        <v>2015</v>
      </c>
      <c r="BJ7">
        <v>2016</v>
      </c>
      <c r="BK7">
        <v>2017</v>
      </c>
      <c r="BL7">
        <v>2018</v>
      </c>
      <c r="BM7">
        <v>2019</v>
      </c>
      <c r="BN7">
        <v>2020</v>
      </c>
      <c r="BO7">
        <v>2021</v>
      </c>
      <c r="BP7">
        <v>2022</v>
      </c>
      <c r="BQ7">
        <v>2023</v>
      </c>
      <c r="BR7">
        <v>2024</v>
      </c>
      <c r="BS7">
        <v>2025</v>
      </c>
      <c r="BT7">
        <v>2026</v>
      </c>
      <c r="BU7">
        <v>2027</v>
      </c>
      <c r="BV7">
        <v>2028</v>
      </c>
      <c r="BW7">
        <v>2029</v>
      </c>
      <c r="BX7">
        <v>2030</v>
      </c>
      <c r="BY7">
        <v>2031</v>
      </c>
      <c r="BZ7">
        <v>2032</v>
      </c>
      <c r="CA7">
        <v>2033</v>
      </c>
      <c r="CB7">
        <v>2034</v>
      </c>
      <c r="CC7">
        <v>2035</v>
      </c>
      <c r="CD7">
        <v>2036</v>
      </c>
      <c r="CE7">
        <v>2037</v>
      </c>
      <c r="CF7">
        <v>2038</v>
      </c>
      <c r="CG7">
        <v>2039</v>
      </c>
      <c r="CH7">
        <v>2040</v>
      </c>
      <c r="CI7">
        <v>2041</v>
      </c>
      <c r="CJ7">
        <v>2042</v>
      </c>
      <c r="CK7">
        <v>2043</v>
      </c>
      <c r="CL7">
        <v>2044</v>
      </c>
      <c r="CM7">
        <v>2045</v>
      </c>
      <c r="CN7">
        <v>2046</v>
      </c>
      <c r="CO7">
        <v>2047</v>
      </c>
      <c r="CP7">
        <v>2048</v>
      </c>
      <c r="CQ7">
        <v>2049</v>
      </c>
      <c r="CR7">
        <v>2050</v>
      </c>
    </row>
    <row r="8" spans="1:98">
      <c r="A8" s="6" t="s">
        <v>1649</v>
      </c>
      <c r="B8" s="6"/>
      <c r="C8" s="6">
        <v>1</v>
      </c>
      <c r="D8" s="6">
        <v>2</v>
      </c>
      <c r="E8" s="6">
        <v>2</v>
      </c>
      <c r="F8" s="6">
        <v>6</v>
      </c>
      <c r="G8" s="6">
        <v>9</v>
      </c>
      <c r="H8" s="6">
        <v>22</v>
      </c>
      <c r="I8" s="6">
        <v>26</v>
      </c>
      <c r="J8" s="6">
        <v>52</v>
      </c>
      <c r="K8" s="6">
        <v>92</v>
      </c>
      <c r="L8" s="6">
        <v>104</v>
      </c>
      <c r="M8" s="6">
        <v>115</v>
      </c>
      <c r="N8" s="6">
        <v>145</v>
      </c>
      <c r="O8" s="6">
        <v>159</v>
      </c>
      <c r="P8" s="6">
        <v>162</v>
      </c>
      <c r="Q8" s="6">
        <v>195</v>
      </c>
      <c r="R8" s="6">
        <v>187</v>
      </c>
      <c r="S8" s="6">
        <v>199</v>
      </c>
      <c r="T8" s="6">
        <v>203</v>
      </c>
      <c r="U8" s="6">
        <v>232</v>
      </c>
      <c r="V8" s="6">
        <v>258</v>
      </c>
      <c r="W8" s="6">
        <v>269</v>
      </c>
      <c r="X8" s="6">
        <v>307</v>
      </c>
      <c r="Y8" s="6">
        <v>312</v>
      </c>
      <c r="Z8" s="6">
        <v>318</v>
      </c>
      <c r="AA8" s="6">
        <v>335</v>
      </c>
      <c r="AB8" s="6">
        <v>338</v>
      </c>
      <c r="AC8" s="6">
        <v>359</v>
      </c>
      <c r="AD8" s="6">
        <v>372</v>
      </c>
      <c r="AE8" s="6">
        <v>388</v>
      </c>
      <c r="AF8" s="6">
        <v>399</v>
      </c>
      <c r="AG8" s="6">
        <v>414</v>
      </c>
      <c r="AH8" s="6">
        <v>420</v>
      </c>
      <c r="AI8" s="6">
        <v>416</v>
      </c>
      <c r="AJ8" s="6">
        <v>464</v>
      </c>
      <c r="AK8" s="6">
        <v>492</v>
      </c>
      <c r="AL8" s="6">
        <v>513</v>
      </c>
      <c r="AM8" s="6">
        <v>513</v>
      </c>
      <c r="AN8" s="6">
        <v>533</v>
      </c>
      <c r="AO8" s="6">
        <v>537</v>
      </c>
      <c r="AP8" s="6">
        <v>541</v>
      </c>
      <c r="AQ8" s="6">
        <v>598</v>
      </c>
      <c r="AR8" s="6">
        <v>673</v>
      </c>
      <c r="AS8" s="6">
        <v>726</v>
      </c>
      <c r="AT8" s="6">
        <v>769</v>
      </c>
      <c r="AU8" s="6">
        <v>771</v>
      </c>
      <c r="AV8" s="6">
        <v>806</v>
      </c>
      <c r="AW8" s="6">
        <v>830</v>
      </c>
      <c r="AX8" s="6">
        <v>852</v>
      </c>
      <c r="AY8" s="6">
        <v>854</v>
      </c>
      <c r="AZ8" s="6">
        <v>873</v>
      </c>
      <c r="BA8" s="6">
        <v>912</v>
      </c>
      <c r="BB8" s="6">
        <v>948</v>
      </c>
      <c r="BC8" s="6">
        <v>986</v>
      </c>
      <c r="BD8" s="6">
        <v>997</v>
      </c>
      <c r="BE8" s="6">
        <v>1033</v>
      </c>
      <c r="BF8" s="6">
        <v>1091</v>
      </c>
      <c r="BG8" s="6">
        <v>1187</v>
      </c>
      <c r="BH8" s="6">
        <v>1262</v>
      </c>
      <c r="BI8" s="6">
        <v>1364</v>
      </c>
      <c r="BJ8" s="6">
        <v>1462</v>
      </c>
      <c r="BK8" s="6">
        <v>1778</v>
      </c>
      <c r="BL8" s="6">
        <v>2027</v>
      </c>
      <c r="BM8" s="6">
        <v>2272</v>
      </c>
      <c r="BN8" s="6">
        <v>3256</v>
      </c>
      <c r="BO8" s="6">
        <v>4800</v>
      </c>
      <c r="BP8" s="6">
        <v>6905</v>
      </c>
      <c r="BQ8" s="56">
        <f>BP8*2^(1/$C5)</f>
        <v>8211.4751290937893</v>
      </c>
      <c r="BR8" s="56">
        <f t="shared" ref="BR8:CR8" si="0">BQ8*2^(1/$C5)</f>
        <v>9765.1446481862222</v>
      </c>
      <c r="BS8" s="56">
        <f t="shared" si="0"/>
        <v>11612.779494653798</v>
      </c>
      <c r="BT8" s="56">
        <f t="shared" si="0"/>
        <v>13810</v>
      </c>
      <c r="BU8" s="56">
        <f t="shared" si="0"/>
        <v>16422.950258187579</v>
      </c>
      <c r="BV8" s="56">
        <f t="shared" si="0"/>
        <v>19530.289296372444</v>
      </c>
      <c r="BW8" s="56">
        <f t="shared" si="0"/>
        <v>23225.558989307596</v>
      </c>
      <c r="BX8" s="56">
        <f t="shared" si="0"/>
        <v>27620</v>
      </c>
      <c r="BY8" s="56">
        <f t="shared" si="0"/>
        <v>32845.900516375157</v>
      </c>
      <c r="BZ8" s="56">
        <f t="shared" si="0"/>
        <v>39060.578592744889</v>
      </c>
      <c r="CA8" s="56">
        <f t="shared" si="0"/>
        <v>46451.117978615192</v>
      </c>
      <c r="CB8" s="56">
        <f t="shared" si="0"/>
        <v>55240</v>
      </c>
      <c r="CC8" s="56">
        <f t="shared" si="0"/>
        <v>65691.801032750314</v>
      </c>
      <c r="CD8" s="56">
        <f t="shared" si="0"/>
        <v>78121.157185489777</v>
      </c>
      <c r="CE8" s="56">
        <f t="shared" si="0"/>
        <v>92902.235957230383</v>
      </c>
      <c r="CF8" s="56">
        <f t="shared" si="0"/>
        <v>110480</v>
      </c>
      <c r="CG8" s="56">
        <f t="shared" si="0"/>
        <v>131383.60206550063</v>
      </c>
      <c r="CH8" s="56">
        <f t="shared" si="0"/>
        <v>156242.31437097955</v>
      </c>
      <c r="CI8" s="56">
        <f t="shared" si="0"/>
        <v>185804.47191446077</v>
      </c>
      <c r="CJ8" s="56">
        <f t="shared" si="0"/>
        <v>220960</v>
      </c>
      <c r="CK8" s="56">
        <f t="shared" si="0"/>
        <v>262767.20413100126</v>
      </c>
      <c r="CL8" s="56">
        <f t="shared" si="0"/>
        <v>312484.62874195911</v>
      </c>
      <c r="CM8" s="56">
        <f t="shared" si="0"/>
        <v>371608.94382892153</v>
      </c>
      <c r="CN8" s="56">
        <f t="shared" si="0"/>
        <v>441920</v>
      </c>
      <c r="CO8" s="56">
        <f t="shared" si="0"/>
        <v>525534.40826200251</v>
      </c>
      <c r="CP8" s="56">
        <f t="shared" si="0"/>
        <v>624969.25748391822</v>
      </c>
      <c r="CQ8" s="56">
        <f t="shared" si="0"/>
        <v>743217.88765784306</v>
      </c>
      <c r="CR8" s="56">
        <f t="shared" si="0"/>
        <v>883840</v>
      </c>
      <c r="CT8" t="s">
        <v>1310</v>
      </c>
    </row>
    <row r="10" spans="1:98" ht="17" customHeight="1">
      <c r="A10" t="s">
        <v>1634</v>
      </c>
      <c r="C10">
        <v>2.9</v>
      </c>
    </row>
    <row r="11" spans="1:98">
      <c r="A11" s="6" t="s">
        <v>1648</v>
      </c>
      <c r="B11" s="6"/>
      <c r="C11" s="6">
        <v>4.0000000000000001E-8</v>
      </c>
      <c r="D11" s="6">
        <f t="shared" ref="D11:AI11" si="1">C11*2^(1/$C10)</f>
        <v>5.0799967929365705E-8</v>
      </c>
      <c r="E11" s="6">
        <f t="shared" si="1"/>
        <v>6.4515918540614597E-8</v>
      </c>
      <c r="F11" s="6">
        <f t="shared" si="1"/>
        <v>8.1935164819919791E-8</v>
      </c>
      <c r="G11" s="6">
        <f t="shared" si="1"/>
        <v>1.0405759362848046E-7</v>
      </c>
      <c r="H11" s="6">
        <f t="shared" si="1"/>
        <v>1.321530604783444E-7</v>
      </c>
      <c r="I11" s="6">
        <f t="shared" si="1"/>
        <v>1.6783428085168554E-7</v>
      </c>
      <c r="J11" s="6">
        <f t="shared" si="1"/>
        <v>2.1314940211784454E-7</v>
      </c>
      <c r="K11" s="6">
        <f t="shared" si="1"/>
        <v>2.7069956979374942E-7</v>
      </c>
      <c r="L11" s="6">
        <f t="shared" si="1"/>
        <v>3.4378823660038907E-7</v>
      </c>
      <c r="M11" s="6">
        <f t="shared" si="1"/>
        <v>4.3661078484482381E-7</v>
      </c>
      <c r="N11" s="6">
        <f t="shared" si="1"/>
        <v>5.54495346693306E-7</v>
      </c>
      <c r="O11" s="6">
        <f t="shared" si="1"/>
        <v>7.0420864572506156E-7</v>
      </c>
      <c r="P11" s="6">
        <f t="shared" si="1"/>
        <v>8.9434441546037948E-7</v>
      </c>
      <c r="Q11" s="6">
        <f t="shared" si="1"/>
        <v>1.1358166905798648E-6</v>
      </c>
      <c r="R11" s="6">
        <f t="shared" si="1"/>
        <v>1.4424862863773853E-6</v>
      </c>
      <c r="S11" s="6">
        <f t="shared" si="1"/>
        <v>1.8319564271630251E-6</v>
      </c>
      <c r="T11" s="6">
        <f t="shared" si="1"/>
        <v>2.3265831936969262E-6</v>
      </c>
      <c r="U11" s="6">
        <f t="shared" si="1"/>
        <v>2.9547587906201271E-6</v>
      </c>
      <c r="V11" s="6">
        <f t="shared" si="1"/>
        <v>3.7525412950628461E-6</v>
      </c>
      <c r="W11" s="6">
        <f t="shared" si="1"/>
        <v>4.765724436070325E-6</v>
      </c>
      <c r="X11" s="6">
        <f t="shared" si="1"/>
        <v>6.0524662128141739E-6</v>
      </c>
      <c r="Y11" s="6">
        <f t="shared" si="1"/>
        <v>7.6866272376132373E-6</v>
      </c>
      <c r="Z11" s="6">
        <f t="shared" si="1"/>
        <v>9.7620104288935334E-6</v>
      </c>
      <c r="AA11" s="6">
        <f t="shared" si="1"/>
        <v>1.2397745417848125E-5</v>
      </c>
      <c r="AB11" s="6">
        <f t="shared" si="1"/>
        <v>1.5745126740578135E-5</v>
      </c>
      <c r="AC11" s="6">
        <f t="shared" si="1"/>
        <v>1.9996298336629191E-5</v>
      </c>
      <c r="AD11" s="6">
        <f t="shared" si="1"/>
        <v>2.5395282855169791E-5</v>
      </c>
      <c r="AE11" s="6">
        <f t="shared" si="1"/>
        <v>3.22519888649949E-5</v>
      </c>
      <c r="AF11" s="6">
        <f t="shared" si="1"/>
        <v>4.0960000000000014E-5</v>
      </c>
      <c r="AG11" s="6">
        <f t="shared" si="1"/>
        <v>5.2019167159670496E-5</v>
      </c>
      <c r="AH11" s="6">
        <f t="shared" si="1"/>
        <v>6.6064300585589361E-5</v>
      </c>
      <c r="AI11" s="6">
        <f t="shared" si="1"/>
        <v>8.390160877559788E-5</v>
      </c>
      <c r="AJ11" s="6">
        <f t="shared" ref="AJ11:BO11" si="2">AI11*2^(1/$C10)</f>
        <v>1.06554975875564E-4</v>
      </c>
      <c r="AK11" s="6">
        <f t="shared" si="2"/>
        <v>1.3532473392982469E-4</v>
      </c>
      <c r="AL11" s="6">
        <f t="shared" si="2"/>
        <v>1.7186230359212602E-4</v>
      </c>
      <c r="AM11" s="6">
        <f t="shared" si="2"/>
        <v>2.1826498776867284E-4</v>
      </c>
      <c r="AN11" s="6">
        <f t="shared" si="2"/>
        <v>2.7719635946879946E-4</v>
      </c>
      <c r="AO11" s="6">
        <f t="shared" si="2"/>
        <v>3.5203915427879846E-4</v>
      </c>
      <c r="AP11" s="6">
        <f t="shared" si="2"/>
        <v>4.4708944368109963E-4</v>
      </c>
      <c r="AQ11" s="6">
        <f t="shared" si="2"/>
        <v>5.6780323501394534E-4</v>
      </c>
      <c r="AR11" s="6">
        <f t="shared" si="2"/>
        <v>7.2110965322246304E-4</v>
      </c>
      <c r="AS11" s="6">
        <f t="shared" si="2"/>
        <v>9.1580868143142859E-4</v>
      </c>
      <c r="AT11" s="6">
        <f t="shared" si="2"/>
        <v>1.1630762911537815E-3</v>
      </c>
      <c r="AU11" s="6">
        <f t="shared" si="2"/>
        <v>1.4771059572504426E-3</v>
      </c>
      <c r="AV11" s="6">
        <f t="shared" si="2"/>
        <v>1.8759233814149377E-3</v>
      </c>
      <c r="AW11" s="6">
        <f t="shared" si="2"/>
        <v>2.3824211903456525E-3</v>
      </c>
      <c r="AX11" s="6">
        <f t="shared" si="2"/>
        <v>3.0256730015950101E-3</v>
      </c>
      <c r="AY11" s="6">
        <f t="shared" si="2"/>
        <v>3.8426022861443544E-3</v>
      </c>
      <c r="AZ11" s="6">
        <f t="shared" si="2"/>
        <v>4.8801018225360128E-3</v>
      </c>
      <c r="BA11" s="6">
        <f t="shared" si="2"/>
        <v>6.1977254019217141E-3</v>
      </c>
      <c r="BB11" s="6">
        <f t="shared" si="2"/>
        <v>7.871106291315955E-3</v>
      </c>
      <c r="BC11" s="6">
        <f t="shared" si="2"/>
        <v>9.9962986791869782E-3</v>
      </c>
      <c r="BD11" s="6">
        <f t="shared" si="2"/>
        <v>1.269529130787648E-2</v>
      </c>
      <c r="BE11" s="6">
        <f t="shared" si="2"/>
        <v>1.612300978235201E-2</v>
      </c>
      <c r="BF11" s="6">
        <f t="shared" si="2"/>
        <v>2.0476209496708291E-2</v>
      </c>
      <c r="BG11" s="59">
        <f t="shared" si="2"/>
        <v>2.6004769643693866E-2</v>
      </c>
      <c r="BH11" s="59">
        <f t="shared" si="2"/>
        <v>3.3026036597754778E-2</v>
      </c>
      <c r="BI11" s="59">
        <f t="shared" si="2"/>
        <v>4.1943040000000015E-2</v>
      </c>
      <c r="BJ11" s="59">
        <f t="shared" si="2"/>
        <v>5.3267627171502588E-2</v>
      </c>
      <c r="BK11" s="59">
        <f t="shared" si="2"/>
        <v>6.7649843799643505E-2</v>
      </c>
      <c r="BL11" s="59">
        <f t="shared" si="2"/>
        <v>8.5915247386212229E-2</v>
      </c>
      <c r="BM11" s="59">
        <f t="shared" si="2"/>
        <v>0.10911229529657754</v>
      </c>
      <c r="BN11" s="59">
        <f t="shared" si="2"/>
        <v>0.13857252754414048</v>
      </c>
      <c r="BO11" s="59">
        <f t="shared" si="2"/>
        <v>0.17598699887833705</v>
      </c>
      <c r="BP11" s="59">
        <f t="shared" ref="BP11:CR11" si="3">BO11*2^(1/$C10)</f>
        <v>0.22350334747512099</v>
      </c>
      <c r="BQ11" s="59">
        <f t="shared" si="3"/>
        <v>0.28384907209605065</v>
      </c>
      <c r="BR11" s="59">
        <f t="shared" si="3"/>
        <v>0.36048809398148962</v>
      </c>
      <c r="BS11" s="59">
        <f t="shared" si="3"/>
        <v>0.45781959032944602</v>
      </c>
      <c r="BT11" s="59">
        <f t="shared" si="3"/>
        <v>0.58143051265428003</v>
      </c>
      <c r="BU11" s="57">
        <f t="shared" si="3"/>
        <v>0.73841628489980216</v>
      </c>
      <c r="BV11" s="57">
        <f t="shared" si="3"/>
        <v>0.93778808978578287</v>
      </c>
      <c r="BW11" s="57">
        <f t="shared" si="3"/>
        <v>1.1909901221414723</v>
      </c>
      <c r="BX11" s="57">
        <f t="shared" si="3"/>
        <v>1.5125565002244532</v>
      </c>
      <c r="BY11" s="57">
        <f t="shared" si="3"/>
        <v>1.9209455425688962</v>
      </c>
      <c r="BZ11" s="57">
        <f t="shared" si="3"/>
        <v>2.4395992989139481</v>
      </c>
      <c r="CA11" s="57">
        <f t="shared" si="3"/>
        <v>3.0982891536332904</v>
      </c>
      <c r="CB11" s="57">
        <f t="shared" si="3"/>
        <v>3.9348247410118189</v>
      </c>
      <c r="CC11" s="57">
        <f t="shared" si="3"/>
        <v>4.9972242662768771</v>
      </c>
      <c r="CD11" s="57">
        <f t="shared" si="3"/>
        <v>6.3464708115678352</v>
      </c>
      <c r="CE11" s="57">
        <f t="shared" si="3"/>
        <v>8.0600128423075379</v>
      </c>
      <c r="CF11" s="57">
        <f t="shared" si="3"/>
        <v>10.236209847487466</v>
      </c>
      <c r="CG11" s="56">
        <f t="shared" si="3"/>
        <v>12.999978299265516</v>
      </c>
      <c r="CH11" s="56">
        <f t="shared" si="3"/>
        <v>16.509962017128458</v>
      </c>
      <c r="CI11" s="56">
        <f t="shared" si="3"/>
        <v>20.96763852462929</v>
      </c>
      <c r="CJ11" s="56">
        <f t="shared" si="3"/>
        <v>26.628884115142519</v>
      </c>
      <c r="CK11" s="56">
        <f t="shared" si="3"/>
        <v>33.818661476100893</v>
      </c>
      <c r="CL11" s="56">
        <f t="shared" si="3"/>
        <v>42.949672960000015</v>
      </c>
      <c r="CM11" s="56">
        <f t="shared" si="3"/>
        <v>54.54605022361865</v>
      </c>
      <c r="CN11" s="56">
        <f t="shared" si="3"/>
        <v>69.273440050834949</v>
      </c>
      <c r="CO11" s="56">
        <f t="shared" si="3"/>
        <v>87.977213323481323</v>
      </c>
      <c r="CP11" s="56">
        <f t="shared" si="3"/>
        <v>111.7309903836954</v>
      </c>
      <c r="CQ11" s="56">
        <f t="shared" si="3"/>
        <v>141.89826820519986</v>
      </c>
      <c r="CR11" s="56">
        <f t="shared" si="3"/>
        <v>180.21068685141714</v>
      </c>
    </row>
    <row r="13" spans="1:98">
      <c r="A13" s="6" t="s">
        <v>1635</v>
      </c>
      <c r="B13" s="6"/>
      <c r="C13" s="6">
        <f>C8*C11*0.2</f>
        <v>8.0000000000000005E-9</v>
      </c>
      <c r="D13" s="6">
        <f t="shared" ref="D13:BO13" si="4">D8*D11*0.2</f>
        <v>2.0319987171746285E-8</v>
      </c>
      <c r="E13" s="6">
        <f t="shared" si="4"/>
        <v>2.5806367416245841E-8</v>
      </c>
      <c r="F13" s="6">
        <f t="shared" si="4"/>
        <v>9.8322197783903765E-8</v>
      </c>
      <c r="G13" s="6">
        <f t="shared" si="4"/>
        <v>1.8730366853126484E-7</v>
      </c>
      <c r="H13" s="6">
        <f t="shared" si="4"/>
        <v>5.8147346610471535E-7</v>
      </c>
      <c r="I13" s="6">
        <f t="shared" si="4"/>
        <v>8.727382604287648E-7</v>
      </c>
      <c r="J13" s="6">
        <f t="shared" si="4"/>
        <v>2.2167537820255833E-6</v>
      </c>
      <c r="K13" s="6">
        <f t="shared" si="4"/>
        <v>4.9808720842049896E-6</v>
      </c>
      <c r="L13" s="6">
        <f t="shared" si="4"/>
        <v>7.1507953212880925E-6</v>
      </c>
      <c r="M13" s="6">
        <f t="shared" si="4"/>
        <v>1.0042048051430947E-5</v>
      </c>
      <c r="N13" s="6">
        <f t="shared" si="4"/>
        <v>1.6080365054105873E-5</v>
      </c>
      <c r="O13" s="6">
        <f t="shared" si="4"/>
        <v>2.2393834934056958E-5</v>
      </c>
      <c r="P13" s="6">
        <f t="shared" si="4"/>
        <v>2.8976759060916297E-5</v>
      </c>
      <c r="Q13" s="6">
        <f t="shared" si="4"/>
        <v>4.4296850932614726E-5</v>
      </c>
      <c r="R13" s="6">
        <f t="shared" si="4"/>
        <v>5.3948987110514211E-5</v>
      </c>
      <c r="S13" s="6">
        <f t="shared" si="4"/>
        <v>7.291186580108841E-5</v>
      </c>
      <c r="T13" s="6">
        <f t="shared" si="4"/>
        <v>9.4459277664095205E-5</v>
      </c>
      <c r="U13" s="6">
        <f t="shared" si="4"/>
        <v>1.3710080788477392E-4</v>
      </c>
      <c r="V13" s="6">
        <f t="shared" si="4"/>
        <v>1.9363113082524288E-4</v>
      </c>
      <c r="W13" s="6">
        <f t="shared" si="4"/>
        <v>2.563959746605835E-4</v>
      </c>
      <c r="X13" s="6">
        <f t="shared" si="4"/>
        <v>3.7162142546679031E-4</v>
      </c>
      <c r="Y13" s="6">
        <f t="shared" si="4"/>
        <v>4.7964553962706602E-4</v>
      </c>
      <c r="Z13" s="6">
        <f t="shared" si="4"/>
        <v>6.2086386327762878E-4</v>
      </c>
      <c r="AA13" s="6">
        <f t="shared" si="4"/>
        <v>8.3064894299582446E-4</v>
      </c>
      <c r="AB13" s="6">
        <f t="shared" si="4"/>
        <v>1.0643705676630819E-3</v>
      </c>
      <c r="AC13" s="6">
        <f t="shared" si="4"/>
        <v>1.4357342205699761E-3</v>
      </c>
      <c r="AD13" s="6">
        <f t="shared" si="4"/>
        <v>1.8894090444246327E-3</v>
      </c>
      <c r="AE13" s="6">
        <f t="shared" si="4"/>
        <v>2.5027543359236043E-3</v>
      </c>
      <c r="AF13" s="6">
        <f t="shared" si="4"/>
        <v>3.2686080000000014E-3</v>
      </c>
      <c r="AG13" s="6">
        <f t="shared" si="4"/>
        <v>4.3071870408207171E-3</v>
      </c>
      <c r="AH13" s="6">
        <f t="shared" si="4"/>
        <v>5.5494012491895065E-3</v>
      </c>
      <c r="AI13" s="6">
        <f t="shared" si="4"/>
        <v>6.9806138501297445E-3</v>
      </c>
      <c r="AJ13" s="6">
        <f t="shared" si="4"/>
        <v>9.8883017612523411E-3</v>
      </c>
      <c r="AK13" s="6">
        <f t="shared" si="4"/>
        <v>1.3315953818694751E-2</v>
      </c>
      <c r="AL13" s="6">
        <f t="shared" si="4"/>
        <v>1.7633072348552131E-2</v>
      </c>
      <c r="AM13" s="6">
        <f t="shared" si="4"/>
        <v>2.2393987745065833E-2</v>
      </c>
      <c r="AN13" s="6">
        <f t="shared" si="4"/>
        <v>2.9549131919374024E-2</v>
      </c>
      <c r="AO13" s="6">
        <f t="shared" si="4"/>
        <v>3.7809005169542956E-2</v>
      </c>
      <c r="AP13" s="6">
        <f t="shared" si="4"/>
        <v>4.8375077806294985E-2</v>
      </c>
      <c r="AQ13" s="6">
        <f t="shared" si="4"/>
        <v>6.7909266907667867E-2</v>
      </c>
      <c r="AR13" s="6">
        <f t="shared" si="4"/>
        <v>9.7061359323743532E-2</v>
      </c>
      <c r="AS13" s="6">
        <f t="shared" si="4"/>
        <v>0.13297542054384345</v>
      </c>
      <c r="AT13" s="6">
        <f t="shared" si="4"/>
        <v>0.1788811335794516</v>
      </c>
      <c r="AU13" s="6">
        <f t="shared" si="4"/>
        <v>0.22776973860801825</v>
      </c>
      <c r="AV13" s="6">
        <f t="shared" si="4"/>
        <v>0.30239884908408798</v>
      </c>
      <c r="AW13" s="6">
        <f t="shared" si="4"/>
        <v>0.39548191759737833</v>
      </c>
      <c r="AX13" s="6">
        <f t="shared" si="4"/>
        <v>0.51557467947178981</v>
      </c>
      <c r="AY13" s="6">
        <f t="shared" si="4"/>
        <v>0.65631647047345576</v>
      </c>
      <c r="AZ13" s="6">
        <f t="shared" si="4"/>
        <v>0.85206577821478791</v>
      </c>
      <c r="BA13" s="6">
        <f t="shared" si="4"/>
        <v>1.1304651133105208</v>
      </c>
      <c r="BB13" s="6">
        <f t="shared" si="4"/>
        <v>1.4923617528335051</v>
      </c>
      <c r="BC13" s="6">
        <f t="shared" si="4"/>
        <v>1.971270099535672</v>
      </c>
      <c r="BD13" s="6">
        <f t="shared" si="4"/>
        <v>2.5314410867905703</v>
      </c>
      <c r="BE13" s="6">
        <f t="shared" si="4"/>
        <v>3.3310138210339257</v>
      </c>
      <c r="BF13" s="6">
        <f t="shared" si="4"/>
        <v>4.4679089121817492</v>
      </c>
      <c r="BG13" s="6">
        <f t="shared" si="4"/>
        <v>6.1735323134129239</v>
      </c>
      <c r="BH13" s="6">
        <f t="shared" si="4"/>
        <v>8.3357716372733073</v>
      </c>
      <c r="BI13" s="6">
        <f t="shared" si="4"/>
        <v>11.442061312000005</v>
      </c>
      <c r="BJ13" s="6">
        <f t="shared" si="4"/>
        <v>15.575454184947356</v>
      </c>
      <c r="BK13" s="6">
        <f t="shared" si="4"/>
        <v>24.056284455153232</v>
      </c>
      <c r="BL13" s="6">
        <f t="shared" si="4"/>
        <v>34.830041290370438</v>
      </c>
      <c r="BM13" s="6">
        <f t="shared" si="4"/>
        <v>49.580626982764841</v>
      </c>
      <c r="BN13" s="6">
        <f t="shared" si="4"/>
        <v>90.238429936744296</v>
      </c>
      <c r="BO13" s="6">
        <f t="shared" si="4"/>
        <v>168.94751892320357</v>
      </c>
      <c r="BP13" s="6">
        <f t="shared" ref="BP13:CR13" si="5">BP8*BP11*0.2</f>
        <v>308.65812286314213</v>
      </c>
      <c r="BQ13" s="6">
        <f t="shared" si="5"/>
        <v>466.16391918661395</v>
      </c>
      <c r="BR13" s="6">
        <f t="shared" si="5"/>
        <v>704.04367633563913</v>
      </c>
      <c r="BS13" s="6">
        <f t="shared" si="5"/>
        <v>1063.3115901657186</v>
      </c>
      <c r="BT13" s="6">
        <f t="shared" si="5"/>
        <v>1605.9110759511216</v>
      </c>
      <c r="BU13" s="6">
        <f t="shared" si="5"/>
        <v>2425.3947833490238</v>
      </c>
      <c r="BV13" s="6">
        <f t="shared" si="5"/>
        <v>3663.0545384417674</v>
      </c>
      <c r="BW13" s="6">
        <f t="shared" si="5"/>
        <v>5532.2822674958843</v>
      </c>
      <c r="BX13" s="6">
        <f t="shared" si="5"/>
        <v>8355.3621072398801</v>
      </c>
      <c r="BY13" s="6">
        <f t="shared" si="5"/>
        <v>12619.037237718454</v>
      </c>
      <c r="BZ13" s="6">
        <f t="shared" si="5"/>
        <v>19058.432030006719</v>
      </c>
      <c r="CA13" s="6">
        <f t="shared" si="5"/>
        <v>28783.799001456759</v>
      </c>
      <c r="CB13" s="6">
        <f t="shared" si="5"/>
        <v>43471.943738698581</v>
      </c>
      <c r="CC13" s="6">
        <f t="shared" si="5"/>
        <v>65655.332443258463</v>
      </c>
      <c r="CD13" s="6">
        <f t="shared" si="5"/>
        <v>99158.728768722751</v>
      </c>
      <c r="CE13" s="6">
        <f t="shared" si="5"/>
        <v>149758.64297887241</v>
      </c>
      <c r="CF13" s="6">
        <f t="shared" si="5"/>
        <v>226179.29279008304</v>
      </c>
      <c r="CG13" s="6">
        <f t="shared" si="5"/>
        <v>341596.79514616891</v>
      </c>
      <c r="CH13" s="6">
        <f t="shared" si="5"/>
        <v>515910.93514662329</v>
      </c>
      <c r="CI13" s="6">
        <f t="shared" si="5"/>
        <v>779176.20067240973</v>
      </c>
      <c r="CJ13" s="6">
        <f t="shared" si="5"/>
        <v>1176783.6468163782</v>
      </c>
      <c r="CK13" s="6">
        <f t="shared" si="5"/>
        <v>1777287.0247055665</v>
      </c>
      <c r="CL13" s="6">
        <f t="shared" si="5"/>
        <v>2684222.5218988331</v>
      </c>
      <c r="CM13" s="6">
        <f t="shared" si="5"/>
        <v>4053960.0227276478</v>
      </c>
      <c r="CN13" s="6">
        <f t="shared" si="5"/>
        <v>6122663.7254529968</v>
      </c>
      <c r="CO13" s="6">
        <f t="shared" si="5"/>
        <v>9247010.5488991439</v>
      </c>
      <c r="CP13" s="6">
        <f t="shared" si="5"/>
        <v>13965686.819608185</v>
      </c>
      <c r="CQ13" s="6">
        <f t="shared" si="5"/>
        <v>21092266.231554944</v>
      </c>
      <c r="CR13" s="6">
        <f t="shared" si="5"/>
        <v>31855482.693351306</v>
      </c>
    </row>
    <row r="15" spans="1:98">
      <c r="A15" s="6" t="s">
        <v>1642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202">
        <f>Technology_Roadmap!H85</f>
        <v>116.54097979665349</v>
      </c>
      <c r="BR15" s="202">
        <f>Technology_Roadmap!I85</f>
        <v>120.39138412943414</v>
      </c>
      <c r="BS15" s="202">
        <f>Technology_Roadmap!J85</f>
        <v>124.36900219897734</v>
      </c>
      <c r="BT15" s="202">
        <f>Technology_Roadmap!K85</f>
        <v>128.47803702746521</v>
      </c>
      <c r="BU15" s="202">
        <f>Technology_Roadmap!L85</f>
        <v>132.72283050097874</v>
      </c>
      <c r="BV15" s="202">
        <f>Technology_Roadmap!M85</f>
        <v>137.10786795743024</v>
      </c>
      <c r="BW15" s="202">
        <f>Technology_Roadmap!N85</f>
        <v>141.63778292607694</v>
      </c>
      <c r="BX15" s="202">
        <f>Technology_Roadmap!O85</f>
        <v>146.3173620236235</v>
      </c>
      <c r="BY15" s="202">
        <f>Technology_Roadmap!P85</f>
        <v>151.1515500120874</v>
      </c>
      <c r="BZ15" s="202">
        <f>Technology_Roadmap!Q85</f>
        <v>156.14545502377132</v>
      </c>
      <c r="CA15" s="202">
        <f>Technology_Roadmap!R85</f>
        <v>161.30435395886335</v>
      </c>
      <c r="CB15" s="202">
        <f>Technology_Roadmap!S85</f>
        <v>166.63369806136959</v>
      </c>
      <c r="CC15" s="202">
        <f>Technology_Roadmap!T85</f>
        <v>172.13911867926959</v>
      </c>
      <c r="CD15" s="202">
        <f>Technology_Roadmap!U85</f>
        <v>177.8264332149823</v>
      </c>
      <c r="CE15" s="202">
        <f>Technology_Roadmap!V85</f>
        <v>183.70165127242959</v>
      </c>
      <c r="CF15" s="202">
        <f>Technology_Roadmap!W85</f>
        <v>189.77098100719334</v>
      </c>
      <c r="CG15" s="202">
        <f>Technology_Roadmap!X85</f>
        <v>196.04083568647516</v>
      </c>
      <c r="CH15" s="202">
        <f>Technology_Roadmap!Y85</f>
        <v>202.51784046579164</v>
      </c>
      <c r="CI15" s="202">
        <f>Technology_Roadmap!Z85</f>
        <v>209.2088393895647</v>
      </c>
      <c r="CJ15" s="202">
        <f>Technology_Roadmap!AA85</f>
        <v>216.12090262300535</v>
      </c>
      <c r="CK15" s="202">
        <f>Technology_Roadmap!AB85</f>
        <v>223.26133392293158</v>
      </c>
      <c r="CL15" s="202">
        <f>Technology_Roadmap!AC85</f>
        <v>230.63767835541537</v>
      </c>
      <c r="CM15" s="202">
        <f>Technology_Roadmap!AD85</f>
        <v>238.25773026841352</v>
      </c>
      <c r="CN15" s="202">
        <f>Technology_Roadmap!AE85</f>
        <v>246.12954152780654</v>
      </c>
      <c r="CO15" s="202">
        <f>Technology_Roadmap!AF85</f>
        <v>254.26143002554852</v>
      </c>
      <c r="CP15" s="202">
        <f>Technology_Roadmap!AG85</f>
        <v>262.66198846891848</v>
      </c>
      <c r="CQ15" s="202">
        <f>Technology_Roadmap!AH85</f>
        <v>271.34009346015995</v>
      </c>
      <c r="CR15" s="202">
        <f>Technology_Roadmap!AI85</f>
        <v>280.30491487610374</v>
      </c>
    </row>
    <row r="19" spans="1:96">
      <c r="A19" t="s">
        <v>1637</v>
      </c>
      <c r="B19" s="263" t="s">
        <v>86</v>
      </c>
      <c r="C19" t="s">
        <v>1640</v>
      </c>
    </row>
    <row r="20" spans="1:96">
      <c r="A20" t="s">
        <v>1638</v>
      </c>
      <c r="B20">
        <f>'Use-Case Definitions'!B24</f>
        <v>235</v>
      </c>
      <c r="C20" t="s">
        <v>1639</v>
      </c>
    </row>
    <row r="21" spans="1:96" s="56" customFormat="1">
      <c r="A21" s="56" t="s">
        <v>1643</v>
      </c>
      <c r="BQ21" s="56">
        <f>Technology_Roadmap!H83*$B20*1000000*temp_data!B105</f>
        <v>3338.1958377512688</v>
      </c>
      <c r="BR21" s="56">
        <f>Technology_Roadmap!I83*$B20*1000000*temp_data!C105</f>
        <v>2675.4596189532144</v>
      </c>
      <c r="BS21" s="56">
        <f>Technology_Roadmap!J83*$B20*1000000*temp_data!D105</f>
        <v>1615.5900196339567</v>
      </c>
      <c r="BT21" s="56">
        <f>Technology_Roadmap!K83*$B20*1000000*temp_data!E105</f>
        <v>1298.1460036779588</v>
      </c>
      <c r="BU21" s="56">
        <f>Technology_Roadmap!L83*$B20*1000000*temp_data!F105</f>
        <v>1007.646654949064</v>
      </c>
      <c r="BV21" s="56">
        <f>Technology_Roadmap!M83*$B20*1000000*temp_data!G105</f>
        <v>775.56250084328963</v>
      </c>
      <c r="BW21" s="56">
        <f>Technology_Roadmap!N83*$B20*1000000*temp_data!H105</f>
        <v>607.69544750095758</v>
      </c>
      <c r="BX21" s="56">
        <f>Technology_Roadmap!O83*$B20*1000000*temp_data!I105</f>
        <v>490.90960610795906</v>
      </c>
      <c r="BY21" s="56">
        <f>Technology_Roadmap!P83*$B20*1000000*temp_data!J105</f>
        <v>399.70003221667116</v>
      </c>
      <c r="BZ21" s="56">
        <f>Technology_Roadmap!Q83*$B20*1000000*temp_data!K105</f>
        <v>323.96966010041416</v>
      </c>
      <c r="CA21" s="56">
        <f>Technology_Roadmap!R83*$B20*1000000*temp_data!L105</f>
        <v>264.57919800032283</v>
      </c>
      <c r="CB21" s="56">
        <f>Technology_Roadmap!S83*$B20*1000000*temp_data!M105</f>
        <v>217.76001845300596</v>
      </c>
      <c r="CC21" s="56">
        <f>Technology_Roadmap!T83*$B20*1000000*temp_data!N105</f>
        <v>180.7885675604953</v>
      </c>
      <c r="CD21" s="56">
        <f>Technology_Roadmap!U83*$B20*1000000*temp_data!O105</f>
        <v>150.27496244541643</v>
      </c>
      <c r="CE21" s="56">
        <f>Technology_Roadmap!V83*$B20*1000000*temp_data!P105</f>
        <v>125.76174469440483</v>
      </c>
      <c r="CF21" s="56">
        <f>Technology_Roadmap!W83*$B20*1000000*temp_data!Q105</f>
        <v>105.72280687482697</v>
      </c>
      <c r="CG21" s="56">
        <f>Technology_Roadmap!X83*$B20*1000000*temp_data!R105</f>
        <v>89.331393800589311</v>
      </c>
      <c r="CH21" s="56">
        <f>Technology_Roadmap!Y83*$B20*1000000*temp_data!S105</f>
        <v>75.859090161517969</v>
      </c>
      <c r="CI21" s="56">
        <f>Technology_Roadmap!Z83*$B20*1000000*temp_data!T105</f>
        <v>64.767890936325571</v>
      </c>
      <c r="CJ21" s="56">
        <f>Technology_Roadmap!AA83*$B20*1000000*temp_data!U105</f>
        <v>55.609101453009103</v>
      </c>
      <c r="CK21" s="56">
        <f>Technology_Roadmap!AB83*$B20*1000000*temp_data!V105</f>
        <v>48.027547590173469</v>
      </c>
      <c r="CL21" s="56">
        <f>Technology_Roadmap!AC83*$B20*1000000*temp_data!W105</f>
        <v>41.7398401897903</v>
      </c>
      <c r="CM21" s="56">
        <f>Technology_Roadmap!AD83*$B20*1000000*temp_data!X105</f>
        <v>36.512490510049638</v>
      </c>
      <c r="CN21" s="56">
        <f>Technology_Roadmap!AE83*$B20*1000000*temp_data!Y105</f>
        <v>32.159514642939463</v>
      </c>
      <c r="CO21" s="56">
        <f>Technology_Roadmap!AF83*$B20*1000000*temp_data!Z105</f>
        <v>28.528340629880599</v>
      </c>
      <c r="CP21" s="56">
        <f>Technology_Roadmap!AG83*$B20*1000000*temp_data!AA105</f>
        <v>25.494821688430193</v>
      </c>
      <c r="CQ21" s="56">
        <f>Technology_Roadmap!AH83*$B20*1000000*temp_data!AB105</f>
        <v>22.957360236836113</v>
      </c>
      <c r="CR21" s="56">
        <f>Technology_Roadmap!AI83*$B20*1000000*temp_data!AC105</f>
        <v>20.831827057546114</v>
      </c>
    </row>
    <row r="23" spans="1:96" s="6" customFormat="1">
      <c r="A23" s="6" t="s">
        <v>1641</v>
      </c>
      <c r="BQ23" s="56">
        <f>BQ15/1000</f>
        <v>0.11654097979665348</v>
      </c>
      <c r="BR23" s="56">
        <f t="shared" ref="BR23:CR23" si="6">BR15/1000</f>
        <v>0.12039138412943415</v>
      </c>
      <c r="BS23" s="56">
        <f t="shared" si="6"/>
        <v>0.12436900219897734</v>
      </c>
      <c r="BT23" s="56">
        <f t="shared" si="6"/>
        <v>0.12847803702746521</v>
      </c>
      <c r="BU23" s="56">
        <f t="shared" si="6"/>
        <v>0.13272283050097874</v>
      </c>
      <c r="BV23" s="56">
        <f t="shared" si="6"/>
        <v>0.13710786795743024</v>
      </c>
      <c r="BW23" s="56">
        <f t="shared" si="6"/>
        <v>0.14163778292607693</v>
      </c>
      <c r="BX23" s="56">
        <f t="shared" si="6"/>
        <v>0.1463173620236235</v>
      </c>
      <c r="BY23" s="56">
        <f t="shared" si="6"/>
        <v>0.15115155001208741</v>
      </c>
      <c r="BZ23" s="56">
        <f t="shared" si="6"/>
        <v>0.15614545502377131</v>
      </c>
      <c r="CA23" s="56">
        <f t="shared" si="6"/>
        <v>0.16130435395886333</v>
      </c>
      <c r="CB23" s="56">
        <f t="shared" si="6"/>
        <v>0.16663369806136957</v>
      </c>
      <c r="CC23" s="56">
        <f t="shared" si="6"/>
        <v>0.17213911867926959</v>
      </c>
      <c r="CD23" s="56">
        <f t="shared" si="6"/>
        <v>0.17782643321498232</v>
      </c>
      <c r="CE23" s="56">
        <f t="shared" si="6"/>
        <v>0.1837016512724296</v>
      </c>
      <c r="CF23" s="56">
        <f t="shared" si="6"/>
        <v>0.18977098100719333</v>
      </c>
      <c r="CG23" s="56">
        <f t="shared" si="6"/>
        <v>0.19604083568647515</v>
      </c>
      <c r="CH23" s="56">
        <f t="shared" si="6"/>
        <v>0.20251784046579163</v>
      </c>
      <c r="CI23" s="56">
        <f t="shared" si="6"/>
        <v>0.20920883938956469</v>
      </c>
      <c r="CJ23" s="56">
        <f t="shared" si="6"/>
        <v>0.21612090262300535</v>
      </c>
      <c r="CK23" s="56">
        <f t="shared" si="6"/>
        <v>0.22326133392293157</v>
      </c>
      <c r="CL23" s="56">
        <f t="shared" si="6"/>
        <v>0.23063767835541538</v>
      </c>
      <c r="CM23" s="56">
        <f t="shared" si="6"/>
        <v>0.23825773026841351</v>
      </c>
      <c r="CN23" s="56">
        <f t="shared" si="6"/>
        <v>0.24612954152780653</v>
      </c>
      <c r="CO23" s="56">
        <f t="shared" si="6"/>
        <v>0.25426143002554852</v>
      </c>
      <c r="CP23" s="56">
        <f t="shared" si="6"/>
        <v>0.26266198846891847</v>
      </c>
      <c r="CQ23" s="56">
        <f t="shared" si="6"/>
        <v>0.27134009346015997</v>
      </c>
      <c r="CR23" s="56">
        <f t="shared" si="6"/>
        <v>0.28030491487610376</v>
      </c>
    </row>
    <row r="24" spans="1:96" ht="17" customHeight="1"/>
    <row r="25" spans="1:96" s="6" customFormat="1">
      <c r="A25" s="6" t="s">
        <v>1644</v>
      </c>
      <c r="BQ25" s="56">
        <f>BQ21+BQ23</f>
        <v>3338.3123787310656</v>
      </c>
      <c r="BR25" s="56">
        <f t="shared" ref="BR25:CR25" si="7">BR21+BR23</f>
        <v>2675.580010337344</v>
      </c>
      <c r="BS25" s="56">
        <f t="shared" si="7"/>
        <v>1615.7143886361557</v>
      </c>
      <c r="BT25" s="56">
        <f t="shared" si="7"/>
        <v>1298.2744817149862</v>
      </c>
      <c r="BU25" s="56">
        <f t="shared" si="7"/>
        <v>1007.7793777795649</v>
      </c>
      <c r="BV25" s="56">
        <f t="shared" si="7"/>
        <v>775.69960871124704</v>
      </c>
      <c r="BW25" s="56">
        <f t="shared" si="7"/>
        <v>607.83708528388365</v>
      </c>
      <c r="BX25" s="56">
        <f t="shared" si="7"/>
        <v>491.0559234699827</v>
      </c>
      <c r="BY25" s="56">
        <f t="shared" si="7"/>
        <v>399.85118376668322</v>
      </c>
      <c r="BZ25" s="56">
        <f t="shared" si="7"/>
        <v>324.12580555543792</v>
      </c>
      <c r="CA25" s="56">
        <f t="shared" si="7"/>
        <v>264.74050235428172</v>
      </c>
      <c r="CB25" s="56">
        <f t="shared" si="7"/>
        <v>217.92665215106732</v>
      </c>
      <c r="CC25" s="56">
        <f t="shared" si="7"/>
        <v>180.96070667917456</v>
      </c>
      <c r="CD25" s="56">
        <f t="shared" si="7"/>
        <v>150.45278887863142</v>
      </c>
      <c r="CE25" s="56">
        <f t="shared" si="7"/>
        <v>125.94544634567725</v>
      </c>
      <c r="CF25" s="56">
        <f t="shared" si="7"/>
        <v>105.91257785583417</v>
      </c>
      <c r="CG25" s="56">
        <f t="shared" si="7"/>
        <v>89.527434636275785</v>
      </c>
      <c r="CH25" s="56">
        <f t="shared" si="7"/>
        <v>76.061608001983757</v>
      </c>
      <c r="CI25" s="56">
        <f t="shared" si="7"/>
        <v>64.977099775715132</v>
      </c>
      <c r="CJ25" s="56">
        <f t="shared" si="7"/>
        <v>55.825222355632107</v>
      </c>
      <c r="CK25" s="56">
        <f t="shared" si="7"/>
        <v>48.250808924096404</v>
      </c>
      <c r="CL25" s="56">
        <f t="shared" si="7"/>
        <v>41.970477868145714</v>
      </c>
      <c r="CM25" s="56">
        <f t="shared" si="7"/>
        <v>36.750748240318053</v>
      </c>
      <c r="CN25" s="56">
        <f t="shared" si="7"/>
        <v>32.40564418446727</v>
      </c>
      <c r="CO25" s="56">
        <f t="shared" si="7"/>
        <v>28.782602059906147</v>
      </c>
      <c r="CP25" s="56">
        <f t="shared" si="7"/>
        <v>25.75748367689911</v>
      </c>
      <c r="CQ25" s="56">
        <f t="shared" si="7"/>
        <v>23.228700330296274</v>
      </c>
      <c r="CR25" s="56">
        <f t="shared" si="7"/>
        <v>21.112131972422219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0B3A1-C9DF-2E47-95C3-4E917247BF6A}">
  <sheetPr codeName="Sheet10"/>
  <dimension ref="A1:AC70"/>
  <sheetViews>
    <sheetView topLeftCell="S27" zoomScale="140" zoomScaleNormal="140" workbookViewId="0">
      <selection activeCell="AO23" sqref="AO23"/>
    </sheetView>
  </sheetViews>
  <sheetFormatPr baseColWidth="10" defaultRowHeight="16"/>
  <sheetData>
    <row r="1" spans="1:29" ht="22" thickBot="1">
      <c r="A1" s="4" t="s">
        <v>1652</v>
      </c>
    </row>
    <row r="2" spans="1:29" ht="17" thickTop="1">
      <c r="A2" s="1" t="s">
        <v>51</v>
      </c>
      <c r="B2" s="206">
        <v>2023</v>
      </c>
      <c r="C2" s="206">
        <v>2024</v>
      </c>
      <c r="D2" s="206">
        <v>2025</v>
      </c>
      <c r="E2" s="206">
        <v>2026</v>
      </c>
      <c r="F2" s="206">
        <v>2027</v>
      </c>
      <c r="G2" s="206">
        <v>2028</v>
      </c>
      <c r="H2" s="206">
        <v>2029</v>
      </c>
      <c r="I2" s="206">
        <v>2030</v>
      </c>
      <c r="J2" s="206">
        <v>2031</v>
      </c>
      <c r="K2" s="206">
        <v>2032</v>
      </c>
      <c r="L2" s="206">
        <v>2033</v>
      </c>
      <c r="M2" s="206">
        <v>2034</v>
      </c>
      <c r="N2" s="206">
        <v>2035</v>
      </c>
      <c r="O2" s="206">
        <v>2036</v>
      </c>
      <c r="P2" s="206">
        <v>2037</v>
      </c>
      <c r="Q2" s="206">
        <v>2038</v>
      </c>
      <c r="R2" s="206">
        <v>2039</v>
      </c>
      <c r="S2" s="206">
        <v>2040</v>
      </c>
      <c r="T2" s="206">
        <v>2041</v>
      </c>
      <c r="U2" s="206">
        <v>2042</v>
      </c>
      <c r="V2" s="206">
        <v>2043</v>
      </c>
      <c r="W2" s="206">
        <v>2044</v>
      </c>
      <c r="X2" s="206">
        <v>2045</v>
      </c>
      <c r="Y2" s="206">
        <v>2046</v>
      </c>
      <c r="Z2" s="206">
        <v>2047</v>
      </c>
      <c r="AA2" s="206">
        <v>2048</v>
      </c>
      <c r="AB2" s="206">
        <v>2049</v>
      </c>
      <c r="AC2" s="207">
        <v>2050</v>
      </c>
    </row>
    <row r="3" spans="1:29">
      <c r="A3" t="s">
        <v>1651</v>
      </c>
    </row>
    <row r="4" spans="1:29">
      <c r="A4" s="171" t="s">
        <v>121</v>
      </c>
      <c r="B4" s="47">
        <v>190695.19595110673</v>
      </c>
      <c r="C4" s="47">
        <v>176508.19068046196</v>
      </c>
      <c r="D4" s="47">
        <v>163219.13831016666</v>
      </c>
      <c r="E4" s="47">
        <v>150863.24882602584</v>
      </c>
      <c r="F4" s="47">
        <v>139429.22358889983</v>
      </c>
      <c r="G4" s="47">
        <v>129031.73046988677</v>
      </c>
      <c r="H4" s="47">
        <v>119591.96482277304</v>
      </c>
      <c r="I4" s="47">
        <v>110750.51609963883</v>
      </c>
      <c r="J4" s="47">
        <v>102689.1743376478</v>
      </c>
      <c r="K4" s="47">
        <v>95257.102189530415</v>
      </c>
      <c r="L4" s="47">
        <v>88396.526850947906</v>
      </c>
      <c r="M4" s="47">
        <v>82070.853525955099</v>
      </c>
      <c r="N4" s="47">
        <v>76242.34218722026</v>
      </c>
      <c r="O4" s="47">
        <v>70859.835706620885</v>
      </c>
      <c r="P4" s="47">
        <v>65895.25505197703</v>
      </c>
      <c r="Q4" s="47">
        <v>61314.783491589049</v>
      </c>
      <c r="R4" s="47">
        <v>57078.962031750467</v>
      </c>
      <c r="S4" s="47">
        <v>53169.771265090851</v>
      </c>
      <c r="T4" s="47">
        <v>49553.113733881357</v>
      </c>
      <c r="U4" s="47">
        <v>46210.091536909858</v>
      </c>
      <c r="V4" s="47">
        <v>43116.435721997463</v>
      </c>
      <c r="W4" s="47">
        <v>40254.738639357856</v>
      </c>
      <c r="X4" s="47">
        <v>37604.837603658627</v>
      </c>
      <c r="Y4" s="47">
        <v>35151.215531766778</v>
      </c>
      <c r="Z4" s="47">
        <v>32877.93334072073</v>
      </c>
      <c r="AA4" s="47">
        <v>30771.021476528898</v>
      </c>
      <c r="AB4" s="47">
        <v>28817.739111068338</v>
      </c>
      <c r="AC4" s="47">
        <v>27006.090342058211</v>
      </c>
    </row>
    <row r="5" spans="1:29">
      <c r="A5" s="171" t="s">
        <v>86</v>
      </c>
      <c r="B5" s="47">
        <v>192194.91595110673</v>
      </c>
      <c r="C5" s="47">
        <v>178069.60998791858</v>
      </c>
      <c r="D5" s="47">
        <v>165122.1553536492</v>
      </c>
      <c r="E5" s="47">
        <v>152829.32487236103</v>
      </c>
      <c r="F5" s="47">
        <v>141934.08788434009</v>
      </c>
      <c r="G5" s="47">
        <v>131811.95774784061</v>
      </c>
      <c r="H5" s="47">
        <v>122688.36701595441</v>
      </c>
      <c r="I5" s="47">
        <v>114238.05357909703</v>
      </c>
      <c r="J5" s="47">
        <v>106550.72713378065</v>
      </c>
      <c r="K5" s="47">
        <v>99548.242492018209</v>
      </c>
      <c r="L5" s="47">
        <v>93142.156389210635</v>
      </c>
      <c r="M5" s="47">
        <v>87341.3932947719</v>
      </c>
      <c r="N5" s="47">
        <v>82061.77836863228</v>
      </c>
      <c r="O5" s="47">
        <v>77264.654122031527</v>
      </c>
      <c r="P5" s="47">
        <v>72963.160701142697</v>
      </c>
      <c r="Q5" s="47">
        <v>69086.700864721148</v>
      </c>
      <c r="R5" s="47">
        <v>65637.488653435459</v>
      </c>
      <c r="S5" s="47">
        <v>62591.247490616021</v>
      </c>
      <c r="T5" s="47">
        <v>59924.56377237667</v>
      </c>
      <c r="U5" s="47">
        <v>57624.515220613466</v>
      </c>
      <c r="V5" s="47">
        <v>55685.080353302845</v>
      </c>
      <c r="W5" s="47">
        <v>54097.155465325413</v>
      </c>
      <c r="X5" s="47">
        <v>52854.113207159528</v>
      </c>
      <c r="Y5" s="47">
        <v>51956.344000817764</v>
      </c>
      <c r="Z5" s="47">
        <v>51404.661617353187</v>
      </c>
      <c r="AA5" s="47">
        <v>51203.898760630174</v>
      </c>
      <c r="AB5" s="47">
        <v>51361.822935136937</v>
      </c>
      <c r="AC5" s="47">
        <v>51890.084904469077</v>
      </c>
    </row>
    <row r="6" spans="1:29">
      <c r="A6" s="171" t="s">
        <v>124</v>
      </c>
      <c r="B6" s="47">
        <v>193404.15595110675</v>
      </c>
      <c r="C6" s="47">
        <v>178357.71970879723</v>
      </c>
      <c r="D6" s="47">
        <v>164871.2515858594</v>
      </c>
      <c r="E6" s="47">
        <v>152582.11600963847</v>
      </c>
      <c r="F6" s="47">
        <v>141278.26049800293</v>
      </c>
      <c r="G6" s="47">
        <v>130688.34528007374</v>
      </c>
      <c r="H6" s="47">
        <v>121051.66551864805</v>
      </c>
      <c r="I6" s="47">
        <v>112117.81602621354</v>
      </c>
      <c r="J6" s="47">
        <v>103898.99881934363</v>
      </c>
      <c r="K6" s="47">
        <v>96309.613289918372</v>
      </c>
      <c r="L6" s="47">
        <v>89354.649627493374</v>
      </c>
      <c r="M6" s="47">
        <v>82914.641888292666</v>
      </c>
      <c r="N6" s="47">
        <v>76982.42376021485</v>
      </c>
      <c r="O6" s="47">
        <v>71524.039761246648</v>
      </c>
      <c r="P6" s="47">
        <v>66475.678356372853</v>
      </c>
      <c r="Q6" s="47">
        <v>61810.36117106193</v>
      </c>
      <c r="R6" s="47">
        <v>57509.983808845282</v>
      </c>
      <c r="S6" s="47">
        <v>53535.796446281049</v>
      </c>
      <c r="T6" s="47">
        <v>49862.923092613099</v>
      </c>
      <c r="U6" s="47">
        <v>46470.757011343805</v>
      </c>
      <c r="V6" s="47">
        <v>43330.49600066094</v>
      </c>
      <c r="W6" s="47">
        <v>40426.205350908189</v>
      </c>
      <c r="X6" s="47">
        <v>37739.447008691946</v>
      </c>
      <c r="Y6" s="47">
        <v>35252.549472496976</v>
      </c>
      <c r="Z6" s="47">
        <v>32948.673523128324</v>
      </c>
      <c r="AA6" s="47">
        <v>30815.215786203251</v>
      </c>
      <c r="AB6" s="47">
        <v>28837.016777669927</v>
      </c>
      <c r="AC6" s="47">
        <v>27003.798917901706</v>
      </c>
    </row>
    <row r="7" spans="1:29">
      <c r="A7" s="171" t="s">
        <v>126</v>
      </c>
      <c r="B7" s="47">
        <v>195692.15595110675</v>
      </c>
      <c r="C7" s="47">
        <v>181627.93472189031</v>
      </c>
      <c r="D7" s="47">
        <v>168584.68078549643</v>
      </c>
      <c r="E7" s="47">
        <v>156551.51646449097</v>
      </c>
      <c r="F7" s="47">
        <v>145567.81696245846</v>
      </c>
      <c r="G7" s="47">
        <v>135594.53739404029</v>
      </c>
      <c r="H7" s="47">
        <v>126286.78169044961</v>
      </c>
      <c r="I7" s="47">
        <v>117759.6897834666</v>
      </c>
      <c r="J7" s="47">
        <v>109868.38314613674</v>
      </c>
      <c r="K7" s="47">
        <v>102641.08944886693</v>
      </c>
      <c r="L7" s="47">
        <v>95955.613556518452</v>
      </c>
      <c r="M7" s="47">
        <v>89790.450619772077</v>
      </c>
      <c r="N7" s="47">
        <v>84111.123884271423</v>
      </c>
      <c r="O7" s="47">
        <v>78862.886919915531</v>
      </c>
      <c r="P7" s="47">
        <v>74024.186375594087</v>
      </c>
      <c r="Q7" s="47">
        <v>69551.400432191309</v>
      </c>
      <c r="R7" s="47">
        <v>65420.749182450396</v>
      </c>
      <c r="S7" s="47">
        <v>61601.642437898365</v>
      </c>
      <c r="T7" s="47">
        <v>58073.059948689872</v>
      </c>
      <c r="U7" s="47">
        <v>54808.247469801747</v>
      </c>
      <c r="V7" s="47">
        <v>51788.151359698386</v>
      </c>
      <c r="W7" s="47">
        <v>48992.759013509072</v>
      </c>
      <c r="X7" s="47">
        <v>46405.302755827805</v>
      </c>
      <c r="Y7" s="47">
        <v>44008.859958545967</v>
      </c>
      <c r="Z7" s="47">
        <v>41788.603472483766</v>
      </c>
      <c r="AA7" s="47">
        <v>39731.13631196737</v>
      </c>
      <c r="AB7" s="47">
        <v>37823.60305504351</v>
      </c>
      <c r="AC7" s="47">
        <v>36054.635801720506</v>
      </c>
    </row>
    <row r="8" spans="1:29">
      <c r="A8" s="171" t="s">
        <v>614</v>
      </c>
      <c r="B8" s="47"/>
      <c r="C8" s="47"/>
      <c r="D8" s="47"/>
      <c r="E8" s="47"/>
      <c r="F8" s="47"/>
      <c r="G8" s="47"/>
      <c r="H8" s="47"/>
      <c r="I8" s="47">
        <v>118802.66191772211</v>
      </c>
      <c r="J8" s="47">
        <v>111578.31897012476</v>
      </c>
      <c r="K8" s="47">
        <v>105084.07139467876</v>
      </c>
      <c r="L8" s="47">
        <v>99331.836384841881</v>
      </c>
      <c r="M8" s="47">
        <v>94257.755094573426</v>
      </c>
      <c r="N8" s="47">
        <v>89834.586823931924</v>
      </c>
      <c r="O8" s="47">
        <v>86045.351567900012</v>
      </c>
      <c r="P8" s="47">
        <v>82892.310838987818</v>
      </c>
      <c r="Q8" s="47">
        <v>80350.729100931436</v>
      </c>
      <c r="R8" s="47">
        <v>78432.384994616164</v>
      </c>
      <c r="S8" s="47">
        <v>77136.993992924457</v>
      </c>
      <c r="T8" s="47">
        <v>76479.282007439237</v>
      </c>
      <c r="U8" s="47">
        <v>76477.997581547621</v>
      </c>
      <c r="V8" s="47">
        <v>77157.530810381708</v>
      </c>
      <c r="W8" s="47">
        <v>78553.611276498734</v>
      </c>
      <c r="X8" s="47">
        <v>80706.70080697909</v>
      </c>
      <c r="Y8" s="47">
        <v>83668.483123547121</v>
      </c>
      <c r="Z8" s="47">
        <v>87499.048501099489</v>
      </c>
      <c r="AA8" s="47">
        <v>92269.357174675766</v>
      </c>
      <c r="AB8" s="47">
        <v>98062.159305855079</v>
      </c>
      <c r="AC8" s="47">
        <v>104972.68829022434</v>
      </c>
    </row>
    <row r="10" spans="1:29">
      <c r="A10" s="171" t="s">
        <v>1653</v>
      </c>
    </row>
    <row r="11" spans="1:29">
      <c r="A11" s="171" t="s">
        <v>121</v>
      </c>
      <c r="B11" s="47">
        <v>191739.56945110671</v>
      </c>
      <c r="C11" s="47">
        <v>176559.66748150048</v>
      </c>
      <c r="D11" s="47">
        <v>162918.82189045718</v>
      </c>
      <c r="E11" s="47">
        <v>150415.9377877232</v>
      </c>
      <c r="F11" s="47">
        <v>138924.74847582961</v>
      </c>
      <c r="G11" s="47">
        <v>128426.61662905525</v>
      </c>
      <c r="H11" s="47">
        <v>118803.91145753568</v>
      </c>
      <c r="I11" s="47">
        <v>109957.40070997895</v>
      </c>
      <c r="J11" s="47">
        <v>101286.56436931445</v>
      </c>
      <c r="K11" s="47">
        <v>93862.26264220677</v>
      </c>
      <c r="L11" s="47">
        <v>87037.730513695918</v>
      </c>
      <c r="M11" s="47">
        <v>80747.309295854633</v>
      </c>
      <c r="N11" s="47">
        <v>74960.989527813479</v>
      </c>
      <c r="O11" s="47">
        <v>69630.398946866437</v>
      </c>
      <c r="P11" s="47">
        <v>64714.989776300732</v>
      </c>
      <c r="Q11" s="47">
        <v>60182.454564731393</v>
      </c>
      <c r="R11" s="47">
        <v>56000.909012921868</v>
      </c>
      <c r="S11" s="47">
        <v>52141.185853683492</v>
      </c>
      <c r="T11" s="47">
        <v>48576.479963358215</v>
      </c>
      <c r="U11" s="47">
        <v>45283.140516096093</v>
      </c>
      <c r="V11" s="47">
        <v>42239.476105570058</v>
      </c>
      <c r="W11" s="47">
        <v>39424.919004843345</v>
      </c>
      <c r="X11" s="47">
        <v>36821.337206223703</v>
      </c>
      <c r="Y11" s="47">
        <v>34411.728508138891</v>
      </c>
      <c r="Z11" s="47">
        <v>32180.875932524308</v>
      </c>
      <c r="AA11" s="47">
        <v>30114.524110042199</v>
      </c>
      <c r="AB11" s="47">
        <v>28199.791755959377</v>
      </c>
      <c r="AC11" s="47">
        <v>26424.866975605291</v>
      </c>
    </row>
    <row r="12" spans="1:29">
      <c r="A12" s="171" t="s">
        <v>86</v>
      </c>
      <c r="B12" s="47">
        <v>191739.56945110671</v>
      </c>
      <c r="C12" s="47">
        <v>176695.80487285514</v>
      </c>
      <c r="D12" s="47">
        <v>163493.59613414254</v>
      </c>
      <c r="E12" s="47">
        <v>151331.32332544547</v>
      </c>
      <c r="F12" s="47">
        <v>140281.08872022899</v>
      </c>
      <c r="G12" s="47">
        <v>130164.64417198839</v>
      </c>
      <c r="H12" s="47">
        <v>120924.98524176382</v>
      </c>
      <c r="I12" s="47">
        <v>112533.42444649606</v>
      </c>
      <c r="J12" s="47">
        <v>104342.00794575666</v>
      </c>
      <c r="K12" s="47">
        <v>97409.758922971872</v>
      </c>
      <c r="L12" s="47">
        <v>91097.880229765156</v>
      </c>
      <c r="M12" s="47">
        <v>85362.784715390095</v>
      </c>
      <c r="N12" s="47">
        <v>80173.305708328</v>
      </c>
      <c r="O12" s="47">
        <v>75483.609174448356</v>
      </c>
      <c r="P12" s="47">
        <v>71266.791767250077</v>
      </c>
      <c r="Q12" s="47">
        <v>67490.92231707192</v>
      </c>
      <c r="R12" s="47">
        <v>64131.696377986751</v>
      </c>
      <c r="S12" s="47">
        <v>61170.251579609801</v>
      </c>
      <c r="T12" s="47">
        <v>58589.547801599641</v>
      </c>
      <c r="U12" s="47">
        <v>56375.208984446872</v>
      </c>
      <c r="V12" s="47">
        <v>54515.884578569006</v>
      </c>
      <c r="W12" s="47">
        <v>53004.551079033045</v>
      </c>
      <c r="X12" s="47">
        <v>51836.660202128958</v>
      </c>
      <c r="Y12" s="47">
        <v>51010.13560190241</v>
      </c>
      <c r="Z12" s="47">
        <v>50526.882713752348</v>
      </c>
      <c r="AA12" s="47">
        <v>50391.696430354707</v>
      </c>
      <c r="AB12" s="47">
        <v>50612.647757818486</v>
      </c>
      <c r="AC12" s="47">
        <v>51201.089313941302</v>
      </c>
    </row>
    <row r="13" spans="1:29">
      <c r="A13" s="171" t="s">
        <v>124</v>
      </c>
      <c r="B13" s="47">
        <v>191739.56945110671</v>
      </c>
      <c r="C13" s="47">
        <v>176806.29827975581</v>
      </c>
      <c r="D13" s="47">
        <v>163511.96847731055</v>
      </c>
      <c r="E13" s="47">
        <v>151220.07933722035</v>
      </c>
      <c r="F13" s="47">
        <v>139843.69282613089</v>
      </c>
      <c r="G13" s="47">
        <v>129423.90060995537</v>
      </c>
      <c r="H13" s="47">
        <v>119794.48967217538</v>
      </c>
      <c r="I13" s="47">
        <v>110924.75130461631</v>
      </c>
      <c r="J13" s="47">
        <v>102227.93718664054</v>
      </c>
      <c r="K13" s="47">
        <v>94741.038574320788</v>
      </c>
      <c r="L13" s="47">
        <v>87850.380124970674</v>
      </c>
      <c r="M13" s="47">
        <v>81489.421102838882</v>
      </c>
      <c r="N13" s="47">
        <v>75635.414214997727</v>
      </c>
      <c r="O13" s="47">
        <v>70231.047506023024</v>
      </c>
      <c r="P13" s="47">
        <v>65248.157987094062</v>
      </c>
      <c r="Q13" s="47">
        <v>60652.017424070786</v>
      </c>
      <c r="R13" s="47">
        <v>56410.889184249128</v>
      </c>
      <c r="S13" s="47">
        <v>52493.966548237666</v>
      </c>
      <c r="T13" s="47">
        <v>48877.240990543083</v>
      </c>
      <c r="U13" s="47">
        <v>45536.577495170823</v>
      </c>
      <c r="V13" s="47">
        <v>42448.618713113872</v>
      </c>
      <c r="W13" s="47">
        <v>39594.409081812453</v>
      </c>
      <c r="X13" s="47">
        <v>36954.399527357338</v>
      </c>
      <c r="Y13" s="47">
        <v>34512.082067074953</v>
      </c>
      <c r="Z13" s="47">
        <v>32251.487428942262</v>
      </c>
      <c r="AA13" s="47">
        <v>30158.250801422662</v>
      </c>
      <c r="AB13" s="47">
        <v>28219.306801947328</v>
      </c>
      <c r="AC13" s="47">
        <v>26422.592365817298</v>
      </c>
    </row>
    <row r="14" spans="1:29">
      <c r="A14" s="171" t="s">
        <v>126</v>
      </c>
      <c r="B14" s="47">
        <v>191739.56945110671</v>
      </c>
      <c r="C14" s="47">
        <v>177111.25623108185</v>
      </c>
      <c r="D14" s="47">
        <v>164494.02319493936</v>
      </c>
      <c r="E14" s="47">
        <v>152896.17942282715</v>
      </c>
      <c r="F14" s="47">
        <v>142212.35703008008</v>
      </c>
      <c r="G14" s="47">
        <v>132407.8014142504</v>
      </c>
      <c r="H14" s="47">
        <v>123400.6091805709</v>
      </c>
      <c r="I14" s="47">
        <v>115085.52534472707</v>
      </c>
      <c r="J14" s="47">
        <v>106937.5563300627</v>
      </c>
      <c r="K14" s="47">
        <v>99932.208022568666</v>
      </c>
      <c r="L14" s="47">
        <v>93471.798534939662</v>
      </c>
      <c r="M14" s="47">
        <v>87511.588877929462</v>
      </c>
      <c r="N14" s="47">
        <v>82015.601637510292</v>
      </c>
      <c r="O14" s="47">
        <v>76940.315769190231</v>
      </c>
      <c r="P14" s="47">
        <v>72252.81269975919</v>
      </c>
      <c r="Q14" s="47">
        <v>67923.281519947661</v>
      </c>
      <c r="R14" s="47">
        <v>63921.976147642272</v>
      </c>
      <c r="S14" s="47">
        <v>60222.957480417259</v>
      </c>
      <c r="T14" s="47">
        <v>56802.11904851388</v>
      </c>
      <c r="U14" s="47">
        <v>53637.40887995642</v>
      </c>
      <c r="V14" s="47">
        <v>50708.463145223228</v>
      </c>
      <c r="W14" s="47">
        <v>47997.147023381636</v>
      </c>
      <c r="X14" s="47">
        <v>45486.292425609827</v>
      </c>
      <c r="Y14" s="47">
        <v>43160.179956148619</v>
      </c>
      <c r="Z14" s="47">
        <v>41004.591774721237</v>
      </c>
      <c r="AA14" s="47">
        <v>39006.300008365593</v>
      </c>
      <c r="AB14" s="47">
        <v>37153.233507061988</v>
      </c>
      <c r="AC14" s="47">
        <v>35434.232378784363</v>
      </c>
    </row>
    <row r="15" spans="1:29">
      <c r="A15" s="171" t="s">
        <v>614</v>
      </c>
      <c r="B15" s="47"/>
      <c r="C15" s="47"/>
      <c r="D15" s="47"/>
      <c r="E15" s="47"/>
      <c r="F15" s="47"/>
      <c r="G15" s="47"/>
      <c r="H15" s="47"/>
      <c r="I15" s="47">
        <v>115854.87581383303</v>
      </c>
      <c r="J15" s="47">
        <v>108252.48662420773</v>
      </c>
      <c r="K15" s="47">
        <v>101947.78184362091</v>
      </c>
      <c r="L15" s="47">
        <v>96347.563554639928</v>
      </c>
      <c r="M15" s="47">
        <v>91417.638680510863</v>
      </c>
      <c r="N15" s="47">
        <v>87142.655690087791</v>
      </c>
      <c r="O15" s="47">
        <v>83500.11239610854</v>
      </c>
      <c r="P15" s="47">
        <v>80477.873526261363</v>
      </c>
      <c r="Q15" s="47">
        <v>78071.842831254442</v>
      </c>
      <c r="R15" s="47">
        <v>76281.297454235144</v>
      </c>
      <c r="S15" s="47">
        <v>75110.95955200454</v>
      </c>
      <c r="T15" s="47">
        <v>74574.725663945675</v>
      </c>
      <c r="U15" s="47">
        <v>74691.483672738686</v>
      </c>
      <c r="V15" s="47">
        <v>75487.294556916197</v>
      </c>
      <c r="W15" s="47">
        <v>76996.296611058628</v>
      </c>
      <c r="X15" s="47">
        <v>79260.608830772791</v>
      </c>
      <c r="Y15" s="47">
        <v>82331.127751321415</v>
      </c>
      <c r="Z15" s="47">
        <v>86268.628907540318</v>
      </c>
      <c r="AA15" s="47">
        <v>91144.254144022954</v>
      </c>
      <c r="AB15" s="47">
        <v>97040.829671174622</v>
      </c>
      <c r="AC15" s="47">
        <v>104053.9522499155</v>
      </c>
    </row>
    <row r="17" spans="1:29">
      <c r="A17" s="171" t="s">
        <v>1654</v>
      </c>
    </row>
    <row r="18" spans="1:29">
      <c r="A18" s="171" t="s">
        <v>121</v>
      </c>
      <c r="B18" s="47">
        <v>139261147.99362195</v>
      </c>
      <c r="C18" s="47">
        <v>118186735.90864664</v>
      </c>
      <c r="D18" s="47">
        <v>101725506.11241123</v>
      </c>
      <c r="E18" s="47">
        <v>88633915.813696012</v>
      </c>
      <c r="F18" s="47">
        <v>78012645.733266577</v>
      </c>
      <c r="G18" s="47">
        <v>69226171.261954978</v>
      </c>
      <c r="H18" s="47">
        <v>61847256.14927841</v>
      </c>
      <c r="I18" s="47">
        <v>55548320.709342293</v>
      </c>
      <c r="J18" s="47">
        <v>50095658.321741305</v>
      </c>
      <c r="K18" s="47">
        <v>45328322.594814584</v>
      </c>
      <c r="L18" s="47">
        <v>41120846.821386546</v>
      </c>
      <c r="M18" s="47">
        <v>37377064.435499191</v>
      </c>
      <c r="N18" s="47">
        <v>34021047.126275137</v>
      </c>
      <c r="O18" s="47">
        <v>31007903.930510998</v>
      </c>
      <c r="P18" s="47">
        <v>28288155.57370862</v>
      </c>
      <c r="Q18" s="47">
        <v>25826188.9518442</v>
      </c>
      <c r="R18" s="47">
        <v>23592277.379470389</v>
      </c>
      <c r="S18" s="47">
        <v>21561646.081000172</v>
      </c>
      <c r="T18" s="47">
        <v>19709512.412150223</v>
      </c>
      <c r="U18" s="47">
        <v>18025854.74549954</v>
      </c>
      <c r="V18" s="47">
        <v>16490529.841780931</v>
      </c>
      <c r="W18" s="47">
        <v>15089566.896681758</v>
      </c>
      <c r="X18" s="47">
        <v>13810616.476889506</v>
      </c>
      <c r="Y18" s="47">
        <v>12642524.441819524</v>
      </c>
      <c r="Z18" s="47">
        <v>11575339.994407436</v>
      </c>
      <c r="AA18" s="47">
        <v>10600090.981050676</v>
      </c>
      <c r="AB18" s="47">
        <v>9708650.088131763</v>
      </c>
      <c r="AC18" s="47">
        <v>8893651.4848043565</v>
      </c>
    </row>
    <row r="19" spans="1:29">
      <c r="A19" s="171" t="s">
        <v>86</v>
      </c>
      <c r="B19" s="47">
        <v>139261147.99362195</v>
      </c>
      <c r="C19" s="47">
        <v>118186735.90864664</v>
      </c>
      <c r="D19" s="47">
        <v>101725506.11241123</v>
      </c>
      <c r="E19" s="47">
        <v>88633915.813696012</v>
      </c>
      <c r="F19" s="47">
        <v>78012645.733266577</v>
      </c>
      <c r="G19" s="47">
        <v>69235985.344208062</v>
      </c>
      <c r="H19" s="47">
        <v>61854654.881786026</v>
      </c>
      <c r="I19" s="47">
        <v>55559479.691367939</v>
      </c>
      <c r="J19" s="47">
        <v>50109044.7905204</v>
      </c>
      <c r="K19" s="47">
        <v>45344985.254558429</v>
      </c>
      <c r="L19" s="47">
        <v>41139101.165886514</v>
      </c>
      <c r="M19" s="47">
        <v>37398945.429084361</v>
      </c>
      <c r="N19" s="47">
        <v>34045750.228056185</v>
      </c>
      <c r="O19" s="47">
        <v>31036019.769110706</v>
      </c>
      <c r="P19" s="47">
        <v>28320176.120985724</v>
      </c>
      <c r="Q19" s="47">
        <v>25862247.984782428</v>
      </c>
      <c r="R19" s="47">
        <v>23632282.825979363</v>
      </c>
      <c r="S19" s="47">
        <v>21606462.830525756</v>
      </c>
      <c r="T19" s="47">
        <v>19759187.173216261</v>
      </c>
      <c r="U19" s="47">
        <v>18081091.377369512</v>
      </c>
      <c r="V19" s="47">
        <v>16551578.516091144</v>
      </c>
      <c r="W19" s="47">
        <v>15157064.86343956</v>
      </c>
      <c r="X19" s="47">
        <v>13885145.521922937</v>
      </c>
      <c r="Y19" s="47">
        <v>12724601.576248966</v>
      </c>
      <c r="Z19" s="47">
        <v>11665750.05031299</v>
      </c>
      <c r="AA19" s="47">
        <v>10699548.463864047</v>
      </c>
      <c r="AB19" s="47">
        <v>9817988.7049884442</v>
      </c>
      <c r="AC19" s="47">
        <v>9013762.7657309901</v>
      </c>
    </row>
    <row r="20" spans="1:29">
      <c r="A20" s="171" t="s">
        <v>124</v>
      </c>
      <c r="B20" s="47">
        <v>139261147.99362195</v>
      </c>
      <c r="C20" s="47">
        <v>118186735.90864664</v>
      </c>
      <c r="D20" s="47">
        <v>101725506.11241123</v>
      </c>
      <c r="E20" s="47">
        <v>88633915.813696012</v>
      </c>
      <c r="F20" s="47">
        <v>78012645.733266577</v>
      </c>
      <c r="G20" s="47">
        <v>69226171.261954978</v>
      </c>
      <c r="H20" s="47">
        <v>61853414.47697293</v>
      </c>
      <c r="I20" s="47">
        <v>55553112.115309335</v>
      </c>
      <c r="J20" s="47">
        <v>50099670.451576442</v>
      </c>
      <c r="K20" s="47">
        <v>45331743.451203741</v>
      </c>
      <c r="L20" s="47">
        <v>41124325.914966531</v>
      </c>
      <c r="M20" s="47">
        <v>37380680.760614283</v>
      </c>
      <c r="N20" s="47">
        <v>34023951.086120553</v>
      </c>
      <c r="O20" s="47">
        <v>31011563.289543454</v>
      </c>
      <c r="P20" s="47">
        <v>28291880.534733821</v>
      </c>
      <c r="Q20" s="47">
        <v>25830073.10835984</v>
      </c>
      <c r="R20" s="47">
        <v>23595909.416617244</v>
      </c>
      <c r="S20" s="47">
        <v>21565293.71692834</v>
      </c>
      <c r="T20" s="47">
        <v>19713351.851765808</v>
      </c>
      <c r="U20" s="47">
        <v>18029449.173199732</v>
      </c>
      <c r="V20" s="47">
        <v>16494033.489446899</v>
      </c>
      <c r="W20" s="47">
        <v>15093155.001539512</v>
      </c>
      <c r="X20" s="47">
        <v>13814126.040135929</v>
      </c>
      <c r="Y20" s="47">
        <v>12645946.081455957</v>
      </c>
      <c r="Z20" s="47">
        <v>11578752.819651499</v>
      </c>
      <c r="AA20" s="47">
        <v>10603402.768611804</v>
      </c>
      <c r="AB20" s="47">
        <v>9711896.7523940057</v>
      </c>
      <c r="AC20" s="47">
        <v>8896864.9959486723</v>
      </c>
    </row>
    <row r="21" spans="1:29">
      <c r="A21" s="171" t="s">
        <v>126</v>
      </c>
      <c r="B21" s="47">
        <v>139261147.99362195</v>
      </c>
      <c r="C21" s="47">
        <v>118186735.90864664</v>
      </c>
      <c r="D21" s="47">
        <v>101725506.11241123</v>
      </c>
      <c r="E21" s="47">
        <v>88633915.813696012</v>
      </c>
      <c r="F21" s="47">
        <v>78016480.38804096</v>
      </c>
      <c r="G21" s="47">
        <v>69231511.435735598</v>
      </c>
      <c r="H21" s="47">
        <v>61854693.80844935</v>
      </c>
      <c r="I21" s="47">
        <v>55556090.880226672</v>
      </c>
      <c r="J21" s="47">
        <v>50101230.282798044</v>
      </c>
      <c r="K21" s="47">
        <v>45335985.820611589</v>
      </c>
      <c r="L21" s="47">
        <v>41127600.272012636</v>
      </c>
      <c r="M21" s="47">
        <v>37384292.196107946</v>
      </c>
      <c r="N21" s="47">
        <v>34027902.144843742</v>
      </c>
      <c r="O21" s="47">
        <v>31014997.008679416</v>
      </c>
      <c r="P21" s="47">
        <v>28295370.632623881</v>
      </c>
      <c r="Q21" s="47">
        <v>25833357.750871029</v>
      </c>
      <c r="R21" s="47">
        <v>23599411.18745441</v>
      </c>
      <c r="S21" s="47">
        <v>21568843.06481199</v>
      </c>
      <c r="T21" s="47">
        <v>19716670.940421712</v>
      </c>
      <c r="U21" s="47">
        <v>18032966.694468021</v>
      </c>
      <c r="V21" s="47">
        <v>16497621.87508947</v>
      </c>
      <c r="W21" s="47">
        <v>15096653.398189213</v>
      </c>
      <c r="X21" s="47">
        <v>13817662.613398939</v>
      </c>
      <c r="Y21" s="47">
        <v>12649536.356248282</v>
      </c>
      <c r="Z21" s="47">
        <v>11582326.198865769</v>
      </c>
      <c r="AA21" s="47">
        <v>10607041.705250636</v>
      </c>
      <c r="AB21" s="47">
        <v>9715560.2391387373</v>
      </c>
      <c r="AC21" s="47">
        <v>8900521.6293645073</v>
      </c>
    </row>
    <row r="22" spans="1:29">
      <c r="A22" s="171" t="s">
        <v>614</v>
      </c>
      <c r="B22" s="47"/>
      <c r="C22" s="47"/>
      <c r="D22" s="47"/>
      <c r="E22" s="47"/>
      <c r="F22" s="47"/>
      <c r="G22" s="47"/>
      <c r="H22" s="47"/>
      <c r="I22" s="47">
        <v>55693904.523635507</v>
      </c>
      <c r="J22" s="47">
        <v>50241852.621254653</v>
      </c>
      <c r="K22" s="47">
        <v>45482865.315209568</v>
      </c>
      <c r="L22" s="47">
        <v>41282731.323197067</v>
      </c>
      <c r="M22" s="47">
        <v>37545924.705652535</v>
      </c>
      <c r="N22" s="47">
        <v>34192963.35897214</v>
      </c>
      <c r="O22" s="47">
        <v>31181140.873128563</v>
      </c>
      <c r="P22" s="47">
        <v>28461813.402449787</v>
      </c>
      <c r="Q22" s="47">
        <v>25999702.44453897</v>
      </c>
      <c r="R22" s="47">
        <v>23765084.688919716</v>
      </c>
      <c r="S22" s="47">
        <v>21733914.353492074</v>
      </c>
      <c r="T22" s="47">
        <v>19881361.429006238</v>
      </c>
      <c r="U22" s="47">
        <v>18196819.500022989</v>
      </c>
      <c r="V22" s="47">
        <v>16660570.962537736</v>
      </c>
      <c r="W22" s="47">
        <v>15258779.716509227</v>
      </c>
      <c r="X22" s="47">
        <v>13979102.292050393</v>
      </c>
      <c r="Y22" s="47">
        <v>12810442.927549912</v>
      </c>
      <c r="Z22" s="47">
        <v>11742908.366444409</v>
      </c>
      <c r="AA22" s="47">
        <v>10767559.080159394</v>
      </c>
      <c r="AB22" s="47">
        <v>9876319.5949022379</v>
      </c>
      <c r="AC22" s="47">
        <v>9061873.6496768519</v>
      </c>
    </row>
    <row r="24" spans="1:29" ht="22" thickBot="1">
      <c r="A24" s="4" t="s">
        <v>1655</v>
      </c>
    </row>
    <row r="25" spans="1:29" ht="17" thickTop="1">
      <c r="A25" s="1" t="s">
        <v>51</v>
      </c>
      <c r="B25" s="206">
        <v>2023</v>
      </c>
      <c r="C25" s="206">
        <v>2024</v>
      </c>
      <c r="D25" s="206">
        <v>2025</v>
      </c>
      <c r="E25" s="206">
        <v>2026</v>
      </c>
      <c r="F25" s="206">
        <v>2027</v>
      </c>
      <c r="G25" s="206">
        <v>2028</v>
      </c>
      <c r="H25" s="206">
        <v>2029</v>
      </c>
      <c r="I25" s="206">
        <v>2030</v>
      </c>
      <c r="J25" s="206">
        <v>2031</v>
      </c>
      <c r="K25" s="206">
        <v>2032</v>
      </c>
      <c r="L25" s="206">
        <v>2033</v>
      </c>
      <c r="M25" s="206">
        <v>2034</v>
      </c>
      <c r="N25" s="206">
        <v>2035</v>
      </c>
      <c r="O25" s="206">
        <v>2036</v>
      </c>
      <c r="P25" s="206">
        <v>2037</v>
      </c>
      <c r="Q25" s="206">
        <v>2038</v>
      </c>
      <c r="R25" s="206">
        <v>2039</v>
      </c>
      <c r="S25" s="206">
        <v>2040</v>
      </c>
      <c r="T25" s="206">
        <v>2041</v>
      </c>
      <c r="U25" s="206">
        <v>2042</v>
      </c>
      <c r="V25" s="206">
        <v>2043</v>
      </c>
      <c r="W25" s="206">
        <v>2044</v>
      </c>
      <c r="X25" s="206">
        <v>2045</v>
      </c>
      <c r="Y25" s="206">
        <v>2046</v>
      </c>
      <c r="Z25" s="206">
        <v>2047</v>
      </c>
      <c r="AA25" s="206">
        <v>2048</v>
      </c>
      <c r="AB25" s="206">
        <v>2049</v>
      </c>
      <c r="AC25" s="207">
        <v>2050</v>
      </c>
    </row>
    <row r="26" spans="1:29">
      <c r="A26" t="s">
        <v>1651</v>
      </c>
    </row>
    <row r="27" spans="1:29">
      <c r="A27" s="171" t="s">
        <v>121</v>
      </c>
      <c r="B27" s="176"/>
      <c r="C27" s="176">
        <v>50</v>
      </c>
      <c r="D27" s="176">
        <v>25</v>
      </c>
      <c r="E27" s="176">
        <v>16.666666666666668</v>
      </c>
      <c r="F27" s="176">
        <v>12.5</v>
      </c>
      <c r="G27" s="176">
        <v>8.3333333333333339</v>
      </c>
      <c r="H27" s="176">
        <v>5</v>
      </c>
      <c r="I27" s="176">
        <v>3.5714285714285716</v>
      </c>
      <c r="J27" s="176">
        <v>2.3809523809523809</v>
      </c>
      <c r="K27" s="176">
        <v>1.6129032258064515</v>
      </c>
      <c r="L27" s="176">
        <v>1.1111111111111112</v>
      </c>
      <c r="M27" s="176">
        <v>0.76923076923076927</v>
      </c>
      <c r="N27" s="176">
        <v>0.53191489361702127</v>
      </c>
      <c r="O27" s="176">
        <v>0.37037037037037035</v>
      </c>
      <c r="P27" s="176">
        <v>0.25773195876288657</v>
      </c>
      <c r="Q27" s="176">
        <v>0.17921146953405018</v>
      </c>
      <c r="R27" s="176">
        <v>0.12531328320802004</v>
      </c>
      <c r="S27" s="176">
        <v>8.7412587412587409E-2</v>
      </c>
      <c r="T27" s="176">
        <v>6.1199510403916767E-2</v>
      </c>
      <c r="U27" s="176">
        <v>4.2844901456726647E-2</v>
      </c>
      <c r="V27" s="176">
        <v>3.0048076923076924E-2</v>
      </c>
      <c r="W27" s="176">
        <v>2.1070375052675939E-2</v>
      </c>
      <c r="X27" s="176">
        <v>1.4792899408284023E-2</v>
      </c>
      <c r="Y27" s="176">
        <v>1.0388531061707874E-2</v>
      </c>
      <c r="Z27" s="176">
        <v>7.3003358154475105E-3</v>
      </c>
      <c r="AA27" s="176">
        <v>5.1329432296478798E-3</v>
      </c>
      <c r="AB27" s="176">
        <v>3.6103689797097262E-3</v>
      </c>
      <c r="AC27" s="176">
        <v>2.5405213149738326E-3</v>
      </c>
    </row>
    <row r="28" spans="1:29">
      <c r="A28" s="171" t="s">
        <v>86</v>
      </c>
      <c r="B28" s="176">
        <v>25</v>
      </c>
      <c r="C28" s="176">
        <v>12.5</v>
      </c>
      <c r="D28" s="176">
        <v>7.1428571428571432</v>
      </c>
      <c r="E28" s="176">
        <v>5</v>
      </c>
      <c r="F28" s="176">
        <v>3.125</v>
      </c>
      <c r="G28" s="176">
        <v>2.0833333333333335</v>
      </c>
      <c r="H28" s="176">
        <v>1.3513513513513513</v>
      </c>
      <c r="I28" s="176">
        <v>0.90909090909090906</v>
      </c>
      <c r="J28" s="176">
        <v>0.6097560975609756</v>
      </c>
      <c r="K28" s="176">
        <v>0.4098360655737705</v>
      </c>
      <c r="L28" s="176">
        <v>0.27777777777777779</v>
      </c>
      <c r="M28" s="176">
        <v>0.18796992481203006</v>
      </c>
      <c r="N28" s="176">
        <v>0.12787723785166241</v>
      </c>
      <c r="O28" s="176">
        <v>8.7412587412587409E-2</v>
      </c>
      <c r="P28" s="176">
        <v>5.9665871121718374E-2</v>
      </c>
      <c r="Q28" s="176">
        <v>4.0883074407195422E-2</v>
      </c>
      <c r="R28" s="176">
        <v>2.8026905829596414E-2</v>
      </c>
      <c r="S28" s="176">
        <v>1.9230769230769232E-2</v>
      </c>
      <c r="T28" s="176">
        <v>1.3213530655391121E-2</v>
      </c>
      <c r="U28" s="176">
        <v>9.0892564988183967E-3</v>
      </c>
      <c r="V28" s="176">
        <v>6.2562562562562566E-3</v>
      </c>
      <c r="W28" s="176">
        <v>4.3092303714556577E-3</v>
      </c>
      <c r="X28" s="176">
        <v>2.9703558486306658E-3</v>
      </c>
      <c r="Y28" s="176">
        <v>2.0485926168722088E-3</v>
      </c>
      <c r="Z28" s="176">
        <v>1.4136273678258412E-3</v>
      </c>
      <c r="AA28" s="176">
        <v>9.7593348037397769E-4</v>
      </c>
      <c r="AB28" s="176">
        <v>6.7405430181455414E-4</v>
      </c>
      <c r="AC28" s="176">
        <v>4.6573147785912552E-4</v>
      </c>
    </row>
    <row r="29" spans="1:29">
      <c r="A29" s="171" t="s">
        <v>124</v>
      </c>
      <c r="B29" s="176">
        <v>12.5</v>
      </c>
      <c r="C29" s="176">
        <v>10</v>
      </c>
      <c r="D29" s="176">
        <v>7.1428571428571432</v>
      </c>
      <c r="E29" s="176">
        <v>5</v>
      </c>
      <c r="F29" s="176">
        <v>3.5714285714285716</v>
      </c>
      <c r="G29" s="176">
        <v>2.7777777777777777</v>
      </c>
      <c r="H29" s="176">
        <v>2.0833333333333335</v>
      </c>
      <c r="I29" s="176">
        <v>1.6129032258064515</v>
      </c>
      <c r="J29" s="176">
        <v>1.25</v>
      </c>
      <c r="K29" s="176">
        <v>0.98039215686274506</v>
      </c>
      <c r="L29" s="176">
        <v>0.75757575757575757</v>
      </c>
      <c r="M29" s="176">
        <v>0.59523809523809523</v>
      </c>
      <c r="N29" s="176">
        <v>0.46728971962616822</v>
      </c>
      <c r="O29" s="176">
        <v>0.36496350364963503</v>
      </c>
      <c r="P29" s="176">
        <v>0.28735632183908044</v>
      </c>
      <c r="Q29" s="176">
        <v>0.22727272727272727</v>
      </c>
      <c r="R29" s="176">
        <v>0.17921146953405018</v>
      </c>
      <c r="S29" s="176">
        <v>0.14164305949008499</v>
      </c>
      <c r="T29" s="176">
        <v>0.11210762331838565</v>
      </c>
      <c r="U29" s="176">
        <v>8.8652482269503549E-2</v>
      </c>
      <c r="V29" s="176">
        <v>7.0323488045007029E-2</v>
      </c>
      <c r="W29" s="176">
        <v>5.5803571428571432E-2</v>
      </c>
      <c r="X29" s="176">
        <v>4.4286979627989373E-2</v>
      </c>
      <c r="Y29" s="176">
        <v>3.5161744022503515E-2</v>
      </c>
      <c r="Z29" s="176">
        <v>2.7948574622694244E-2</v>
      </c>
      <c r="AA29" s="176">
        <v>2.2212350066637049E-2</v>
      </c>
      <c r="AB29" s="176">
        <v>1.7674089784376106E-2</v>
      </c>
      <c r="AC29" s="176">
        <v>1.40607424071991E-2</v>
      </c>
    </row>
    <row r="30" spans="1:29">
      <c r="A30" s="171" t="s">
        <v>126</v>
      </c>
      <c r="B30" s="176">
        <v>6.25</v>
      </c>
      <c r="C30" s="176">
        <v>3.8461538461538463</v>
      </c>
      <c r="D30" s="176">
        <v>2.5</v>
      </c>
      <c r="E30" s="176">
        <v>1.6666666666666667</v>
      </c>
      <c r="F30" s="176">
        <v>1.1111111111111112</v>
      </c>
      <c r="G30" s="176">
        <v>0.73529411764705888</v>
      </c>
      <c r="H30" s="176">
        <v>0.5</v>
      </c>
      <c r="I30" s="176">
        <v>0.3401360544217687</v>
      </c>
      <c r="J30" s="176">
        <v>0.23364485981308411</v>
      </c>
      <c r="K30" s="176">
        <v>0.16025641025641027</v>
      </c>
      <c r="L30" s="176">
        <v>0.11061946902654868</v>
      </c>
      <c r="M30" s="176">
        <v>7.6569678407350683E-2</v>
      </c>
      <c r="N30" s="176">
        <v>5.3078556263269641E-2</v>
      </c>
      <c r="O30" s="176">
        <v>3.6900369003690037E-2</v>
      </c>
      <c r="P30" s="176">
        <v>2.5680534155110426E-2</v>
      </c>
      <c r="Q30" s="176">
        <v>1.7908309455587391E-2</v>
      </c>
      <c r="R30" s="176">
        <v>1.2503125781445362E-2</v>
      </c>
      <c r="S30" s="176">
        <v>8.7412587412587419E-3</v>
      </c>
      <c r="T30" s="176">
        <v>6.1162079510703364E-3</v>
      </c>
      <c r="U30" s="176">
        <v>4.2841230400137093E-3</v>
      </c>
      <c r="V30" s="176">
        <v>3.0031833743768394E-3</v>
      </c>
      <c r="W30" s="176">
        <v>2.1068599359514578E-3</v>
      </c>
      <c r="X30" s="176">
        <v>1.4789398958826314E-3</v>
      </c>
      <c r="Y30" s="176">
        <v>1.0387883572600919E-3</v>
      </c>
      <c r="Z30" s="176">
        <v>7.300229227197734E-4</v>
      </c>
      <c r="AA30" s="176">
        <v>5.132679772109018E-4</v>
      </c>
      <c r="AB30" s="176">
        <v>3.610290772818843E-4</v>
      </c>
      <c r="AC30" s="176">
        <v>2.5404180511945048E-4</v>
      </c>
    </row>
    <row r="31" spans="1:29">
      <c r="A31" s="171" t="s">
        <v>614</v>
      </c>
      <c r="B31" s="176"/>
      <c r="C31" s="176"/>
      <c r="D31" s="176"/>
      <c r="E31" s="176"/>
      <c r="F31" s="176"/>
      <c r="G31" s="176"/>
      <c r="H31" s="176"/>
      <c r="I31" s="176">
        <v>0.38461538461538464</v>
      </c>
      <c r="J31" s="176">
        <v>0.23474178403755869</v>
      </c>
      <c r="K31" s="176">
        <v>0.14409221902017291</v>
      </c>
      <c r="L31" s="176">
        <v>8.8495575221238937E-2</v>
      </c>
      <c r="M31" s="176">
        <v>5.4525627044711013E-2</v>
      </c>
      <c r="N31" s="176">
        <v>3.3692722371967652E-2</v>
      </c>
      <c r="O31" s="176">
        <v>2.0868113522537562E-2</v>
      </c>
      <c r="P31" s="176">
        <v>1.2939958592132506E-2</v>
      </c>
      <c r="Q31" s="176">
        <v>8.0398777938575326E-3</v>
      </c>
      <c r="R31" s="176">
        <v>5.0010002000400082E-3</v>
      </c>
      <c r="S31" s="176">
        <v>3.1146826138416495E-3</v>
      </c>
      <c r="T31" s="176">
        <v>1.9418229834168316E-3</v>
      </c>
      <c r="U31" s="176">
        <v>1.211709965102753E-3</v>
      </c>
      <c r="V31" s="176">
        <v>7.5676166548107335E-4</v>
      </c>
      <c r="W31" s="176">
        <v>4.7296082938411041E-4</v>
      </c>
      <c r="X31" s="176">
        <v>2.9578797917652626E-4</v>
      </c>
      <c r="Y31" s="176">
        <v>1.8509126850449958E-4</v>
      </c>
      <c r="Z31" s="176">
        <v>1.1588291190581037E-4</v>
      </c>
      <c r="AA31" s="176">
        <v>7.2586955543393203E-5</v>
      </c>
      <c r="AB31" s="176">
        <v>4.5486510065709814E-5</v>
      </c>
      <c r="AC31" s="176">
        <v>2.8515115292314148E-5</v>
      </c>
    </row>
    <row r="33" spans="1:29">
      <c r="A33" t="s">
        <v>1656</v>
      </c>
    </row>
    <row r="34" spans="1:29">
      <c r="A34" s="171" t="s">
        <v>121</v>
      </c>
      <c r="B34" s="325"/>
      <c r="C34" s="325"/>
      <c r="D34" s="325">
        <v>100</v>
      </c>
      <c r="E34" s="325">
        <v>40</v>
      </c>
      <c r="F34" s="325">
        <v>22.222000000000001</v>
      </c>
      <c r="G34" s="325">
        <v>12.5</v>
      </c>
      <c r="H34" s="325">
        <v>7.407</v>
      </c>
      <c r="I34" s="325">
        <v>4.6509999999999998</v>
      </c>
      <c r="J34" s="325">
        <v>2.9849999999999999</v>
      </c>
      <c r="K34" s="325">
        <v>1.9610000000000001</v>
      </c>
      <c r="L34" s="325">
        <v>1.2989999999999999</v>
      </c>
      <c r="M34" s="325">
        <v>0.877</v>
      </c>
      <c r="N34" s="325">
        <v>0.59299999999999997</v>
      </c>
      <c r="O34" s="325">
        <v>0.40400000000000003</v>
      </c>
      <c r="P34" s="325">
        <v>0.27700000000000002</v>
      </c>
      <c r="Q34" s="325">
        <v>0.191</v>
      </c>
      <c r="R34" s="325">
        <v>0.13200000000000001</v>
      </c>
      <c r="S34" s="325">
        <v>9.0999999999999998E-2</v>
      </c>
      <c r="T34" s="325">
        <v>6.3E-2</v>
      </c>
      <c r="U34" s="325">
        <v>4.3999999999999997E-2</v>
      </c>
      <c r="V34" s="325">
        <v>3.1E-2</v>
      </c>
      <c r="W34" s="325">
        <v>2.1000000000000001E-2</v>
      </c>
      <c r="X34" s="325">
        <v>1.4999999999999999E-2</v>
      </c>
      <c r="Y34" s="325">
        <v>1.0999999999999999E-2</v>
      </c>
      <c r="Z34" s="325">
        <v>7.0000000000000001E-3</v>
      </c>
      <c r="AA34" s="325">
        <v>5.0000000000000001E-3</v>
      </c>
      <c r="AB34" s="325">
        <v>4.0000000000000001E-3</v>
      </c>
      <c r="AC34" s="325">
        <v>3.0000000000000001E-3</v>
      </c>
    </row>
    <row r="35" spans="1:29">
      <c r="A35" s="171" t="s">
        <v>86</v>
      </c>
      <c r="B35" s="325"/>
      <c r="C35" s="325">
        <v>200</v>
      </c>
      <c r="D35" s="325">
        <v>25</v>
      </c>
      <c r="E35" s="325">
        <v>11.111000000000001</v>
      </c>
      <c r="F35" s="325">
        <v>5.7140000000000004</v>
      </c>
      <c r="G35" s="325">
        <v>3.2789999999999999</v>
      </c>
      <c r="H35" s="325">
        <v>1.98</v>
      </c>
      <c r="I35" s="325">
        <v>1.22</v>
      </c>
      <c r="J35" s="325">
        <v>0.76900000000000002</v>
      </c>
      <c r="K35" s="325">
        <v>0.496</v>
      </c>
      <c r="L35" s="325">
        <v>0.32500000000000001</v>
      </c>
      <c r="M35" s="325">
        <v>0.215</v>
      </c>
      <c r="N35" s="325">
        <v>0.14299999999999999</v>
      </c>
      <c r="O35" s="325">
        <v>9.6000000000000002E-2</v>
      </c>
      <c r="P35" s="325">
        <v>6.4000000000000001E-2</v>
      </c>
      <c r="Q35" s="325">
        <v>4.2999999999999997E-2</v>
      </c>
      <c r="R35" s="325">
        <v>2.9000000000000001E-2</v>
      </c>
      <c r="S35" s="325">
        <v>0.02</v>
      </c>
      <c r="T35" s="325">
        <v>1.4E-2</v>
      </c>
      <c r="U35" s="325">
        <v>8.9999999999999993E-3</v>
      </c>
      <c r="V35" s="325">
        <v>6.0000000000000001E-3</v>
      </c>
      <c r="W35" s="325">
        <v>4.0000000000000001E-3</v>
      </c>
      <c r="X35" s="325">
        <v>3.0000000000000001E-3</v>
      </c>
      <c r="Y35" s="325">
        <v>2E-3</v>
      </c>
      <c r="Z35" s="325">
        <v>1E-3</v>
      </c>
      <c r="AA35" s="325">
        <v>1E-3</v>
      </c>
      <c r="AB35" s="325">
        <v>1E-3</v>
      </c>
      <c r="AC35" s="325">
        <v>0</v>
      </c>
    </row>
    <row r="36" spans="1:29">
      <c r="A36" s="171" t="s">
        <v>124</v>
      </c>
      <c r="B36" s="325"/>
      <c r="C36" s="325">
        <v>100</v>
      </c>
      <c r="D36" s="325">
        <v>22.222000000000001</v>
      </c>
      <c r="E36" s="325">
        <v>11.111000000000001</v>
      </c>
      <c r="F36" s="325">
        <v>6.8970000000000002</v>
      </c>
      <c r="G36" s="325">
        <v>4.444</v>
      </c>
      <c r="H36" s="325">
        <v>3.077</v>
      </c>
      <c r="I36" s="325">
        <v>2.198</v>
      </c>
      <c r="J36" s="325">
        <v>1.587</v>
      </c>
      <c r="K36" s="325">
        <v>1.1830000000000001</v>
      </c>
      <c r="L36" s="325">
        <v>0.88900000000000001</v>
      </c>
      <c r="M36" s="325">
        <v>0.67800000000000005</v>
      </c>
      <c r="N36" s="325">
        <v>0.51800000000000002</v>
      </c>
      <c r="O36" s="325">
        <v>0.4</v>
      </c>
      <c r="P36" s="325">
        <v>0.31</v>
      </c>
      <c r="Q36" s="325">
        <v>0.24099999999999999</v>
      </c>
      <c r="R36" s="325">
        <v>0.188</v>
      </c>
      <c r="S36" s="325">
        <v>0.14799999999999999</v>
      </c>
      <c r="T36" s="325">
        <v>0.11600000000000001</v>
      </c>
      <c r="U36" s="325">
        <v>9.0999999999999998E-2</v>
      </c>
      <c r="V36" s="325">
        <v>7.1999999999999995E-2</v>
      </c>
      <c r="W36" s="325">
        <v>5.7000000000000002E-2</v>
      </c>
      <c r="X36" s="325">
        <v>4.4999999999999998E-2</v>
      </c>
      <c r="Y36" s="325">
        <v>3.5999999999999997E-2</v>
      </c>
      <c r="Z36" s="325">
        <v>2.8000000000000001E-2</v>
      </c>
      <c r="AA36" s="325">
        <v>2.1999999999999999E-2</v>
      </c>
      <c r="AB36" s="325">
        <v>1.7999999999999999E-2</v>
      </c>
      <c r="AC36" s="325">
        <v>1.4E-2</v>
      </c>
    </row>
    <row r="37" spans="1:29">
      <c r="A37" s="171" t="s">
        <v>126</v>
      </c>
      <c r="B37" s="325"/>
      <c r="C37" s="325">
        <v>40</v>
      </c>
      <c r="D37" s="325">
        <v>8.6959999999999997</v>
      </c>
      <c r="E37" s="325">
        <v>3.8460000000000001</v>
      </c>
      <c r="F37" s="325">
        <v>2.0619999999999998</v>
      </c>
      <c r="G37" s="325">
        <v>1.198</v>
      </c>
      <c r="H37" s="325">
        <v>0.73</v>
      </c>
      <c r="I37" s="325">
        <v>0.46200000000000002</v>
      </c>
      <c r="J37" s="325">
        <v>0.29599999999999999</v>
      </c>
      <c r="K37" s="325">
        <v>0.19500000000000001</v>
      </c>
      <c r="L37" s="325">
        <v>0.13</v>
      </c>
      <c r="M37" s="325">
        <v>8.6999999999999994E-2</v>
      </c>
      <c r="N37" s="325">
        <v>5.8999999999999997E-2</v>
      </c>
      <c r="O37" s="325">
        <v>0.04</v>
      </c>
      <c r="P37" s="325">
        <v>2.8000000000000001E-2</v>
      </c>
      <c r="Q37" s="325">
        <v>1.9E-2</v>
      </c>
      <c r="R37" s="325">
        <v>1.2999999999999999E-2</v>
      </c>
      <c r="S37" s="325">
        <v>8.9999999999999993E-3</v>
      </c>
      <c r="T37" s="325">
        <v>6.0000000000000001E-3</v>
      </c>
      <c r="U37" s="325">
        <v>4.0000000000000001E-3</v>
      </c>
      <c r="V37" s="325">
        <v>3.0000000000000001E-3</v>
      </c>
      <c r="W37" s="325">
        <v>2E-3</v>
      </c>
      <c r="X37" s="325">
        <v>2E-3</v>
      </c>
      <c r="Y37" s="325">
        <v>1E-3</v>
      </c>
      <c r="Z37" s="325">
        <v>1E-3</v>
      </c>
      <c r="AA37" s="325">
        <v>1E-3</v>
      </c>
      <c r="AB37" s="325">
        <v>0</v>
      </c>
      <c r="AC37" s="325">
        <v>0</v>
      </c>
    </row>
    <row r="38" spans="1:29">
      <c r="A38" s="171" t="s">
        <v>614</v>
      </c>
      <c r="B38" s="325"/>
      <c r="C38" s="325"/>
      <c r="D38" s="325"/>
      <c r="E38" s="325"/>
      <c r="F38" s="325"/>
      <c r="G38" s="325"/>
      <c r="H38" s="325"/>
      <c r="I38" s="325">
        <v>0.52200000000000002</v>
      </c>
      <c r="J38" s="325">
        <v>0.29899999999999999</v>
      </c>
      <c r="K38" s="325">
        <v>0.17499999999999999</v>
      </c>
      <c r="L38" s="325">
        <v>0.104</v>
      </c>
      <c r="M38" s="325">
        <v>6.2E-2</v>
      </c>
      <c r="N38" s="325">
        <v>3.7999999999999999E-2</v>
      </c>
      <c r="O38" s="325">
        <v>2.3E-2</v>
      </c>
      <c r="P38" s="325">
        <v>1.4E-2</v>
      </c>
      <c r="Q38" s="325">
        <v>8.9999999999999993E-3</v>
      </c>
      <c r="R38" s="325">
        <v>5.0000000000000001E-3</v>
      </c>
      <c r="S38" s="325">
        <v>3.0000000000000001E-3</v>
      </c>
      <c r="T38" s="325">
        <v>2E-3</v>
      </c>
      <c r="U38" s="325">
        <v>1E-3</v>
      </c>
      <c r="V38" s="325">
        <v>1E-3</v>
      </c>
      <c r="W38" s="325">
        <v>0</v>
      </c>
      <c r="X38" s="325">
        <v>0</v>
      </c>
      <c r="Y38" s="325">
        <v>0</v>
      </c>
      <c r="Z38" s="325">
        <v>0</v>
      </c>
      <c r="AA38" s="325">
        <v>0</v>
      </c>
      <c r="AB38" s="325">
        <v>0</v>
      </c>
      <c r="AC38" s="325">
        <v>0</v>
      </c>
    </row>
    <row r="40" spans="1:29">
      <c r="A40" t="s">
        <v>1657</v>
      </c>
    </row>
    <row r="41" spans="1:29">
      <c r="A41" s="171" t="s">
        <v>121</v>
      </c>
      <c r="B41" s="176"/>
      <c r="C41" s="176"/>
      <c r="D41" s="176"/>
      <c r="E41" s="176"/>
      <c r="F41" s="176"/>
      <c r="G41" s="176"/>
      <c r="H41" s="176"/>
      <c r="I41" s="176"/>
      <c r="J41" s="176">
        <v>3</v>
      </c>
      <c r="K41" s="176">
        <v>3</v>
      </c>
      <c r="L41" s="176">
        <v>1.5</v>
      </c>
      <c r="M41" s="176">
        <v>1</v>
      </c>
      <c r="N41" s="176">
        <v>0.6</v>
      </c>
      <c r="O41" s="176">
        <v>0.42857142857142855</v>
      </c>
      <c r="P41" s="176">
        <v>0.3</v>
      </c>
      <c r="Q41" s="176">
        <v>0.2</v>
      </c>
      <c r="R41" s="176">
        <v>0.13636363636363635</v>
      </c>
      <c r="S41" s="176">
        <v>9.6774193548387094E-2</v>
      </c>
      <c r="T41" s="176">
        <v>6.6666666666666666E-2</v>
      </c>
      <c r="U41" s="176">
        <v>4.6153846153846156E-2</v>
      </c>
      <c r="V41" s="176">
        <v>3.2258064516129031E-2</v>
      </c>
      <c r="W41" s="176">
        <v>2.2727272727272728E-2</v>
      </c>
      <c r="X41" s="176">
        <v>1.5873015873015872E-2</v>
      </c>
      <c r="Y41" s="176">
        <v>1.1152416356877323E-2</v>
      </c>
      <c r="Z41" s="176">
        <v>7.8534031413612562E-3</v>
      </c>
      <c r="AA41" s="176">
        <v>5.5248618784530384E-3</v>
      </c>
      <c r="AB41" s="176">
        <v>3.8860103626943004E-3</v>
      </c>
      <c r="AC41" s="176">
        <v>2.7347310847766638E-3</v>
      </c>
    </row>
    <row r="42" spans="1:29">
      <c r="A42" s="171" t="s">
        <v>86</v>
      </c>
      <c r="B42" s="176"/>
      <c r="C42" s="176"/>
      <c r="D42" s="176"/>
      <c r="E42" s="176"/>
      <c r="F42" s="176"/>
      <c r="G42" s="176">
        <v>3</v>
      </c>
      <c r="H42" s="176">
        <v>3</v>
      </c>
      <c r="I42" s="176">
        <v>1.5</v>
      </c>
      <c r="J42" s="176">
        <v>0.75</v>
      </c>
      <c r="K42" s="176">
        <v>0.5</v>
      </c>
      <c r="L42" s="176">
        <v>0.33333333333333331</v>
      </c>
      <c r="M42" s="176">
        <v>0.21428571428571427</v>
      </c>
      <c r="N42" s="176">
        <v>0.14285714285714285</v>
      </c>
      <c r="O42" s="176">
        <v>9.6774193548387094E-2</v>
      </c>
      <c r="P42" s="176">
        <v>6.5217391304347824E-2</v>
      </c>
      <c r="Q42" s="176">
        <v>4.4117647058823532E-2</v>
      </c>
      <c r="R42" s="176">
        <v>3.0303030303030304E-2</v>
      </c>
      <c r="S42" s="176">
        <v>2.0689655172413793E-2</v>
      </c>
      <c r="T42" s="176">
        <v>1.4218009478672985E-2</v>
      </c>
      <c r="U42" s="176">
        <v>9.74025974025974E-3</v>
      </c>
      <c r="V42" s="176">
        <v>6.7114093959731542E-3</v>
      </c>
      <c r="W42" s="176">
        <v>4.6224961479198771E-3</v>
      </c>
      <c r="X42" s="176">
        <v>3.1847133757961785E-3</v>
      </c>
      <c r="Y42" s="176">
        <v>2.1994134897360706E-3</v>
      </c>
      <c r="Z42" s="176">
        <v>1.5182186234817814E-3</v>
      </c>
      <c r="AA42" s="176">
        <v>1.048951048951049E-3</v>
      </c>
      <c r="AB42" s="176">
        <v>7.2498791686805215E-4</v>
      </c>
      <c r="AC42" s="176">
        <v>5.0133689839572198E-4</v>
      </c>
    </row>
    <row r="43" spans="1:29">
      <c r="A43" s="171" t="s">
        <v>124</v>
      </c>
      <c r="B43" s="176"/>
      <c r="C43" s="176"/>
      <c r="D43" s="176"/>
      <c r="E43" s="176"/>
      <c r="F43" s="176"/>
      <c r="G43" s="176"/>
      <c r="H43" s="176">
        <v>3</v>
      </c>
      <c r="I43" s="176">
        <v>3</v>
      </c>
      <c r="J43" s="176">
        <v>1.5</v>
      </c>
      <c r="K43" s="176">
        <v>1.5</v>
      </c>
      <c r="L43" s="176">
        <v>1</v>
      </c>
      <c r="M43" s="176">
        <v>0.75</v>
      </c>
      <c r="N43" s="176">
        <v>0.6</v>
      </c>
      <c r="O43" s="176">
        <v>0.42857142857142855</v>
      </c>
      <c r="P43" s="176">
        <v>0.33333333333333331</v>
      </c>
      <c r="Q43" s="176">
        <v>0.25</v>
      </c>
      <c r="R43" s="176">
        <v>0.2</v>
      </c>
      <c r="S43" s="176">
        <v>0.15789473684210525</v>
      </c>
      <c r="T43" s="176">
        <v>0.12</v>
      </c>
      <c r="U43" s="176">
        <v>9.6774193548387094E-2</v>
      </c>
      <c r="V43" s="176">
        <v>7.6923076923076927E-2</v>
      </c>
      <c r="W43" s="176">
        <v>0.06</v>
      </c>
      <c r="X43" s="176">
        <v>4.7619047619047616E-2</v>
      </c>
      <c r="Y43" s="176">
        <v>3.7974683544303799E-2</v>
      </c>
      <c r="Z43" s="176">
        <v>0.03</v>
      </c>
      <c r="AA43" s="176">
        <v>2.4E-2</v>
      </c>
      <c r="AB43" s="176">
        <v>1.9108280254777069E-2</v>
      </c>
      <c r="AC43" s="176">
        <v>1.5151515151515152E-2</v>
      </c>
    </row>
    <row r="44" spans="1:29">
      <c r="A44" s="171" t="s">
        <v>126</v>
      </c>
      <c r="B44" s="176"/>
      <c r="C44" s="176"/>
      <c r="D44" s="176"/>
      <c r="E44" s="176"/>
      <c r="F44" s="176">
        <v>3</v>
      </c>
      <c r="G44" s="176">
        <v>1.5</v>
      </c>
      <c r="H44" s="176">
        <v>0.75</v>
      </c>
      <c r="I44" s="176">
        <v>0.5</v>
      </c>
      <c r="J44" s="176">
        <v>0.3</v>
      </c>
      <c r="K44" s="176">
        <v>0.1875</v>
      </c>
      <c r="L44" s="176">
        <v>0.13043478260869565</v>
      </c>
      <c r="M44" s="176">
        <v>8.5714285714285715E-2</v>
      </c>
      <c r="N44" s="176">
        <v>5.8823529411764705E-2</v>
      </c>
      <c r="O44" s="176">
        <v>4.0540540540540543E-2</v>
      </c>
      <c r="P44" s="176">
        <v>2.8037383177570093E-2</v>
      </c>
      <c r="Q44" s="176">
        <v>1.935483870967742E-2</v>
      </c>
      <c r="R44" s="176">
        <v>1.3452914798206279E-2</v>
      </c>
      <c r="S44" s="176">
        <v>9.4043887147335428E-3</v>
      </c>
      <c r="T44" s="176">
        <v>6.5645514223194746E-3</v>
      </c>
      <c r="U44" s="176">
        <v>4.5941807044410417E-3</v>
      </c>
      <c r="V44" s="176">
        <v>3.2188841201716738E-3</v>
      </c>
      <c r="W44" s="176">
        <v>2.2590361445783132E-3</v>
      </c>
      <c r="X44" s="176">
        <v>1.5856236786469344E-3</v>
      </c>
      <c r="Y44" s="176">
        <v>1.1148272017837235E-3</v>
      </c>
      <c r="Z44" s="176">
        <v>7.8390384112882151E-4</v>
      </c>
      <c r="AA44" s="176">
        <v>5.5157198014340876E-4</v>
      </c>
      <c r="AB44" s="176">
        <v>3.8829924928811802E-4</v>
      </c>
      <c r="AC44" s="176">
        <v>2.7342325920524973E-4</v>
      </c>
    </row>
    <row r="45" spans="1:29">
      <c r="A45" s="171" t="s">
        <v>614</v>
      </c>
      <c r="B45" s="176"/>
      <c r="C45" s="176"/>
      <c r="D45" s="176"/>
      <c r="E45" s="176"/>
      <c r="F45" s="176"/>
      <c r="G45" s="176"/>
      <c r="H45" s="176"/>
      <c r="I45" s="176">
        <v>0.5</v>
      </c>
      <c r="J45" s="176">
        <v>0.3</v>
      </c>
      <c r="K45" s="176">
        <v>0.17647058823529413</v>
      </c>
      <c r="L45" s="176">
        <v>0.10344827586206896</v>
      </c>
      <c r="M45" s="176">
        <v>6.1224489795918366E-2</v>
      </c>
      <c r="N45" s="176">
        <v>3.7037037037037035E-2</v>
      </c>
      <c r="O45" s="176">
        <v>2.2727272727272728E-2</v>
      </c>
      <c r="P45" s="176">
        <v>1.4018691588785047E-2</v>
      </c>
      <c r="Q45" s="176">
        <v>8.670520231213872E-3</v>
      </c>
      <c r="R45" s="176">
        <v>5.3859964093357273E-3</v>
      </c>
      <c r="S45" s="176">
        <v>3.3482142857142855E-3</v>
      </c>
      <c r="T45" s="176">
        <v>2.0804438280166435E-3</v>
      </c>
      <c r="U45" s="176">
        <v>1.2975778546712802E-3</v>
      </c>
      <c r="V45" s="176">
        <v>8.1059173196433392E-4</v>
      </c>
      <c r="W45" s="176">
        <v>5.0684237202230106E-4</v>
      </c>
      <c r="X45" s="176">
        <v>3.1712473572938687E-4</v>
      </c>
      <c r="Y45" s="176">
        <v>1.9858343814125901E-4</v>
      </c>
      <c r="Z45" s="176">
        <v>1.2442453651860148E-4</v>
      </c>
      <c r="AA45" s="176">
        <v>7.7999064011231872E-5</v>
      </c>
      <c r="AB45" s="176">
        <v>4.891729715627446E-5</v>
      </c>
      <c r="AC45" s="176">
        <v>3.0690851057299821E-5</v>
      </c>
    </row>
    <row r="49" spans="1:29" ht="22" thickBot="1">
      <c r="A49" s="10" t="s">
        <v>1658</v>
      </c>
    </row>
    <row r="50" spans="1:29" ht="17" thickTop="1">
      <c r="A50" s="1" t="s">
        <v>51</v>
      </c>
      <c r="B50" s="206">
        <v>2023</v>
      </c>
      <c r="C50" s="206">
        <v>2024</v>
      </c>
      <c r="D50" s="206">
        <v>2025</v>
      </c>
      <c r="E50" s="206">
        <v>2026</v>
      </c>
      <c r="F50" s="206">
        <v>2027</v>
      </c>
      <c r="G50" s="206">
        <v>2028</v>
      </c>
      <c r="H50" s="206">
        <v>2029</v>
      </c>
      <c r="I50" s="206">
        <v>2030</v>
      </c>
      <c r="J50" s="206">
        <v>2031</v>
      </c>
      <c r="K50" s="206">
        <v>2032</v>
      </c>
      <c r="L50" s="206">
        <v>2033</v>
      </c>
      <c r="M50" s="206">
        <v>2034</v>
      </c>
      <c r="N50" s="206">
        <v>2035</v>
      </c>
      <c r="O50" s="206">
        <v>2036</v>
      </c>
      <c r="P50" s="206">
        <v>2037</v>
      </c>
      <c r="Q50" s="206">
        <v>2038</v>
      </c>
      <c r="R50" s="206">
        <v>2039</v>
      </c>
      <c r="S50" s="206">
        <v>2040</v>
      </c>
      <c r="T50" s="206">
        <v>2041</v>
      </c>
      <c r="U50" s="206">
        <v>2042</v>
      </c>
      <c r="V50" s="206">
        <v>2043</v>
      </c>
      <c r="W50" s="206">
        <v>2044</v>
      </c>
      <c r="X50" s="206">
        <v>2045</v>
      </c>
      <c r="Y50" s="206">
        <v>2046</v>
      </c>
      <c r="Z50" s="206">
        <v>2047</v>
      </c>
      <c r="AA50" s="206">
        <v>2048</v>
      </c>
      <c r="AB50" s="206">
        <v>2049</v>
      </c>
      <c r="AC50" s="207">
        <v>2050</v>
      </c>
    </row>
    <row r="51" spans="1:29">
      <c r="A51" t="s">
        <v>1651</v>
      </c>
    </row>
    <row r="52" spans="1:29">
      <c r="A52" s="171" t="s">
        <v>121</v>
      </c>
      <c r="B52" s="60"/>
      <c r="C52" s="60">
        <v>8825.4095340230979</v>
      </c>
      <c r="D52" s="60">
        <v>4080.4784577541664</v>
      </c>
      <c r="E52" s="60">
        <v>2514.3874804337638</v>
      </c>
      <c r="F52" s="60">
        <v>1742.8652948612478</v>
      </c>
      <c r="G52" s="60">
        <v>1075.2644205823897</v>
      </c>
      <c r="H52" s="60">
        <v>597.95982411386512</v>
      </c>
      <c r="I52" s="60">
        <v>395.5375574987101</v>
      </c>
      <c r="J52" s="60">
        <v>244.49803413725667</v>
      </c>
      <c r="K52" s="60">
        <v>153.64048740246841</v>
      </c>
      <c r="L52" s="60">
        <v>98.2183631677199</v>
      </c>
      <c r="M52" s="60">
        <v>63.131425789196228</v>
      </c>
      <c r="N52" s="60">
        <v>40.554437333627796</v>
      </c>
      <c r="O52" s="60">
        <v>26.244383595044773</v>
      </c>
      <c r="P52" s="60">
        <v>16.983313157726037</v>
      </c>
      <c r="Q52" s="60">
        <v>10.988312453689794</v>
      </c>
      <c r="R52" s="60">
        <v>7.1527521343045697</v>
      </c>
      <c r="S52" s="60">
        <v>4.6477072784170321</v>
      </c>
      <c r="T52" s="60">
        <v>3.0326262995031432</v>
      </c>
      <c r="U52" s="60">
        <v>1.979866818205221</v>
      </c>
      <c r="V52" s="60">
        <v>1.2955659772234815</v>
      </c>
      <c r="W52" s="60">
        <v>0.84818244077871585</v>
      </c>
      <c r="X52" s="60">
        <v>0.55628457993577851</v>
      </c>
      <c r="Y52" s="60">
        <v>0.36516949440854746</v>
      </c>
      <c r="Z52" s="60">
        <v>0.24001995430515938</v>
      </c>
      <c r="AA52" s="60">
        <v>0.15794590635729852</v>
      </c>
      <c r="AB52" s="60">
        <v>0.10404267135196887</v>
      </c>
      <c r="AC52" s="60">
        <v>6.8609548148107852E-2</v>
      </c>
    </row>
    <row r="53" spans="1:29">
      <c r="A53" s="171" t="s">
        <v>86</v>
      </c>
      <c r="B53" s="60">
        <v>4804.8728987776685</v>
      </c>
      <c r="C53" s="60">
        <v>2225.8701248489824</v>
      </c>
      <c r="D53" s="60">
        <v>1179.44396681178</v>
      </c>
      <c r="E53" s="60">
        <v>764.14662436180515</v>
      </c>
      <c r="F53" s="60">
        <v>443.54402463856275</v>
      </c>
      <c r="G53" s="60">
        <v>274.6082453080013</v>
      </c>
      <c r="H53" s="60">
        <v>165.79509056210057</v>
      </c>
      <c r="I53" s="60">
        <v>103.85277598099731</v>
      </c>
      <c r="J53" s="60">
        <v>64.969955569378442</v>
      </c>
      <c r="K53" s="60">
        <v>40.798460037712381</v>
      </c>
      <c r="L53" s="60">
        <v>25.872821219225177</v>
      </c>
      <c r="M53" s="60">
        <v>16.41755513059622</v>
      </c>
      <c r="N53" s="60">
        <v>10.493833550975994</v>
      </c>
      <c r="O53" s="60">
        <v>6.7539033323454127</v>
      </c>
      <c r="P53" s="60">
        <v>4.3534105430276071</v>
      </c>
      <c r="Q53" s="60">
        <v>2.824476732000047</v>
      </c>
      <c r="R53" s="60">
        <v>1.8396157133810387</v>
      </c>
      <c r="S53" s="60">
        <v>1.2036778363580003</v>
      </c>
      <c r="T53" s="60">
        <v>0.79181506041723926</v>
      </c>
      <c r="U53" s="60">
        <v>0.52376399946022056</v>
      </c>
      <c r="V53" s="60">
        <v>0.34838013234048326</v>
      </c>
      <c r="W53" s="60">
        <v>0.2331171053405387</v>
      </c>
      <c r="X53" s="60">
        <v>0.15699552428907362</v>
      </c>
      <c r="Y53" s="60">
        <v>0.10643738271974795</v>
      </c>
      <c r="Z53" s="60">
        <v>7.2667036496117027E-2</v>
      </c>
      <c r="AA53" s="60">
        <v>4.9971599126178608E-2</v>
      </c>
      <c r="AB53" s="60">
        <v>3.4620657698466485E-2</v>
      </c>
      <c r="AC53" s="60">
        <v>2.4166845928793885E-2</v>
      </c>
    </row>
    <row r="54" spans="1:29">
      <c r="A54" s="171" t="s">
        <v>124</v>
      </c>
      <c r="B54" s="60">
        <v>2417.5519493888341</v>
      </c>
      <c r="C54" s="60">
        <v>1783.5771970879723</v>
      </c>
      <c r="D54" s="60">
        <v>1177.6517970418529</v>
      </c>
      <c r="E54" s="60">
        <v>762.9105800481924</v>
      </c>
      <c r="F54" s="60">
        <v>504.56521606429618</v>
      </c>
      <c r="G54" s="60">
        <v>363.02318133353816</v>
      </c>
      <c r="H54" s="60">
        <v>252.19096983051676</v>
      </c>
      <c r="I54" s="60">
        <v>180.83518713905409</v>
      </c>
      <c r="J54" s="60">
        <v>129.87374852417955</v>
      </c>
      <c r="K54" s="60">
        <v>94.421189499919976</v>
      </c>
      <c r="L54" s="60">
        <v>67.692916384464681</v>
      </c>
      <c r="M54" s="60">
        <v>49.353953504936108</v>
      </c>
      <c r="N54" s="60">
        <v>35.973095215053668</v>
      </c>
      <c r="O54" s="60">
        <v>26.103664146440384</v>
      </c>
      <c r="P54" s="60">
        <v>19.102206424245072</v>
      </c>
      <c r="Q54" s="60">
        <v>14.047809357059529</v>
      </c>
      <c r="R54" s="60">
        <v>10.306448711262595</v>
      </c>
      <c r="S54" s="60">
        <v>7.5829740008896671</v>
      </c>
      <c r="T54" s="60">
        <v>5.5900137996203023</v>
      </c>
      <c r="U54" s="60">
        <v>4.1197479619985646</v>
      </c>
      <c r="V54" s="60">
        <v>3.0471516174867048</v>
      </c>
      <c r="W54" s="60">
        <v>2.2559266378855014</v>
      </c>
      <c r="X54" s="60">
        <v>1.6713661208455246</v>
      </c>
      <c r="Y54" s="60">
        <v>1.2395411206925799</v>
      </c>
      <c r="Z54" s="60">
        <v>0.92086846067994199</v>
      </c>
      <c r="AA54" s="60">
        <v>0.68447836042210686</v>
      </c>
      <c r="AB54" s="60">
        <v>0.5096680236420984</v>
      </c>
      <c r="AC54" s="60">
        <v>0.3796934606004177</v>
      </c>
    </row>
    <row r="55" spans="1:29">
      <c r="A55" s="171" t="s">
        <v>126</v>
      </c>
      <c r="B55" s="60">
        <v>1223.0759746944173</v>
      </c>
      <c r="C55" s="60">
        <v>698.56897969957811</v>
      </c>
      <c r="D55" s="60">
        <v>421.46170196374106</v>
      </c>
      <c r="E55" s="60">
        <v>260.91919410748494</v>
      </c>
      <c r="F55" s="60">
        <v>161.74201884717607</v>
      </c>
      <c r="G55" s="60">
        <v>99.701865730911976</v>
      </c>
      <c r="H55" s="60">
        <v>63.143390845224808</v>
      </c>
      <c r="I55" s="60">
        <v>40.054316252879794</v>
      </c>
      <c r="J55" s="60">
        <v>25.670182978069331</v>
      </c>
      <c r="K55" s="60">
        <v>16.448892539882522</v>
      </c>
      <c r="L55" s="60">
        <v>10.614559021738767</v>
      </c>
      <c r="M55" s="60">
        <v>6.8752259280070502</v>
      </c>
      <c r="N55" s="60">
        <v>4.4644970214581434</v>
      </c>
      <c r="O55" s="60">
        <v>2.9100696280411635</v>
      </c>
      <c r="P55" s="60">
        <v>1.9009806465227037</v>
      </c>
      <c r="Q55" s="60">
        <v>1.2455480020091567</v>
      </c>
      <c r="R55" s="60">
        <v>0.81796385574456609</v>
      </c>
      <c r="S55" s="60">
        <v>0.53847589543617447</v>
      </c>
      <c r="T55" s="60">
        <v>0.35518691100116129</v>
      </c>
      <c r="U55" s="60">
        <v>0.23480527576815075</v>
      </c>
      <c r="V55" s="60">
        <v>0.15552931515315752</v>
      </c>
      <c r="W55" s="60">
        <v>0.10322088111728694</v>
      </c>
      <c r="X55" s="60">
        <v>6.8630653626105959E-2</v>
      </c>
      <c r="Y55" s="60">
        <v>4.5715891341227395E-2</v>
      </c>
      <c r="Z55" s="60">
        <v>3.0506638443360271E-2</v>
      </c>
      <c r="AA55" s="60">
        <v>2.0392719967134102E-2</v>
      </c>
      <c r="AB55" s="60">
        <v>1.3655420510438618E-2</v>
      </c>
      <c r="AC55" s="60">
        <v>9.1593847619934419E-3</v>
      </c>
    </row>
    <row r="56" spans="1:29">
      <c r="A56" s="171" t="s">
        <v>614</v>
      </c>
      <c r="B56" s="60"/>
      <c r="C56" s="60"/>
      <c r="D56" s="60"/>
      <c r="E56" s="60"/>
      <c r="F56" s="60"/>
      <c r="G56" s="60"/>
      <c r="H56" s="60"/>
      <c r="I56" s="60">
        <v>45.6933315068162</v>
      </c>
      <c r="J56" s="60">
        <v>26.192093654958864</v>
      </c>
      <c r="K56" s="60">
        <v>15.141797030933539</v>
      </c>
      <c r="L56" s="60">
        <v>8.7904279986585738</v>
      </c>
      <c r="M56" s="60">
        <v>5.1394632003584197</v>
      </c>
      <c r="N56" s="60">
        <v>3.026771793259162</v>
      </c>
      <c r="O56" s="60">
        <v>1.7956041646055929</v>
      </c>
      <c r="P56" s="60">
        <v>1.0726230698626789</v>
      </c>
      <c r="Q56" s="60">
        <v>0.64601004261884099</v>
      </c>
      <c r="R56" s="60">
        <v>0.39224037304769038</v>
      </c>
      <c r="S56" s="60">
        <v>0.24025725407376958</v>
      </c>
      <c r="T56" s="60">
        <v>0.14850922755726287</v>
      </c>
      <c r="U56" s="60">
        <v>9.2669151780665496E-2</v>
      </c>
      <c r="V56" s="60">
        <v>5.8389861520471695E-2</v>
      </c>
      <c r="W56" s="60">
        <v>3.7152781140449849E-2</v>
      </c>
      <c r="X56" s="60">
        <v>2.3872071937700867E-2</v>
      </c>
      <c r="Y56" s="60">
        <v>1.5486305675184652E-2</v>
      </c>
      <c r="Z56" s="60">
        <v>1.013964452929514E-2</v>
      </c>
      <c r="AA56" s="60">
        <v>6.6975517272556588E-3</v>
      </c>
      <c r="AB56" s="60">
        <v>4.4605053963310158E-3</v>
      </c>
      <c r="AC56" s="60">
        <v>2.9933083091399026E-3</v>
      </c>
    </row>
    <row r="58" spans="1:29">
      <c r="A58" t="s">
        <v>1656</v>
      </c>
    </row>
    <row r="59" spans="1:29">
      <c r="A59" s="171" t="s">
        <v>121</v>
      </c>
      <c r="B59" s="326"/>
      <c r="C59" s="326"/>
      <c r="D59" s="326">
        <v>16291.88</v>
      </c>
      <c r="E59" s="326">
        <v>6016.64</v>
      </c>
      <c r="F59" s="326">
        <v>3087.22</v>
      </c>
      <c r="G59" s="326">
        <v>1605.33</v>
      </c>
      <c r="H59" s="326">
        <v>880.03</v>
      </c>
      <c r="I59" s="326">
        <v>511.43</v>
      </c>
      <c r="J59" s="326">
        <v>302.35000000000002</v>
      </c>
      <c r="K59" s="326">
        <v>184.04</v>
      </c>
      <c r="L59" s="326">
        <v>113.04</v>
      </c>
      <c r="M59" s="326">
        <v>70.83</v>
      </c>
      <c r="N59" s="326">
        <v>44.49</v>
      </c>
      <c r="O59" s="326">
        <v>28.13</v>
      </c>
      <c r="P59" s="326">
        <v>17.93</v>
      </c>
      <c r="Q59" s="326">
        <v>11.47</v>
      </c>
      <c r="R59" s="326">
        <v>7.37</v>
      </c>
      <c r="S59" s="326">
        <v>4.76</v>
      </c>
      <c r="T59" s="326">
        <v>3.08</v>
      </c>
      <c r="U59" s="326">
        <v>2</v>
      </c>
      <c r="V59" s="326">
        <v>1.3</v>
      </c>
      <c r="W59" s="326">
        <v>0.85</v>
      </c>
      <c r="X59" s="326">
        <v>0.55000000000000004</v>
      </c>
      <c r="Y59" s="326">
        <v>0.36</v>
      </c>
      <c r="Z59" s="326">
        <v>0.24</v>
      </c>
      <c r="AA59" s="326">
        <v>0.16</v>
      </c>
      <c r="AB59" s="326">
        <v>0.1</v>
      </c>
      <c r="AC59" s="326">
        <v>7.0000000000000007E-2</v>
      </c>
    </row>
    <row r="60" spans="1:29">
      <c r="A60" s="171" t="s">
        <v>86</v>
      </c>
      <c r="B60" s="326"/>
      <c r="C60" s="326">
        <v>35339.160000000003</v>
      </c>
      <c r="D60" s="326">
        <v>4087.34</v>
      </c>
      <c r="E60" s="326">
        <v>1681.46</v>
      </c>
      <c r="F60" s="326">
        <v>801.61</v>
      </c>
      <c r="G60" s="326">
        <v>426.77</v>
      </c>
      <c r="H60" s="326">
        <v>239.46</v>
      </c>
      <c r="I60" s="326">
        <v>137.24</v>
      </c>
      <c r="J60" s="326">
        <v>80.260000000000005</v>
      </c>
      <c r="K60" s="326">
        <v>48.34</v>
      </c>
      <c r="L60" s="326">
        <v>29.58</v>
      </c>
      <c r="M60" s="326">
        <v>18.32</v>
      </c>
      <c r="N60" s="326">
        <v>11.45</v>
      </c>
      <c r="O60" s="326">
        <v>7.22</v>
      </c>
      <c r="P60" s="326">
        <v>4.58</v>
      </c>
      <c r="Q60" s="326">
        <v>2.93</v>
      </c>
      <c r="R60" s="326">
        <v>1.89</v>
      </c>
      <c r="S60" s="326">
        <v>1.23</v>
      </c>
      <c r="T60" s="326">
        <v>0.8</v>
      </c>
      <c r="U60" s="326">
        <v>0.53</v>
      </c>
      <c r="V60" s="326">
        <v>0.35</v>
      </c>
      <c r="W60" s="326">
        <v>0.23</v>
      </c>
      <c r="X60" s="326">
        <v>0.16</v>
      </c>
      <c r="Y60" s="326">
        <v>0.11</v>
      </c>
      <c r="Z60" s="326">
        <v>7.0000000000000007E-2</v>
      </c>
      <c r="AA60" s="326">
        <v>0.05</v>
      </c>
      <c r="AB60" s="326">
        <v>0.03</v>
      </c>
      <c r="AC60" s="326">
        <v>0.02</v>
      </c>
    </row>
    <row r="61" spans="1:29">
      <c r="A61" s="171" t="s">
        <v>124</v>
      </c>
      <c r="B61" s="326"/>
      <c r="C61" s="326">
        <v>17680.63</v>
      </c>
      <c r="D61" s="326">
        <v>3633.6</v>
      </c>
      <c r="E61" s="326">
        <v>1680.22</v>
      </c>
      <c r="F61" s="326">
        <v>964.44</v>
      </c>
      <c r="G61" s="326">
        <v>575.22</v>
      </c>
      <c r="H61" s="326">
        <v>368.6</v>
      </c>
      <c r="I61" s="326">
        <v>243.79</v>
      </c>
      <c r="J61" s="326">
        <v>162.27000000000001</v>
      </c>
      <c r="K61" s="326">
        <v>112.12</v>
      </c>
      <c r="L61" s="326">
        <v>78.09</v>
      </c>
      <c r="M61" s="326">
        <v>55.25</v>
      </c>
      <c r="N61" s="326">
        <v>39.19</v>
      </c>
      <c r="O61" s="326">
        <v>28.09</v>
      </c>
      <c r="P61" s="326">
        <v>20.23</v>
      </c>
      <c r="Q61" s="326">
        <v>14.63</v>
      </c>
      <c r="R61" s="326">
        <v>10.62</v>
      </c>
      <c r="S61" s="326">
        <v>7.75</v>
      </c>
      <c r="T61" s="326">
        <v>5.67</v>
      </c>
      <c r="U61" s="326">
        <v>4.1500000000000004</v>
      </c>
      <c r="V61" s="326">
        <v>3.05</v>
      </c>
      <c r="W61" s="326">
        <v>2.25</v>
      </c>
      <c r="X61" s="326">
        <v>1.66</v>
      </c>
      <c r="Y61" s="326">
        <v>1.23</v>
      </c>
      <c r="Z61" s="326">
        <v>0.91</v>
      </c>
      <c r="AA61" s="326">
        <v>0.68</v>
      </c>
      <c r="AB61" s="326">
        <v>0.5</v>
      </c>
      <c r="AC61" s="326">
        <v>0.37</v>
      </c>
    </row>
    <row r="62" spans="1:29">
      <c r="A62" s="171" t="s">
        <v>126</v>
      </c>
      <c r="B62" s="326"/>
      <c r="C62" s="326">
        <v>7084.45</v>
      </c>
      <c r="D62" s="326">
        <v>1430.38</v>
      </c>
      <c r="E62" s="326">
        <v>588.05999999999995</v>
      </c>
      <c r="F62" s="326">
        <v>293.22000000000003</v>
      </c>
      <c r="G62" s="326">
        <v>158.57</v>
      </c>
      <c r="H62" s="326">
        <v>90.07</v>
      </c>
      <c r="I62" s="326">
        <v>53.16</v>
      </c>
      <c r="J62" s="326">
        <v>31.69</v>
      </c>
      <c r="K62" s="326">
        <v>19.48</v>
      </c>
      <c r="L62" s="326">
        <v>12.14</v>
      </c>
      <c r="M62" s="326">
        <v>7.65</v>
      </c>
      <c r="N62" s="326">
        <v>4.8600000000000003</v>
      </c>
      <c r="O62" s="326">
        <v>3.11</v>
      </c>
      <c r="P62" s="326">
        <v>2</v>
      </c>
      <c r="Q62" s="326">
        <v>1.29</v>
      </c>
      <c r="R62" s="326">
        <v>0.84</v>
      </c>
      <c r="S62" s="326">
        <v>0.55000000000000004</v>
      </c>
      <c r="T62" s="326">
        <v>0.36</v>
      </c>
      <c r="U62" s="326">
        <v>0.24</v>
      </c>
      <c r="V62" s="326">
        <v>0.16</v>
      </c>
      <c r="W62" s="326">
        <v>0.1</v>
      </c>
      <c r="X62" s="326">
        <v>7.0000000000000007E-2</v>
      </c>
      <c r="Y62" s="326">
        <v>0.05</v>
      </c>
      <c r="Z62" s="326">
        <v>0.03</v>
      </c>
      <c r="AA62" s="326">
        <v>0.02</v>
      </c>
      <c r="AB62" s="326">
        <v>0.01</v>
      </c>
      <c r="AC62" s="326">
        <v>0.01</v>
      </c>
    </row>
    <row r="63" spans="1:29">
      <c r="A63" s="171" t="s">
        <v>614</v>
      </c>
      <c r="B63" s="326"/>
      <c r="C63" s="326"/>
      <c r="D63" s="326"/>
      <c r="E63" s="326"/>
      <c r="F63" s="326"/>
      <c r="G63" s="326"/>
      <c r="H63" s="326"/>
      <c r="I63" s="326">
        <v>60.5</v>
      </c>
      <c r="J63" s="326">
        <v>32.36</v>
      </c>
      <c r="K63" s="326">
        <v>17.850000000000001</v>
      </c>
      <c r="L63" s="326">
        <v>10.01</v>
      </c>
      <c r="M63" s="326">
        <v>5.69</v>
      </c>
      <c r="N63" s="326">
        <v>3.28</v>
      </c>
      <c r="O63" s="326">
        <v>1.91</v>
      </c>
      <c r="P63" s="326">
        <v>1.1200000000000001</v>
      </c>
      <c r="Q63" s="326">
        <v>0.67</v>
      </c>
      <c r="R63" s="326">
        <v>0.4</v>
      </c>
      <c r="S63" s="326">
        <v>0.24</v>
      </c>
      <c r="T63" s="326">
        <v>0.15</v>
      </c>
      <c r="U63" s="326">
        <v>0.09</v>
      </c>
      <c r="V63" s="326">
        <v>0.06</v>
      </c>
      <c r="W63" s="326">
        <v>0.04</v>
      </c>
      <c r="X63" s="326">
        <v>0.02</v>
      </c>
      <c r="Y63" s="326">
        <v>0.02</v>
      </c>
      <c r="Z63" s="326">
        <v>0.01</v>
      </c>
      <c r="AA63" s="326">
        <v>0.01</v>
      </c>
      <c r="AB63" s="326">
        <v>0</v>
      </c>
      <c r="AC63" s="326">
        <v>0</v>
      </c>
    </row>
    <row r="65" spans="1:29">
      <c r="A65" t="s">
        <v>1657</v>
      </c>
    </row>
    <row r="66" spans="1:29">
      <c r="A66" s="171" t="s">
        <v>121</v>
      </c>
      <c r="B66" s="60"/>
      <c r="C66" s="60"/>
      <c r="D66" s="60"/>
      <c r="E66" s="60"/>
      <c r="F66" s="60"/>
      <c r="G66" s="60"/>
      <c r="H66" s="60"/>
      <c r="I66" s="60"/>
      <c r="J66" s="60">
        <v>150286.97496522393</v>
      </c>
      <c r="K66" s="60">
        <v>135984.96778444375</v>
      </c>
      <c r="L66" s="60">
        <v>61681.270232079813</v>
      </c>
      <c r="M66" s="60">
        <v>37377.064435499189</v>
      </c>
      <c r="N66" s="60">
        <v>20412.628275765081</v>
      </c>
      <c r="O66" s="60">
        <v>13289.101684504712</v>
      </c>
      <c r="P66" s="60">
        <v>8486.4466721125864</v>
      </c>
      <c r="Q66" s="60">
        <v>5165.2377903688403</v>
      </c>
      <c r="R66" s="60">
        <v>3217.1287335641441</v>
      </c>
      <c r="S66" s="60">
        <v>2086.610911064533</v>
      </c>
      <c r="T66" s="60">
        <v>1313.9674941433482</v>
      </c>
      <c r="U66" s="60">
        <v>831.96252671536331</v>
      </c>
      <c r="V66" s="60">
        <v>531.95257554132036</v>
      </c>
      <c r="W66" s="60">
        <v>342.94470219731267</v>
      </c>
      <c r="X66" s="60">
        <v>219.21613455380168</v>
      </c>
      <c r="Y66" s="60">
        <v>140.99469637716939</v>
      </c>
      <c r="Z66" s="60">
        <v>90.905811474403947</v>
      </c>
      <c r="AA66" s="60">
        <v>58.564038569340745</v>
      </c>
      <c r="AB66" s="60">
        <v>37.727914850252965</v>
      </c>
      <c r="AC66" s="60">
        <v>24.321745172664599</v>
      </c>
    </row>
    <row r="67" spans="1:29">
      <c r="A67" s="171" t="s">
        <v>86</v>
      </c>
      <c r="B67" s="60"/>
      <c r="C67" s="60"/>
      <c r="D67" s="60"/>
      <c r="E67" s="60"/>
      <c r="F67" s="60"/>
      <c r="G67" s="60">
        <v>207707.95603262418</v>
      </c>
      <c r="H67" s="60">
        <v>185563.96464535806</v>
      </c>
      <c r="I67" s="60">
        <v>83339.219537051904</v>
      </c>
      <c r="J67" s="60">
        <v>37581.7835928903</v>
      </c>
      <c r="K67" s="60">
        <v>22672.492627279215</v>
      </c>
      <c r="L67" s="60">
        <v>13713.033721962169</v>
      </c>
      <c r="M67" s="60">
        <v>8014.0597348037909</v>
      </c>
      <c r="N67" s="60">
        <v>4863.678604008026</v>
      </c>
      <c r="O67" s="60">
        <v>3003.4857841074877</v>
      </c>
      <c r="P67" s="60">
        <v>1846.9680078903732</v>
      </c>
      <c r="Q67" s="60">
        <v>1140.9815287404012</v>
      </c>
      <c r="R67" s="60">
        <v>716.12978260543514</v>
      </c>
      <c r="S67" s="60">
        <v>447.03026545915355</v>
      </c>
      <c r="T67" s="60">
        <v>280.93631051966247</v>
      </c>
      <c r="U67" s="60">
        <v>176.11452640294976</v>
      </c>
      <c r="V67" s="60">
        <v>111.0844195710815</v>
      </c>
      <c r="W67" s="60">
        <v>70.063473945021073</v>
      </c>
      <c r="X67" s="60">
        <v>44.22020866854438</v>
      </c>
      <c r="Y67" s="60">
        <v>27.98666035831884</v>
      </c>
      <c r="Z67" s="60">
        <v>17.71115898326871</v>
      </c>
      <c r="AA67" s="60">
        <v>11.223302584472776</v>
      </c>
      <c r="AB67" s="60">
        <v>7.1179231790636379</v>
      </c>
      <c r="AC67" s="60">
        <v>4.5189318678464181</v>
      </c>
    </row>
    <row r="68" spans="1:29">
      <c r="A68" s="171" t="s">
        <v>124</v>
      </c>
      <c r="B68" s="60"/>
      <c r="C68" s="60"/>
      <c r="D68" s="60"/>
      <c r="E68" s="60"/>
      <c r="F68" s="60"/>
      <c r="G68" s="60"/>
      <c r="H68" s="60">
        <v>185560.24343091878</v>
      </c>
      <c r="I68" s="60">
        <v>166659.33634592799</v>
      </c>
      <c r="J68" s="60">
        <v>75149.505677364665</v>
      </c>
      <c r="K68" s="60">
        <v>67997.615176805615</v>
      </c>
      <c r="L68" s="60">
        <v>41124.325914966525</v>
      </c>
      <c r="M68" s="60">
        <v>28035.510570460712</v>
      </c>
      <c r="N68" s="60">
        <v>20414.370651672329</v>
      </c>
      <c r="O68" s="60">
        <v>13290.669981232908</v>
      </c>
      <c r="P68" s="60">
        <v>9430.626844911274</v>
      </c>
      <c r="Q68" s="60">
        <v>6457.5182770899601</v>
      </c>
      <c r="R68" s="60">
        <v>4719.1818833234483</v>
      </c>
      <c r="S68" s="60">
        <v>3405.0463763571065</v>
      </c>
      <c r="T68" s="60">
        <v>2365.6022222118968</v>
      </c>
      <c r="U68" s="60">
        <v>1744.7854038580383</v>
      </c>
      <c r="V68" s="60">
        <v>1268.7718068805307</v>
      </c>
      <c r="W68" s="60">
        <v>905.58930009237065</v>
      </c>
      <c r="X68" s="60">
        <v>657.8155257207585</v>
      </c>
      <c r="Y68" s="60">
        <v>480.2258005616186</v>
      </c>
      <c r="Z68" s="60">
        <v>347.36258458954495</v>
      </c>
      <c r="AA68" s="60">
        <v>254.48166644668325</v>
      </c>
      <c r="AB68" s="60">
        <v>185.5776449502039</v>
      </c>
      <c r="AC68" s="60">
        <v>134.8009847871011</v>
      </c>
    </row>
    <row r="69" spans="1:29">
      <c r="A69" s="171" t="s">
        <v>126</v>
      </c>
      <c r="B69" s="60"/>
      <c r="C69" s="60"/>
      <c r="D69" s="60"/>
      <c r="E69" s="60"/>
      <c r="F69" s="60">
        <v>234049.44116412287</v>
      </c>
      <c r="G69" s="60">
        <v>103847.2671536034</v>
      </c>
      <c r="H69" s="60">
        <v>46391.020356337009</v>
      </c>
      <c r="I69" s="60">
        <v>27778.045440113336</v>
      </c>
      <c r="J69" s="60">
        <v>15030.369084839413</v>
      </c>
      <c r="K69" s="60">
        <v>8500.497341364673</v>
      </c>
      <c r="L69" s="60">
        <v>5364.4696006972999</v>
      </c>
      <c r="M69" s="60">
        <v>3204.3679025235383</v>
      </c>
      <c r="N69" s="60">
        <v>2001.6413026378673</v>
      </c>
      <c r="O69" s="60">
        <v>1257.3647435951113</v>
      </c>
      <c r="P69" s="60">
        <v>793.32814857823962</v>
      </c>
      <c r="Q69" s="60">
        <v>500.0004725975038</v>
      </c>
      <c r="R69" s="60">
        <v>317.48086799266019</v>
      </c>
      <c r="S69" s="60">
        <v>202.84178430857671</v>
      </c>
      <c r="T69" s="60">
        <v>129.43110026535041</v>
      </c>
      <c r="U69" s="60">
        <v>82.846707631552931</v>
      </c>
      <c r="V69" s="60">
        <v>53.103933074322327</v>
      </c>
      <c r="W69" s="60">
        <v>34.10388568868045</v>
      </c>
      <c r="X69" s="60">
        <v>21.909613023359839</v>
      </c>
      <c r="Y69" s="60">
        <v>14.102047219897749</v>
      </c>
      <c r="Z69" s="60">
        <v>9.0794299964978595</v>
      </c>
      <c r="AA69" s="60">
        <v>5.8505469968288111</v>
      </c>
      <c r="AB69" s="60">
        <v>3.77254474727106</v>
      </c>
      <c r="AC69" s="60">
        <v>2.4336096325276633</v>
      </c>
    </row>
    <row r="70" spans="1:29">
      <c r="A70" s="171" t="s">
        <v>614</v>
      </c>
      <c r="B70" s="60"/>
      <c r="C70" s="60"/>
      <c r="D70" s="60"/>
      <c r="E70" s="60"/>
      <c r="F70" s="60"/>
      <c r="G70" s="60"/>
      <c r="H70" s="60"/>
      <c r="I70" s="60">
        <v>27846.952261817754</v>
      </c>
      <c r="J70" s="60">
        <v>15072.555786376397</v>
      </c>
      <c r="K70" s="60">
        <v>8026.3879968016881</v>
      </c>
      <c r="L70" s="60">
        <v>4270.6273782617654</v>
      </c>
      <c r="M70" s="60">
        <v>2298.730084019543</v>
      </c>
      <c r="N70" s="60">
        <v>1266.4060503323012</v>
      </c>
      <c r="O70" s="60">
        <v>708.66229257110365</v>
      </c>
      <c r="P70" s="60">
        <v>398.99738414649232</v>
      </c>
      <c r="Q70" s="60">
        <v>225.43094605091591</v>
      </c>
      <c r="R70" s="60">
        <v>127.99866080208105</v>
      </c>
      <c r="S70" s="60">
        <v>72.769802522852927</v>
      </c>
      <c r="T70" s="60">
        <v>41.362055677544184</v>
      </c>
      <c r="U70" s="60">
        <v>23.611790008680348</v>
      </c>
      <c r="V70" s="60">
        <v>13.504921072038153</v>
      </c>
      <c r="W70" s="60">
        <v>7.7337961056813107</v>
      </c>
      <c r="X70" s="60">
        <v>4.4331191201005478</v>
      </c>
      <c r="Y70" s="60">
        <v>2.543941800665237</v>
      </c>
      <c r="Z70" s="60">
        <v>1.461105930875253</v>
      </c>
      <c r="AA70" s="60">
        <v>0.83985952993807345</v>
      </c>
      <c r="AB70" s="60">
        <v>0.48312286043416897</v>
      </c>
      <c r="AC70" s="60">
        <v>0.27811661448230218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ECC8-2305-3B49-9DCA-D799091DDAA3}">
  <sheetPr codeName="Sheet12"/>
  <dimension ref="A1:E396"/>
  <sheetViews>
    <sheetView topLeftCell="A190" workbookViewId="0">
      <selection activeCell="A208" sqref="A208"/>
    </sheetView>
  </sheetViews>
  <sheetFormatPr baseColWidth="10" defaultColWidth="11" defaultRowHeight="16"/>
  <cols>
    <col min="1" max="1" width="34" customWidth="1"/>
    <col min="10" max="10" width="26" customWidth="1"/>
    <col min="11" max="11" width="25.5" customWidth="1"/>
  </cols>
  <sheetData>
    <row r="1" spans="1:5" ht="17" thickBot="1">
      <c r="A1" t="s">
        <v>631</v>
      </c>
      <c r="B1" t="s">
        <v>632</v>
      </c>
    </row>
    <row r="2" spans="1:5">
      <c r="A2" s="311" t="s">
        <v>633</v>
      </c>
      <c r="B2" s="312" t="s">
        <v>1340</v>
      </c>
      <c r="C2" s="312"/>
      <c r="D2" s="312"/>
      <c r="E2" s="316"/>
    </row>
    <row r="3" spans="1:5">
      <c r="A3" s="313" t="s">
        <v>634</v>
      </c>
      <c r="B3" s="47">
        <f>Technology_Roadmap!$B$49</f>
        <v>1.1486983549970351</v>
      </c>
      <c r="E3" s="317"/>
    </row>
    <row r="4" spans="1:5">
      <c r="A4" s="313" t="s">
        <v>635</v>
      </c>
      <c r="B4" t="s">
        <v>918</v>
      </c>
      <c r="E4" s="317"/>
    </row>
    <row r="5" spans="1:5">
      <c r="A5" s="313" t="s">
        <v>636</v>
      </c>
      <c r="B5" t="s">
        <v>637</v>
      </c>
      <c r="E5" s="317"/>
    </row>
    <row r="6" spans="1:5">
      <c r="A6" s="313" t="s">
        <v>638</v>
      </c>
      <c r="B6" t="s">
        <v>920</v>
      </c>
      <c r="E6" s="317"/>
    </row>
    <row r="7" spans="1:5">
      <c r="A7" s="313" t="s">
        <v>640</v>
      </c>
      <c r="B7" t="s">
        <v>922</v>
      </c>
      <c r="E7" s="317"/>
    </row>
    <row r="8" spans="1:5">
      <c r="A8" s="313" t="s">
        <v>642</v>
      </c>
      <c r="B8" t="s">
        <v>925</v>
      </c>
      <c r="E8" s="317"/>
    </row>
    <row r="9" spans="1:5">
      <c r="A9" s="313" t="s">
        <v>644</v>
      </c>
      <c r="B9" t="s">
        <v>927</v>
      </c>
      <c r="E9" s="317"/>
    </row>
    <row r="10" spans="1:5">
      <c r="A10" s="313" t="s">
        <v>1341</v>
      </c>
      <c r="B10" t="s">
        <v>1342</v>
      </c>
      <c r="E10" s="317"/>
    </row>
    <row r="11" spans="1:5">
      <c r="A11" s="313" t="s">
        <v>646</v>
      </c>
      <c r="B11" t="s">
        <v>931</v>
      </c>
      <c r="E11" s="317"/>
    </row>
    <row r="12" spans="1:5">
      <c r="A12" s="313" t="s">
        <v>648</v>
      </c>
      <c r="B12" t="s">
        <v>933</v>
      </c>
      <c r="E12" s="317"/>
    </row>
    <row r="13" spans="1:5">
      <c r="A13" s="313" t="s">
        <v>650</v>
      </c>
      <c r="B13" t="s">
        <v>943</v>
      </c>
      <c r="E13" s="317"/>
    </row>
    <row r="14" spans="1:5">
      <c r="A14" s="313" t="s">
        <v>651</v>
      </c>
      <c r="B14" t="s">
        <v>945</v>
      </c>
      <c r="E14" s="317"/>
    </row>
    <row r="15" spans="1:5" ht="17" thickBot="1">
      <c r="A15" s="314" t="s">
        <v>652</v>
      </c>
      <c r="B15" s="315" t="s">
        <v>653</v>
      </c>
      <c r="C15" s="315"/>
      <c r="D15" s="315"/>
      <c r="E15" s="318"/>
    </row>
    <row r="16" spans="1:5">
      <c r="A16" s="311" t="s">
        <v>654</v>
      </c>
      <c r="B16" s="312" t="s">
        <v>1343</v>
      </c>
      <c r="C16" s="312"/>
      <c r="D16" s="312"/>
      <c r="E16" s="316"/>
    </row>
    <row r="17" spans="1:5">
      <c r="A17" s="313" t="s">
        <v>655</v>
      </c>
      <c r="B17" t="s">
        <v>1344</v>
      </c>
      <c r="E17" s="317"/>
    </row>
    <row r="18" spans="1:5">
      <c r="A18" s="313" t="s">
        <v>656</v>
      </c>
      <c r="B18" t="s">
        <v>657</v>
      </c>
      <c r="E18" s="317"/>
    </row>
    <row r="19" spans="1:5">
      <c r="A19" s="313" t="s">
        <v>658</v>
      </c>
      <c r="B19" t="s">
        <v>890</v>
      </c>
      <c r="E19" s="317"/>
    </row>
    <row r="20" spans="1:5">
      <c r="A20" s="313" t="s">
        <v>659</v>
      </c>
      <c r="B20" t="s">
        <v>892</v>
      </c>
      <c r="E20" s="317"/>
    </row>
    <row r="21" spans="1:5" ht="17" thickBot="1">
      <c r="A21" s="314" t="s">
        <v>660</v>
      </c>
      <c r="B21" s="315" t="s">
        <v>661</v>
      </c>
      <c r="C21" s="315"/>
      <c r="D21" s="315"/>
      <c r="E21" s="318"/>
    </row>
    <row r="22" spans="1:5">
      <c r="A22" s="311" t="s">
        <v>662</v>
      </c>
      <c r="B22" s="312" t="s">
        <v>663</v>
      </c>
      <c r="C22" s="312"/>
      <c r="D22" s="312"/>
      <c r="E22" s="316"/>
    </row>
    <row r="23" spans="1:5">
      <c r="A23" s="313" t="s">
        <v>664</v>
      </c>
      <c r="B23" t="s">
        <v>665</v>
      </c>
      <c r="E23" s="317"/>
    </row>
    <row r="24" spans="1:5">
      <c r="A24" s="313" t="s">
        <v>666</v>
      </c>
      <c r="B24" t="s">
        <v>667</v>
      </c>
      <c r="E24" s="317"/>
    </row>
    <row r="25" spans="1:5">
      <c r="A25" s="313" t="s">
        <v>668</v>
      </c>
      <c r="B25" t="s">
        <v>669</v>
      </c>
      <c r="E25" s="317"/>
    </row>
    <row r="26" spans="1:5">
      <c r="A26" s="313" t="s">
        <v>670</v>
      </c>
      <c r="B26" t="s">
        <v>671</v>
      </c>
      <c r="E26" s="317"/>
    </row>
    <row r="27" spans="1:5" ht="17" thickBot="1">
      <c r="A27" s="314" t="s">
        <v>672</v>
      </c>
      <c r="B27" s="315" t="s">
        <v>673</v>
      </c>
      <c r="C27" s="315"/>
      <c r="D27" s="315"/>
      <c r="E27" s="318"/>
    </row>
    <row r="28" spans="1:5">
      <c r="A28" t="s">
        <v>1345</v>
      </c>
      <c r="B28" t="s">
        <v>1346</v>
      </c>
    </row>
    <row r="29" spans="1:5" ht="17" thickBot="1">
      <c r="A29" t="s">
        <v>674</v>
      </c>
      <c r="B29" t="s">
        <v>1347</v>
      </c>
    </row>
    <row r="30" spans="1:5">
      <c r="A30" s="311" t="s">
        <v>675</v>
      </c>
      <c r="B30" s="312" t="s">
        <v>1348</v>
      </c>
      <c r="C30" s="312"/>
      <c r="D30" s="312"/>
      <c r="E30" s="316"/>
    </row>
    <row r="31" spans="1:5">
      <c r="A31" s="313" t="s">
        <v>677</v>
      </c>
      <c r="B31" t="s">
        <v>1349</v>
      </c>
      <c r="E31" s="317"/>
    </row>
    <row r="32" spans="1:5">
      <c r="A32" s="313" t="s">
        <v>679</v>
      </c>
      <c r="B32" t="s">
        <v>1350</v>
      </c>
      <c r="E32" s="317"/>
    </row>
    <row r="33" spans="1:5">
      <c r="A33" s="313" t="s">
        <v>681</v>
      </c>
      <c r="B33" t="s">
        <v>1351</v>
      </c>
      <c r="E33" s="317"/>
    </row>
    <row r="34" spans="1:5">
      <c r="A34" s="313" t="s">
        <v>683</v>
      </c>
      <c r="B34" t="s">
        <v>1352</v>
      </c>
      <c r="E34" s="317"/>
    </row>
    <row r="35" spans="1:5">
      <c r="A35" s="313" t="s">
        <v>684</v>
      </c>
      <c r="B35" t="s">
        <v>1353</v>
      </c>
      <c r="E35" s="317"/>
    </row>
    <row r="36" spans="1:5">
      <c r="A36" s="313" t="s">
        <v>685</v>
      </c>
      <c r="B36" t="s">
        <v>1354</v>
      </c>
      <c r="E36" s="317"/>
    </row>
    <row r="37" spans="1:5">
      <c r="A37" s="313" t="s">
        <v>687</v>
      </c>
      <c r="B37" t="s">
        <v>1355</v>
      </c>
      <c r="E37" s="317"/>
    </row>
    <row r="38" spans="1:5">
      <c r="A38" s="313" t="s">
        <v>689</v>
      </c>
      <c r="B38" t="s">
        <v>713</v>
      </c>
      <c r="E38" s="317"/>
    </row>
    <row r="39" spans="1:5">
      <c r="A39" s="313" t="s">
        <v>1356</v>
      </c>
      <c r="B39" t="s">
        <v>715</v>
      </c>
      <c r="E39" s="317"/>
    </row>
    <row r="40" spans="1:5">
      <c r="A40" s="313" t="s">
        <v>691</v>
      </c>
      <c r="B40" t="s">
        <v>1357</v>
      </c>
      <c r="E40" s="317"/>
    </row>
    <row r="41" spans="1:5">
      <c r="A41" s="313" t="s">
        <v>692</v>
      </c>
      <c r="B41" t="s">
        <v>1358</v>
      </c>
      <c r="E41" s="317"/>
    </row>
    <row r="42" spans="1:5">
      <c r="A42" s="313" t="s">
        <v>693</v>
      </c>
      <c r="B42" t="s">
        <v>1359</v>
      </c>
      <c r="E42" s="317"/>
    </row>
    <row r="43" spans="1:5" ht="17" thickBot="1">
      <c r="A43" s="314" t="s">
        <v>695</v>
      </c>
      <c r="B43" s="315" t="s">
        <v>1360</v>
      </c>
      <c r="C43" s="315"/>
      <c r="D43" s="315"/>
      <c r="E43" s="318"/>
    </row>
    <row r="44" spans="1:5" ht="17" thickBot="1">
      <c r="A44" t="s">
        <v>1361</v>
      </c>
      <c r="B44" t="s">
        <v>1362</v>
      </c>
    </row>
    <row r="45" spans="1:5">
      <c r="A45" s="311" t="s">
        <v>697</v>
      </c>
      <c r="B45" s="312" t="s">
        <v>680</v>
      </c>
      <c r="C45" s="312"/>
      <c r="D45" s="312"/>
      <c r="E45" s="316"/>
    </row>
    <row r="46" spans="1:5" ht="17" thickBot="1">
      <c r="A46" s="314" t="s">
        <v>699</v>
      </c>
      <c r="B46" s="315" t="s">
        <v>682</v>
      </c>
      <c r="C46" s="315"/>
      <c r="D46" s="315"/>
      <c r="E46" s="318"/>
    </row>
    <row r="47" spans="1:5">
      <c r="A47" s="311" t="s">
        <v>701</v>
      </c>
      <c r="B47" s="312" t="s">
        <v>1363</v>
      </c>
      <c r="C47" s="312"/>
      <c r="D47" s="312"/>
      <c r="E47" s="316"/>
    </row>
    <row r="48" spans="1:5">
      <c r="A48" s="313" t="s">
        <v>702</v>
      </c>
      <c r="B48" t="s">
        <v>1364</v>
      </c>
      <c r="E48" s="317"/>
    </row>
    <row r="49" spans="1:5">
      <c r="A49" s="313" t="s">
        <v>703</v>
      </c>
      <c r="B49" t="s">
        <v>1365</v>
      </c>
      <c r="E49" s="317"/>
    </row>
    <row r="50" spans="1:5">
      <c r="A50" s="313" t="s">
        <v>705</v>
      </c>
      <c r="B50" t="s">
        <v>1366</v>
      </c>
      <c r="E50" s="317"/>
    </row>
    <row r="51" spans="1:5">
      <c r="A51" s="313" t="s">
        <v>707</v>
      </c>
      <c r="B51" t="s">
        <v>1367</v>
      </c>
      <c r="E51" s="317"/>
    </row>
    <row r="52" spans="1:5">
      <c r="A52" s="313" t="s">
        <v>709</v>
      </c>
      <c r="B52" t="s">
        <v>1368</v>
      </c>
      <c r="E52" s="317"/>
    </row>
    <row r="53" spans="1:5">
      <c r="A53" s="313" t="s">
        <v>711</v>
      </c>
      <c r="B53" t="s">
        <v>704</v>
      </c>
      <c r="E53" s="317"/>
    </row>
    <row r="54" spans="1:5">
      <c r="A54" s="313" t="s">
        <v>1369</v>
      </c>
      <c r="B54" t="s">
        <v>706</v>
      </c>
      <c r="E54" s="317"/>
    </row>
    <row r="55" spans="1:5">
      <c r="A55" s="313" t="s">
        <v>712</v>
      </c>
      <c r="B55" t="s">
        <v>1370</v>
      </c>
      <c r="E55" s="317"/>
    </row>
    <row r="56" spans="1:5">
      <c r="A56" s="313" t="s">
        <v>714</v>
      </c>
      <c r="B56" t="s">
        <v>1371</v>
      </c>
      <c r="E56" s="317"/>
    </row>
    <row r="57" spans="1:5">
      <c r="A57" s="313" t="s">
        <v>716</v>
      </c>
      <c r="B57" t="s">
        <v>1372</v>
      </c>
      <c r="E57" s="317"/>
    </row>
    <row r="58" spans="1:5" ht="17" thickBot="1">
      <c r="A58" s="314" t="s">
        <v>717</v>
      </c>
      <c r="B58" s="315" t="s">
        <v>1373</v>
      </c>
      <c r="C58" s="315"/>
      <c r="D58" s="315"/>
      <c r="E58" s="318"/>
    </row>
    <row r="59" spans="1:5">
      <c r="A59" s="311" t="s">
        <v>718</v>
      </c>
      <c r="B59" s="312" t="s">
        <v>1374</v>
      </c>
      <c r="C59" s="312"/>
      <c r="D59" s="312"/>
      <c r="E59" s="316"/>
    </row>
    <row r="60" spans="1:5">
      <c r="A60" s="313" t="s">
        <v>720</v>
      </c>
      <c r="B60" t="s">
        <v>1375</v>
      </c>
      <c r="E60" s="317"/>
    </row>
    <row r="61" spans="1:5">
      <c r="A61" s="313" t="s">
        <v>722</v>
      </c>
      <c r="B61" t="s">
        <v>1376</v>
      </c>
      <c r="E61" s="317"/>
    </row>
    <row r="62" spans="1:5">
      <c r="A62" s="313" t="s">
        <v>724</v>
      </c>
      <c r="B62" t="s">
        <v>1377</v>
      </c>
      <c r="E62" s="317"/>
    </row>
    <row r="63" spans="1:5">
      <c r="A63" s="313" t="s">
        <v>726</v>
      </c>
      <c r="B63" t="s">
        <v>1378</v>
      </c>
      <c r="E63" s="317"/>
    </row>
    <row r="64" spans="1:5">
      <c r="A64" s="313" t="s">
        <v>727</v>
      </c>
      <c r="B64" t="s">
        <v>1379</v>
      </c>
      <c r="E64" s="317"/>
    </row>
    <row r="65" spans="1:5">
      <c r="A65" s="313" t="s">
        <v>728</v>
      </c>
      <c r="B65" t="s">
        <v>1380</v>
      </c>
      <c r="E65" s="317"/>
    </row>
    <row r="66" spans="1:5">
      <c r="A66" s="313" t="s">
        <v>729</v>
      </c>
      <c r="B66" t="s">
        <v>1381</v>
      </c>
      <c r="E66" s="317"/>
    </row>
    <row r="67" spans="1:5">
      <c r="A67" s="313" t="s">
        <v>730</v>
      </c>
      <c r="B67" t="s">
        <v>1382</v>
      </c>
      <c r="E67" s="317"/>
    </row>
    <row r="68" spans="1:5" ht="17" thickBot="1">
      <c r="A68" s="314" t="s">
        <v>732</v>
      </c>
      <c r="B68" s="315" t="s">
        <v>1383</v>
      </c>
      <c r="C68" s="315"/>
      <c r="D68" s="315"/>
      <c r="E68" s="318"/>
    </row>
    <row r="69" spans="1:5">
      <c r="A69" t="s">
        <v>734</v>
      </c>
      <c r="B69" t="s">
        <v>708</v>
      </c>
    </row>
    <row r="70" spans="1:5">
      <c r="A70" t="s">
        <v>736</v>
      </c>
      <c r="B70" t="s">
        <v>710</v>
      </c>
    </row>
    <row r="71" spans="1:5" ht="17" thickBot="1">
      <c r="A71" t="s">
        <v>737</v>
      </c>
      <c r="B71" t="s">
        <v>1384</v>
      </c>
    </row>
    <row r="72" spans="1:5">
      <c r="A72" s="311" t="s">
        <v>738</v>
      </c>
      <c r="B72" s="312" t="s">
        <v>739</v>
      </c>
      <c r="C72" s="312"/>
      <c r="D72" s="312"/>
      <c r="E72" s="316"/>
    </row>
    <row r="73" spans="1:5">
      <c r="A73" s="313" t="s">
        <v>740</v>
      </c>
      <c r="B73" t="s">
        <v>741</v>
      </c>
      <c r="E73" s="317"/>
    </row>
    <row r="74" spans="1:5">
      <c r="A74" s="313" t="s">
        <v>742</v>
      </c>
      <c r="B74" t="s">
        <v>743</v>
      </c>
      <c r="E74" s="317"/>
    </row>
    <row r="75" spans="1:5">
      <c r="A75" s="313" t="s">
        <v>744</v>
      </c>
      <c r="B75" t="s">
        <v>745</v>
      </c>
      <c r="E75" s="317"/>
    </row>
    <row r="76" spans="1:5">
      <c r="A76" s="313" t="s">
        <v>746</v>
      </c>
      <c r="B76" t="s">
        <v>747</v>
      </c>
      <c r="E76" s="317"/>
    </row>
    <row r="77" spans="1:5">
      <c r="A77" s="313" t="s">
        <v>748</v>
      </c>
      <c r="B77" t="s">
        <v>749</v>
      </c>
      <c r="E77" s="317"/>
    </row>
    <row r="78" spans="1:5">
      <c r="A78" s="313" t="s">
        <v>750</v>
      </c>
      <c r="B78" t="s">
        <v>1385</v>
      </c>
      <c r="E78" s="317"/>
    </row>
    <row r="79" spans="1:5">
      <c r="A79" s="313" t="s">
        <v>751</v>
      </c>
      <c r="B79" t="s">
        <v>1386</v>
      </c>
      <c r="E79" s="317"/>
    </row>
    <row r="80" spans="1:5">
      <c r="A80" s="313" t="s">
        <v>752</v>
      </c>
      <c r="B80" t="s">
        <v>1387</v>
      </c>
      <c r="E80" s="317"/>
    </row>
    <row r="81" spans="1:5">
      <c r="A81" s="313" t="s">
        <v>753</v>
      </c>
      <c r="B81" t="s">
        <v>1388</v>
      </c>
      <c r="E81" s="317"/>
    </row>
    <row r="82" spans="1:5">
      <c r="A82" s="313" t="s">
        <v>754</v>
      </c>
      <c r="B82" t="s">
        <v>1389</v>
      </c>
      <c r="E82" s="317"/>
    </row>
    <row r="83" spans="1:5">
      <c r="A83" s="313" t="s">
        <v>755</v>
      </c>
      <c r="B83" t="s">
        <v>1390</v>
      </c>
      <c r="E83" s="317"/>
    </row>
    <row r="84" spans="1:5">
      <c r="A84" s="313" t="s">
        <v>756</v>
      </c>
      <c r="B84" t="s">
        <v>1391</v>
      </c>
      <c r="E84" s="317"/>
    </row>
    <row r="85" spans="1:5" ht="17" thickBot="1">
      <c r="A85" s="314" t="s">
        <v>757</v>
      </c>
      <c r="B85" s="315" t="s">
        <v>1392</v>
      </c>
      <c r="C85" s="315"/>
      <c r="D85" s="315"/>
      <c r="E85" s="318"/>
    </row>
    <row r="86" spans="1:5" ht="17" thickBot="1">
      <c r="A86" t="s">
        <v>758</v>
      </c>
      <c r="B86" t="s">
        <v>1393</v>
      </c>
    </row>
    <row r="87" spans="1:5">
      <c r="A87" s="311" t="s">
        <v>1394</v>
      </c>
      <c r="B87" s="312" t="s">
        <v>1395</v>
      </c>
      <c r="C87" s="312"/>
      <c r="D87" s="312"/>
      <c r="E87" s="316"/>
    </row>
    <row r="88" spans="1:5">
      <c r="A88" s="313" t="s">
        <v>1396</v>
      </c>
      <c r="B88" t="s">
        <v>1397</v>
      </c>
      <c r="E88" s="317"/>
    </row>
    <row r="89" spans="1:5" ht="17" thickBot="1">
      <c r="A89" s="314" t="s">
        <v>1398</v>
      </c>
      <c r="B89" s="315" t="s">
        <v>1399</v>
      </c>
      <c r="C89" s="315"/>
      <c r="D89" s="315"/>
      <c r="E89" s="318"/>
    </row>
    <row r="90" spans="1:5">
      <c r="A90" s="311" t="s">
        <v>759</v>
      </c>
      <c r="B90" s="312" t="s">
        <v>1400</v>
      </c>
      <c r="C90" s="312"/>
      <c r="D90" s="312"/>
      <c r="E90" s="316"/>
    </row>
    <row r="91" spans="1:5">
      <c r="A91" s="313" t="s">
        <v>761</v>
      </c>
      <c r="B91" t="s">
        <v>1401</v>
      </c>
      <c r="E91" s="317"/>
    </row>
    <row r="92" spans="1:5">
      <c r="A92" s="313" t="s">
        <v>762</v>
      </c>
      <c r="B92" t="s">
        <v>1402</v>
      </c>
      <c r="E92" s="317"/>
    </row>
    <row r="93" spans="1:5">
      <c r="A93" s="313" t="s">
        <v>764</v>
      </c>
      <c r="B93" t="s">
        <v>808</v>
      </c>
      <c r="E93" s="317"/>
    </row>
    <row r="94" spans="1:5">
      <c r="A94" s="313" t="s">
        <v>765</v>
      </c>
      <c r="B94" t="s">
        <v>806</v>
      </c>
      <c r="E94" s="317"/>
    </row>
    <row r="95" spans="1:5">
      <c r="A95" s="313" t="s">
        <v>767</v>
      </c>
      <c r="B95" t="s">
        <v>812</v>
      </c>
      <c r="E95" s="317"/>
    </row>
    <row r="96" spans="1:5">
      <c r="A96" s="313" t="s">
        <v>769</v>
      </c>
      <c r="B96" t="s">
        <v>810</v>
      </c>
      <c r="E96" s="317"/>
    </row>
    <row r="97" spans="1:5">
      <c r="A97" s="313" t="s">
        <v>770</v>
      </c>
      <c r="B97" t="s">
        <v>815</v>
      </c>
      <c r="E97" s="317"/>
    </row>
    <row r="98" spans="1:5">
      <c r="A98" s="313" t="s">
        <v>771</v>
      </c>
      <c r="B98" t="s">
        <v>766</v>
      </c>
      <c r="E98" s="317"/>
    </row>
    <row r="99" spans="1:5">
      <c r="A99" s="313" t="s">
        <v>772</v>
      </c>
      <c r="B99" t="s">
        <v>768</v>
      </c>
      <c r="E99" s="317"/>
    </row>
    <row r="100" spans="1:5">
      <c r="A100" s="313" t="s">
        <v>773</v>
      </c>
      <c r="B100" t="s">
        <v>1403</v>
      </c>
      <c r="E100" s="317"/>
    </row>
    <row r="101" spans="1:5">
      <c r="A101" s="313" t="s">
        <v>774</v>
      </c>
      <c r="B101" t="s">
        <v>799</v>
      </c>
      <c r="E101" s="317"/>
    </row>
    <row r="102" spans="1:5">
      <c r="A102" s="313" t="s">
        <v>775</v>
      </c>
      <c r="B102" t="s">
        <v>1404</v>
      </c>
      <c r="E102" s="317"/>
    </row>
    <row r="103" spans="1:5">
      <c r="A103" s="313" t="s">
        <v>777</v>
      </c>
      <c r="B103" t="s">
        <v>1405</v>
      </c>
      <c r="E103" s="317"/>
    </row>
    <row r="104" spans="1:5">
      <c r="A104" s="313" t="s">
        <v>778</v>
      </c>
      <c r="B104" t="s">
        <v>1406</v>
      </c>
      <c r="E104" s="317"/>
    </row>
    <row r="105" spans="1:5">
      <c r="A105" s="313" t="s">
        <v>780</v>
      </c>
      <c r="B105" t="s">
        <v>1407</v>
      </c>
      <c r="E105" s="317"/>
    </row>
    <row r="106" spans="1:5">
      <c r="A106" s="313" t="s">
        <v>781</v>
      </c>
      <c r="B106" t="s">
        <v>1408</v>
      </c>
      <c r="E106" s="317"/>
    </row>
    <row r="107" spans="1:5">
      <c r="A107" s="313" t="s">
        <v>782</v>
      </c>
      <c r="B107" t="s">
        <v>1409</v>
      </c>
      <c r="E107" s="317"/>
    </row>
    <row r="108" spans="1:5">
      <c r="A108" s="313" t="s">
        <v>783</v>
      </c>
      <c r="B108" t="s">
        <v>1410</v>
      </c>
      <c r="E108" s="317"/>
    </row>
    <row r="109" spans="1:5">
      <c r="A109" s="313" t="s">
        <v>784</v>
      </c>
      <c r="B109" t="s">
        <v>1411</v>
      </c>
      <c r="E109" s="317"/>
    </row>
    <row r="110" spans="1:5">
      <c r="A110" s="313" t="s">
        <v>785</v>
      </c>
      <c r="B110" t="s">
        <v>1412</v>
      </c>
      <c r="E110" s="317"/>
    </row>
    <row r="111" spans="1:5">
      <c r="A111" s="313" t="s">
        <v>786</v>
      </c>
      <c r="B111" t="s">
        <v>823</v>
      </c>
      <c r="E111" s="317"/>
    </row>
    <row r="112" spans="1:5">
      <c r="A112" s="313" t="s">
        <v>787</v>
      </c>
      <c r="B112" t="s">
        <v>855</v>
      </c>
      <c r="E112" s="317"/>
    </row>
    <row r="113" spans="1:5">
      <c r="A113" s="313" t="s">
        <v>788</v>
      </c>
      <c r="B113" t="s">
        <v>1413</v>
      </c>
      <c r="E113" s="317"/>
    </row>
    <row r="114" spans="1:5">
      <c r="A114" s="313" t="s">
        <v>790</v>
      </c>
      <c r="B114" t="s">
        <v>776</v>
      </c>
      <c r="E114" s="317"/>
    </row>
    <row r="115" spans="1:5">
      <c r="A115" s="313" t="s">
        <v>792</v>
      </c>
      <c r="B115" t="s">
        <v>825</v>
      </c>
      <c r="E115" s="317"/>
    </row>
    <row r="116" spans="1:5">
      <c r="A116" s="313" t="s">
        <v>793</v>
      </c>
      <c r="B116" t="s">
        <v>830</v>
      </c>
      <c r="E116" s="317"/>
    </row>
    <row r="117" spans="1:5">
      <c r="A117" s="313" t="s">
        <v>794</v>
      </c>
      <c r="B117" t="s">
        <v>763</v>
      </c>
      <c r="E117" s="317"/>
    </row>
    <row r="118" spans="1:5">
      <c r="A118" s="313" t="s">
        <v>795</v>
      </c>
      <c r="B118" t="s">
        <v>1414</v>
      </c>
      <c r="E118" s="317"/>
    </row>
    <row r="119" spans="1:5">
      <c r="A119" s="313" t="s">
        <v>796</v>
      </c>
      <c r="B119" t="s">
        <v>839</v>
      </c>
      <c r="E119" s="317"/>
    </row>
    <row r="120" spans="1:5">
      <c r="A120" s="313" t="s">
        <v>798</v>
      </c>
      <c r="B120" t="s">
        <v>1415</v>
      </c>
      <c r="E120" s="317"/>
    </row>
    <row r="121" spans="1:5">
      <c r="A121" s="313" t="s">
        <v>800</v>
      </c>
      <c r="B121" t="s">
        <v>837</v>
      </c>
      <c r="E121" s="317"/>
    </row>
    <row r="122" spans="1:5">
      <c r="A122" s="313" t="s">
        <v>802</v>
      </c>
      <c r="B122" t="s">
        <v>834</v>
      </c>
      <c r="E122" s="317"/>
    </row>
    <row r="123" spans="1:5">
      <c r="A123" s="313" t="s">
        <v>804</v>
      </c>
      <c r="B123" t="s">
        <v>1416</v>
      </c>
      <c r="E123" s="317"/>
    </row>
    <row r="124" spans="1:5">
      <c r="A124" s="313" t="s">
        <v>805</v>
      </c>
      <c r="B124" t="s">
        <v>1417</v>
      </c>
      <c r="E124" s="317"/>
    </row>
    <row r="125" spans="1:5">
      <c r="A125" s="313" t="s">
        <v>807</v>
      </c>
      <c r="B125" t="s">
        <v>1418</v>
      </c>
      <c r="E125" s="317"/>
    </row>
    <row r="126" spans="1:5">
      <c r="A126" s="313" t="s">
        <v>809</v>
      </c>
      <c r="B126" t="s">
        <v>1419</v>
      </c>
      <c r="E126" s="317"/>
    </row>
    <row r="127" spans="1:5">
      <c r="A127" s="313" t="s">
        <v>811</v>
      </c>
      <c r="B127" t="s">
        <v>789</v>
      </c>
      <c r="E127" s="317"/>
    </row>
    <row r="128" spans="1:5">
      <c r="A128" s="313" t="s">
        <v>813</v>
      </c>
      <c r="B128" t="s">
        <v>1420</v>
      </c>
      <c r="E128" s="317"/>
    </row>
    <row r="129" spans="1:5">
      <c r="A129" s="313" t="s">
        <v>814</v>
      </c>
      <c r="B129" t="s">
        <v>791</v>
      </c>
      <c r="E129" s="317"/>
    </row>
    <row r="130" spans="1:5">
      <c r="A130" s="313" t="s">
        <v>816</v>
      </c>
      <c r="B130" t="s">
        <v>1421</v>
      </c>
      <c r="E130" s="317"/>
    </row>
    <row r="131" spans="1:5">
      <c r="A131" s="313" t="s">
        <v>818</v>
      </c>
      <c r="B131" t="s">
        <v>1422</v>
      </c>
      <c r="E131" s="317"/>
    </row>
    <row r="132" spans="1:5">
      <c r="A132" s="313" t="s">
        <v>819</v>
      </c>
      <c r="B132" t="s">
        <v>1423</v>
      </c>
      <c r="E132" s="317"/>
    </row>
    <row r="133" spans="1:5">
      <c r="A133" s="313" t="s">
        <v>821</v>
      </c>
      <c r="B133" t="s">
        <v>801</v>
      </c>
      <c r="E133" s="317"/>
    </row>
    <row r="134" spans="1:5">
      <c r="A134" s="313" t="s">
        <v>822</v>
      </c>
      <c r="B134" t="s">
        <v>803</v>
      </c>
      <c r="E134" s="317"/>
    </row>
    <row r="135" spans="1:5">
      <c r="A135" s="313" t="s">
        <v>824</v>
      </c>
      <c r="B135" t="s">
        <v>797</v>
      </c>
      <c r="E135" s="317"/>
    </row>
    <row r="136" spans="1:5">
      <c r="A136" s="313" t="s">
        <v>826</v>
      </c>
      <c r="B136" t="s">
        <v>1424</v>
      </c>
      <c r="E136" s="317"/>
    </row>
    <row r="137" spans="1:5">
      <c r="A137" s="313" t="s">
        <v>828</v>
      </c>
      <c r="B137" t="s">
        <v>1425</v>
      </c>
      <c r="E137" s="317"/>
    </row>
    <row r="138" spans="1:5">
      <c r="A138" s="313" t="s">
        <v>829</v>
      </c>
      <c r="B138" t="s">
        <v>1426</v>
      </c>
      <c r="E138" s="317"/>
    </row>
    <row r="139" spans="1:5">
      <c r="A139" s="313" t="s">
        <v>831</v>
      </c>
      <c r="B139" t="s">
        <v>1427</v>
      </c>
      <c r="E139" s="317"/>
    </row>
    <row r="140" spans="1:5">
      <c r="A140" s="313" t="s">
        <v>832</v>
      </c>
      <c r="B140" t="s">
        <v>817</v>
      </c>
      <c r="E140" s="317"/>
    </row>
    <row r="141" spans="1:5">
      <c r="A141" s="313" t="s">
        <v>833</v>
      </c>
      <c r="B141" t="s">
        <v>827</v>
      </c>
      <c r="E141" s="317"/>
    </row>
    <row r="142" spans="1:5">
      <c r="A142" s="313" t="s">
        <v>835</v>
      </c>
      <c r="B142" t="s">
        <v>760</v>
      </c>
      <c r="E142" s="317"/>
    </row>
    <row r="143" spans="1:5">
      <c r="A143" s="313" t="s">
        <v>836</v>
      </c>
      <c r="B143" t="s">
        <v>779</v>
      </c>
      <c r="E143" s="317"/>
    </row>
    <row r="144" spans="1:5" ht="17" thickBot="1">
      <c r="A144" s="314" t="s">
        <v>838</v>
      </c>
      <c r="B144" s="315" t="s">
        <v>1428</v>
      </c>
      <c r="C144" s="315"/>
      <c r="D144" s="315"/>
      <c r="E144" s="318"/>
    </row>
    <row r="145" spans="1:5">
      <c r="A145" t="s">
        <v>1429</v>
      </c>
      <c r="B145" t="s">
        <v>1430</v>
      </c>
    </row>
    <row r="146" spans="1:5">
      <c r="A146" t="s">
        <v>840</v>
      </c>
      <c r="B146" t="s">
        <v>1431</v>
      </c>
    </row>
    <row r="147" spans="1:5">
      <c r="A147" t="s">
        <v>1432</v>
      </c>
      <c r="B147" t="s">
        <v>1433</v>
      </c>
    </row>
    <row r="148" spans="1:5" ht="17" thickBot="1">
      <c r="A148" t="s">
        <v>841</v>
      </c>
      <c r="B148" t="s">
        <v>1434</v>
      </c>
    </row>
    <row r="149" spans="1:5">
      <c r="A149" s="311" t="s">
        <v>842</v>
      </c>
      <c r="B149" s="312" t="s">
        <v>984</v>
      </c>
      <c r="C149" s="312"/>
      <c r="D149" s="312"/>
      <c r="E149" s="316"/>
    </row>
    <row r="150" spans="1:5">
      <c r="A150" s="313" t="s">
        <v>843</v>
      </c>
      <c r="B150" t="s">
        <v>986</v>
      </c>
      <c r="E150" s="317"/>
    </row>
    <row r="151" spans="1:5">
      <c r="A151" s="313" t="s">
        <v>844</v>
      </c>
      <c r="B151" t="s">
        <v>988</v>
      </c>
      <c r="E151" s="317"/>
    </row>
    <row r="152" spans="1:5" ht="17" thickBot="1">
      <c r="A152" s="314" t="s">
        <v>845</v>
      </c>
      <c r="B152" s="315" t="s">
        <v>990</v>
      </c>
      <c r="C152" s="315"/>
      <c r="D152" s="315"/>
      <c r="E152" s="318"/>
    </row>
    <row r="153" spans="1:5">
      <c r="A153" s="311" t="s">
        <v>846</v>
      </c>
      <c r="B153" s="312" t="s">
        <v>1435</v>
      </c>
      <c r="C153" s="312"/>
      <c r="D153" s="312"/>
      <c r="E153" s="316"/>
    </row>
    <row r="154" spans="1:5">
      <c r="A154" s="313" t="s">
        <v>847</v>
      </c>
      <c r="B154" t="s">
        <v>1436</v>
      </c>
      <c r="E154" s="317"/>
    </row>
    <row r="155" spans="1:5">
      <c r="A155" s="313" t="s">
        <v>848</v>
      </c>
      <c r="B155" t="s">
        <v>1437</v>
      </c>
      <c r="E155" s="317"/>
    </row>
    <row r="156" spans="1:5" ht="17" thickBot="1">
      <c r="A156" s="314" t="s">
        <v>849</v>
      </c>
      <c r="B156" s="315" t="s">
        <v>1438</v>
      </c>
      <c r="C156" s="315"/>
      <c r="D156" s="315"/>
      <c r="E156" s="318"/>
    </row>
    <row r="157" spans="1:5">
      <c r="A157" s="311" t="s">
        <v>850</v>
      </c>
      <c r="B157" s="312" t="s">
        <v>1439</v>
      </c>
      <c r="C157" s="312"/>
      <c r="D157" s="312"/>
      <c r="E157" s="316"/>
    </row>
    <row r="158" spans="1:5">
      <c r="A158" s="313" t="s">
        <v>851</v>
      </c>
      <c r="B158" t="s">
        <v>1440</v>
      </c>
      <c r="E158" s="317"/>
    </row>
    <row r="159" spans="1:5">
      <c r="A159" s="313" t="s">
        <v>852</v>
      </c>
      <c r="B159" t="s">
        <v>1441</v>
      </c>
      <c r="E159" s="317"/>
    </row>
    <row r="160" spans="1:5" ht="17" thickBot="1">
      <c r="A160" s="314" t="s">
        <v>853</v>
      </c>
      <c r="B160" s="315" t="s">
        <v>1442</v>
      </c>
      <c r="C160" s="315"/>
      <c r="D160" s="315"/>
      <c r="E160" s="318"/>
    </row>
    <row r="161" spans="1:5">
      <c r="A161" t="s">
        <v>854</v>
      </c>
      <c r="B161" t="s">
        <v>1443</v>
      </c>
    </row>
    <row r="162" spans="1:5">
      <c r="A162" t="s">
        <v>856</v>
      </c>
      <c r="B162" t="s">
        <v>820</v>
      </c>
    </row>
    <row r="163" spans="1:5" ht="17" thickBot="1">
      <c r="A163" t="s">
        <v>857</v>
      </c>
      <c r="B163" t="s">
        <v>1444</v>
      </c>
    </row>
    <row r="164" spans="1:5">
      <c r="A164" s="311" t="s">
        <v>858</v>
      </c>
      <c r="B164" s="312" t="s">
        <v>731</v>
      </c>
      <c r="C164" s="312"/>
      <c r="D164" s="312"/>
      <c r="E164" s="316"/>
    </row>
    <row r="165" spans="1:5">
      <c r="A165" s="313" t="s">
        <v>859</v>
      </c>
      <c r="B165" t="s">
        <v>733</v>
      </c>
      <c r="E165" s="317"/>
    </row>
    <row r="166" spans="1:5">
      <c r="A166" s="313" t="s">
        <v>860</v>
      </c>
      <c r="B166" t="s">
        <v>719</v>
      </c>
      <c r="E166" s="317"/>
    </row>
    <row r="167" spans="1:5">
      <c r="A167" s="313" t="s">
        <v>861</v>
      </c>
      <c r="B167" t="s">
        <v>721</v>
      </c>
      <c r="E167" s="317"/>
    </row>
    <row r="168" spans="1:5">
      <c r="A168" s="313" t="s">
        <v>862</v>
      </c>
      <c r="B168" t="s">
        <v>1445</v>
      </c>
      <c r="E168" s="317"/>
    </row>
    <row r="169" spans="1:5">
      <c r="A169" s="313" t="s">
        <v>863</v>
      </c>
      <c r="B169" t="s">
        <v>1446</v>
      </c>
      <c r="E169" s="317"/>
    </row>
    <row r="170" spans="1:5" ht="17" thickBot="1">
      <c r="A170" s="314" t="s">
        <v>864</v>
      </c>
      <c r="B170" s="315" t="s">
        <v>1447</v>
      </c>
      <c r="C170" s="315"/>
      <c r="D170" s="315"/>
      <c r="E170" s="318"/>
    </row>
    <row r="171" spans="1:5">
      <c r="A171" s="311" t="s">
        <v>865</v>
      </c>
      <c r="B171" s="312" t="s">
        <v>866</v>
      </c>
      <c r="C171" s="312"/>
      <c r="D171" s="312"/>
      <c r="E171" s="316"/>
    </row>
    <row r="172" spans="1:5">
      <c r="A172" s="313" t="s">
        <v>867</v>
      </c>
      <c r="B172" t="s">
        <v>868</v>
      </c>
      <c r="E172" s="317"/>
    </row>
    <row r="173" spans="1:5">
      <c r="A173" s="313" t="s">
        <v>869</v>
      </c>
      <c r="B173" t="s">
        <v>1448</v>
      </c>
      <c r="E173" s="317"/>
    </row>
    <row r="174" spans="1:5">
      <c r="A174" s="313" t="s">
        <v>870</v>
      </c>
      <c r="B174" t="s">
        <v>871</v>
      </c>
      <c r="E174" s="317"/>
    </row>
    <row r="175" spans="1:5">
      <c r="A175" s="313" t="s">
        <v>872</v>
      </c>
      <c r="B175" t="s">
        <v>873</v>
      </c>
      <c r="E175" s="317"/>
    </row>
    <row r="176" spans="1:5">
      <c r="A176" s="313" t="s">
        <v>874</v>
      </c>
      <c r="B176" t="s">
        <v>875</v>
      </c>
      <c r="E176" s="317"/>
    </row>
    <row r="177" spans="1:5">
      <c r="A177" s="313" t="s">
        <v>876</v>
      </c>
      <c r="B177" t="s">
        <v>877</v>
      </c>
      <c r="E177" s="317"/>
    </row>
    <row r="178" spans="1:5" ht="17" thickBot="1">
      <c r="A178" s="314" t="s">
        <v>878</v>
      </c>
      <c r="B178" s="315" t="s">
        <v>879</v>
      </c>
      <c r="C178" s="315"/>
      <c r="D178" s="315"/>
      <c r="E178" s="318"/>
    </row>
    <row r="179" spans="1:5">
      <c r="A179" s="311" t="s">
        <v>880</v>
      </c>
      <c r="B179" s="312" t="s">
        <v>881</v>
      </c>
      <c r="C179" s="312"/>
      <c r="D179" s="312"/>
      <c r="E179" s="316"/>
    </row>
    <row r="180" spans="1:5">
      <c r="A180" s="313" t="s">
        <v>882</v>
      </c>
      <c r="B180" t="s">
        <v>883</v>
      </c>
      <c r="E180" s="317"/>
    </row>
    <row r="181" spans="1:5">
      <c r="A181" s="313" t="s">
        <v>884</v>
      </c>
      <c r="B181" t="s">
        <v>885</v>
      </c>
      <c r="E181" s="317"/>
    </row>
    <row r="182" spans="1:5">
      <c r="A182" s="313" t="s">
        <v>886</v>
      </c>
      <c r="B182" t="s">
        <v>887</v>
      </c>
      <c r="E182" s="317"/>
    </row>
    <row r="183" spans="1:5" ht="17" thickBot="1">
      <c r="A183" s="314" t="s">
        <v>888</v>
      </c>
      <c r="B183" s="315" t="s">
        <v>1449</v>
      </c>
      <c r="C183" s="315"/>
      <c r="D183" s="315"/>
      <c r="E183" s="318"/>
    </row>
    <row r="184" spans="1:5">
      <c r="A184" s="311" t="s">
        <v>889</v>
      </c>
      <c r="B184" s="312" t="s">
        <v>1450</v>
      </c>
      <c r="C184" s="312"/>
      <c r="D184" s="312"/>
      <c r="E184" s="316"/>
    </row>
    <row r="185" spans="1:5">
      <c r="A185" s="313" t="s">
        <v>891</v>
      </c>
      <c r="B185" t="s">
        <v>1451</v>
      </c>
      <c r="E185" s="317"/>
    </row>
    <row r="186" spans="1:5">
      <c r="A186" s="313" t="s">
        <v>893</v>
      </c>
      <c r="B186" t="s">
        <v>1100</v>
      </c>
      <c r="E186" s="317"/>
    </row>
    <row r="187" spans="1:5">
      <c r="A187" s="313" t="s">
        <v>895</v>
      </c>
      <c r="B187" t="s">
        <v>1102</v>
      </c>
      <c r="E187" s="317"/>
    </row>
    <row r="188" spans="1:5">
      <c r="A188" s="313" t="s">
        <v>897</v>
      </c>
      <c r="B188" t="s">
        <v>1452</v>
      </c>
      <c r="E188" s="317"/>
    </row>
    <row r="189" spans="1:5">
      <c r="A189" s="313" t="s">
        <v>898</v>
      </c>
      <c r="B189" t="s">
        <v>1092</v>
      </c>
      <c r="E189" s="317"/>
    </row>
    <row r="190" spans="1:5">
      <c r="A190" s="313" t="s">
        <v>900</v>
      </c>
      <c r="B190" t="s">
        <v>1094</v>
      </c>
      <c r="E190" s="317"/>
    </row>
    <row r="191" spans="1:5">
      <c r="A191" s="313" t="s">
        <v>902</v>
      </c>
      <c r="B191" t="s">
        <v>1453</v>
      </c>
      <c r="E191" s="317"/>
    </row>
    <row r="192" spans="1:5">
      <c r="A192" s="313" t="s">
        <v>903</v>
      </c>
      <c r="B192" t="s">
        <v>1454</v>
      </c>
      <c r="E192" s="317"/>
    </row>
    <row r="193" spans="1:5">
      <c r="A193" s="313" t="s">
        <v>904</v>
      </c>
      <c r="B193" t="s">
        <v>1096</v>
      </c>
      <c r="E193" s="317"/>
    </row>
    <row r="194" spans="1:5">
      <c r="A194" s="313" t="s">
        <v>906</v>
      </c>
      <c r="B194" t="s">
        <v>1098</v>
      </c>
      <c r="E194" s="317"/>
    </row>
    <row r="195" spans="1:5">
      <c r="A195" s="313" t="s">
        <v>908</v>
      </c>
      <c r="B195" t="s">
        <v>909</v>
      </c>
      <c r="E195" s="317"/>
    </row>
    <row r="196" spans="1:5">
      <c r="A196" s="313" t="s">
        <v>910</v>
      </c>
      <c r="B196" t="s">
        <v>911</v>
      </c>
      <c r="E196" s="317"/>
    </row>
    <row r="197" spans="1:5">
      <c r="A197" s="313" t="s">
        <v>912</v>
      </c>
      <c r="B197" t="s">
        <v>913</v>
      </c>
      <c r="E197" s="317"/>
    </row>
    <row r="198" spans="1:5">
      <c r="A198" s="313" t="s">
        <v>914</v>
      </c>
      <c r="B198" t="s">
        <v>1455</v>
      </c>
      <c r="E198" s="317"/>
    </row>
    <row r="199" spans="1:5" ht="17" thickBot="1">
      <c r="A199" s="314" t="s">
        <v>915</v>
      </c>
      <c r="B199" s="315" t="s">
        <v>1456</v>
      </c>
      <c r="C199" s="315"/>
      <c r="D199" s="315"/>
      <c r="E199" s="318"/>
    </row>
    <row r="200" spans="1:5">
      <c r="A200" s="311" t="s">
        <v>916</v>
      </c>
      <c r="B200" s="312" t="s">
        <v>1457</v>
      </c>
      <c r="C200" s="312"/>
      <c r="D200" s="312"/>
      <c r="E200" s="316"/>
    </row>
    <row r="201" spans="1:5">
      <c r="A201" s="313" t="s">
        <v>917</v>
      </c>
      <c r="B201" t="s">
        <v>1458</v>
      </c>
      <c r="E201" s="317"/>
    </row>
    <row r="202" spans="1:5">
      <c r="A202" s="313" t="s">
        <v>919</v>
      </c>
      <c r="B202" t="s">
        <v>735</v>
      </c>
      <c r="E202" s="317"/>
    </row>
    <row r="203" spans="1:5">
      <c r="A203" s="313" t="s">
        <v>921</v>
      </c>
      <c r="B203" t="s">
        <v>1459</v>
      </c>
      <c r="E203" s="317"/>
    </row>
    <row r="204" spans="1:5">
      <c r="A204" s="313" t="s">
        <v>923</v>
      </c>
      <c r="B204" t="s">
        <v>1460</v>
      </c>
      <c r="E204" s="317"/>
    </row>
    <row r="205" spans="1:5">
      <c r="A205" s="313" t="s">
        <v>924</v>
      </c>
      <c r="B205" t="s">
        <v>1461</v>
      </c>
      <c r="E205" s="317"/>
    </row>
    <row r="206" spans="1:5">
      <c r="A206" s="313" t="s">
        <v>926</v>
      </c>
      <c r="B206" t="s">
        <v>1462</v>
      </c>
      <c r="E206" s="317"/>
    </row>
    <row r="207" spans="1:5">
      <c r="A207" s="313" t="s">
        <v>928</v>
      </c>
      <c r="B207" t="s">
        <v>1463</v>
      </c>
      <c r="E207" s="317"/>
    </row>
    <row r="208" spans="1:5">
      <c r="A208" s="313" t="s">
        <v>929</v>
      </c>
      <c r="B208" t="s">
        <v>1464</v>
      </c>
      <c r="E208" s="317"/>
    </row>
    <row r="209" spans="1:5">
      <c r="A209" s="313" t="s">
        <v>930</v>
      </c>
      <c r="B209" t="s">
        <v>686</v>
      </c>
      <c r="E209" s="317"/>
    </row>
    <row r="210" spans="1:5">
      <c r="A210" s="313" t="s">
        <v>932</v>
      </c>
      <c r="B210" t="s">
        <v>688</v>
      </c>
      <c r="E210" s="317"/>
    </row>
    <row r="211" spans="1:5">
      <c r="A211" s="313" t="s">
        <v>934</v>
      </c>
      <c r="B211" t="s">
        <v>690</v>
      </c>
      <c r="E211" s="317"/>
    </row>
    <row r="212" spans="1:5">
      <c r="A212" s="313" t="s">
        <v>935</v>
      </c>
      <c r="B212" t="s">
        <v>1465</v>
      </c>
      <c r="E212" s="317"/>
    </row>
    <row r="213" spans="1:5">
      <c r="A213" s="313" t="s">
        <v>936</v>
      </c>
      <c r="B213" t="s">
        <v>937</v>
      </c>
      <c r="E213" s="317"/>
    </row>
    <row r="214" spans="1:5">
      <c r="A214" s="313" t="s">
        <v>938</v>
      </c>
      <c r="B214" t="s">
        <v>939</v>
      </c>
      <c r="E214" s="317"/>
    </row>
    <row r="215" spans="1:5">
      <c r="A215" s="313" t="s">
        <v>940</v>
      </c>
      <c r="B215" t="s">
        <v>941</v>
      </c>
      <c r="E215" s="317"/>
    </row>
    <row r="216" spans="1:5">
      <c r="A216" s="313" t="s">
        <v>942</v>
      </c>
      <c r="B216" t="s">
        <v>698</v>
      </c>
      <c r="E216" s="317"/>
    </row>
    <row r="217" spans="1:5" ht="17" thickBot="1">
      <c r="A217" s="314" t="s">
        <v>944</v>
      </c>
      <c r="B217" s="315" t="s">
        <v>700</v>
      </c>
      <c r="C217" s="315"/>
      <c r="D217" s="315"/>
      <c r="E217" s="318"/>
    </row>
    <row r="218" spans="1:5" ht="17" thickBot="1">
      <c r="A218" t="s">
        <v>946</v>
      </c>
      <c r="B218" t="s">
        <v>1466</v>
      </c>
    </row>
    <row r="219" spans="1:5">
      <c r="A219" s="311" t="s">
        <v>947</v>
      </c>
      <c r="B219" s="312" t="s">
        <v>1467</v>
      </c>
      <c r="C219" s="312"/>
      <c r="D219" s="312"/>
      <c r="E219" s="316"/>
    </row>
    <row r="220" spans="1:5">
      <c r="A220" s="313" t="s">
        <v>949</v>
      </c>
      <c r="B220" t="s">
        <v>1468</v>
      </c>
      <c r="E220" s="317"/>
    </row>
    <row r="221" spans="1:5">
      <c r="A221" s="313" t="s">
        <v>951</v>
      </c>
      <c r="B221" t="s">
        <v>952</v>
      </c>
      <c r="E221" s="317"/>
    </row>
    <row r="222" spans="1:5">
      <c r="A222" s="313" t="s">
        <v>953</v>
      </c>
      <c r="B222" t="s">
        <v>1469</v>
      </c>
      <c r="E222" s="317"/>
    </row>
    <row r="223" spans="1:5">
      <c r="A223" s="313" t="s">
        <v>954</v>
      </c>
      <c r="B223" t="s">
        <v>1470</v>
      </c>
      <c r="E223" s="317"/>
    </row>
    <row r="224" spans="1:5">
      <c r="A224" s="313" t="s">
        <v>955</v>
      </c>
      <c r="B224" t="s">
        <v>956</v>
      </c>
      <c r="E224" s="317"/>
    </row>
    <row r="225" spans="1:5">
      <c r="A225" s="313" t="s">
        <v>957</v>
      </c>
      <c r="B225" t="s">
        <v>1471</v>
      </c>
      <c r="E225" s="317"/>
    </row>
    <row r="226" spans="1:5">
      <c r="A226" s="313" t="s">
        <v>959</v>
      </c>
      <c r="B226" t="s">
        <v>1472</v>
      </c>
      <c r="E226" s="317"/>
    </row>
    <row r="227" spans="1:5" ht="17" thickBot="1">
      <c r="A227" s="314" t="s">
        <v>961</v>
      </c>
      <c r="B227" s="315" t="s">
        <v>962</v>
      </c>
      <c r="C227" s="315"/>
      <c r="D227" s="315"/>
      <c r="E227" s="318"/>
    </row>
    <row r="228" spans="1:5">
      <c r="A228" t="s">
        <v>963</v>
      </c>
      <c r="B228" t="s">
        <v>964</v>
      </c>
    </row>
    <row r="229" spans="1:5">
      <c r="A229" t="s">
        <v>965</v>
      </c>
      <c r="B229" t="s">
        <v>966</v>
      </c>
    </row>
    <row r="230" spans="1:5">
      <c r="A230" t="s">
        <v>967</v>
      </c>
      <c r="B230" t="s">
        <v>968</v>
      </c>
    </row>
    <row r="231" spans="1:5">
      <c r="A231" t="s">
        <v>969</v>
      </c>
      <c r="B231" t="s">
        <v>1473</v>
      </c>
    </row>
    <row r="232" spans="1:5">
      <c r="A232" t="s">
        <v>970</v>
      </c>
      <c r="B232" t="s">
        <v>971</v>
      </c>
    </row>
    <row r="233" spans="1:5">
      <c r="A233" t="s">
        <v>972</v>
      </c>
      <c r="B233" t="s">
        <v>973</v>
      </c>
    </row>
    <row r="234" spans="1:5" ht="17" thickBot="1">
      <c r="A234" t="s">
        <v>974</v>
      </c>
      <c r="B234" t="s">
        <v>975</v>
      </c>
    </row>
    <row r="235" spans="1:5">
      <c r="A235" s="311" t="s">
        <v>976</v>
      </c>
      <c r="B235" s="312" t="s">
        <v>977</v>
      </c>
      <c r="C235" s="312"/>
      <c r="D235" s="312"/>
      <c r="E235" s="316"/>
    </row>
    <row r="236" spans="1:5">
      <c r="A236" s="313" t="s">
        <v>978</v>
      </c>
      <c r="B236" t="s">
        <v>1474</v>
      </c>
      <c r="E236" s="317"/>
    </row>
    <row r="237" spans="1:5">
      <c r="A237" s="313" t="s">
        <v>979</v>
      </c>
      <c r="B237" t="s">
        <v>905</v>
      </c>
      <c r="E237" s="317"/>
    </row>
    <row r="238" spans="1:5">
      <c r="A238" s="313" t="s">
        <v>980</v>
      </c>
      <c r="B238" t="s">
        <v>907</v>
      </c>
      <c r="E238" s="317"/>
    </row>
    <row r="239" spans="1:5">
      <c r="A239" s="313" t="s">
        <v>981</v>
      </c>
      <c r="B239" t="s">
        <v>982</v>
      </c>
      <c r="E239" s="317"/>
    </row>
    <row r="240" spans="1:5">
      <c r="A240" s="313" t="s">
        <v>983</v>
      </c>
      <c r="B240" t="s">
        <v>899</v>
      </c>
      <c r="E240" s="317"/>
    </row>
    <row r="241" spans="1:5">
      <c r="A241" s="313" t="s">
        <v>985</v>
      </c>
      <c r="B241" t="s">
        <v>901</v>
      </c>
      <c r="E241" s="317"/>
    </row>
    <row r="242" spans="1:5">
      <c r="A242" s="313" t="s">
        <v>987</v>
      </c>
      <c r="B242" t="s">
        <v>1475</v>
      </c>
      <c r="E242" s="317"/>
    </row>
    <row r="243" spans="1:5">
      <c r="A243" s="313" t="s">
        <v>989</v>
      </c>
      <c r="B243" t="s">
        <v>1476</v>
      </c>
      <c r="E243" s="317"/>
    </row>
    <row r="244" spans="1:5">
      <c r="A244" s="313" t="s">
        <v>991</v>
      </c>
      <c r="B244" t="s">
        <v>894</v>
      </c>
      <c r="E244" s="317"/>
    </row>
    <row r="245" spans="1:5">
      <c r="A245" s="313" t="s">
        <v>993</v>
      </c>
      <c r="B245" t="s">
        <v>896</v>
      </c>
      <c r="E245" s="317"/>
    </row>
    <row r="246" spans="1:5" ht="17" thickBot="1">
      <c r="A246" s="314" t="s">
        <v>995</v>
      </c>
      <c r="B246" s="315" t="s">
        <v>996</v>
      </c>
      <c r="C246" s="315"/>
      <c r="D246" s="315"/>
      <c r="E246" s="318"/>
    </row>
    <row r="247" spans="1:5">
      <c r="A247" s="311" t="s">
        <v>1477</v>
      </c>
      <c r="B247" s="312" t="s">
        <v>1478</v>
      </c>
      <c r="C247" s="312"/>
      <c r="D247" s="312"/>
      <c r="E247" s="316"/>
    </row>
    <row r="248" spans="1:5">
      <c r="A248" s="313" t="s">
        <v>1479</v>
      </c>
      <c r="B248" t="s">
        <v>1480</v>
      </c>
      <c r="E248" s="317"/>
    </row>
    <row r="249" spans="1:5">
      <c r="A249" s="313" t="s">
        <v>1481</v>
      </c>
      <c r="B249" t="s">
        <v>1482</v>
      </c>
      <c r="E249" s="317"/>
    </row>
    <row r="250" spans="1:5">
      <c r="A250" s="313" t="s">
        <v>1483</v>
      </c>
      <c r="B250" t="s">
        <v>1484</v>
      </c>
      <c r="E250" s="317"/>
    </row>
    <row r="251" spans="1:5">
      <c r="A251" s="313" t="s">
        <v>1485</v>
      </c>
      <c r="B251" t="s">
        <v>1486</v>
      </c>
      <c r="E251" s="317"/>
    </row>
    <row r="252" spans="1:5">
      <c r="A252" s="313" t="s">
        <v>1487</v>
      </c>
      <c r="B252" t="s">
        <v>1488</v>
      </c>
      <c r="E252" s="317"/>
    </row>
    <row r="253" spans="1:5">
      <c r="A253" s="313" t="s">
        <v>1489</v>
      </c>
      <c r="B253" t="s">
        <v>1490</v>
      </c>
      <c r="E253" s="317"/>
    </row>
    <row r="254" spans="1:5">
      <c r="A254" s="313" t="s">
        <v>1491</v>
      </c>
      <c r="B254" t="s">
        <v>1492</v>
      </c>
      <c r="E254" s="317"/>
    </row>
    <row r="255" spans="1:5">
      <c r="A255" s="313" t="s">
        <v>1493</v>
      </c>
      <c r="B255" t="s">
        <v>1494</v>
      </c>
      <c r="E255" s="317"/>
    </row>
    <row r="256" spans="1:5">
      <c r="A256" s="313" t="s">
        <v>1495</v>
      </c>
      <c r="B256" t="s">
        <v>1496</v>
      </c>
      <c r="E256" s="317"/>
    </row>
    <row r="257" spans="1:5">
      <c r="A257" s="313" t="s">
        <v>1497</v>
      </c>
      <c r="B257" t="s">
        <v>1498</v>
      </c>
      <c r="E257" s="317"/>
    </row>
    <row r="258" spans="1:5">
      <c r="A258" s="313" t="s">
        <v>1499</v>
      </c>
      <c r="B258" t="s">
        <v>1500</v>
      </c>
      <c r="E258" s="317"/>
    </row>
    <row r="259" spans="1:5">
      <c r="A259" s="313" t="s">
        <v>1501</v>
      </c>
      <c r="B259" t="s">
        <v>1502</v>
      </c>
      <c r="E259" s="317"/>
    </row>
    <row r="260" spans="1:5">
      <c r="A260" s="313" t="s">
        <v>1503</v>
      </c>
      <c r="B260" t="s">
        <v>1504</v>
      </c>
      <c r="E260" s="317"/>
    </row>
    <row r="261" spans="1:5">
      <c r="A261" s="313" t="s">
        <v>1505</v>
      </c>
      <c r="B261" t="s">
        <v>1506</v>
      </c>
      <c r="E261" s="317"/>
    </row>
    <row r="262" spans="1:5">
      <c r="A262" s="313" t="s">
        <v>1507</v>
      </c>
      <c r="B262" t="s">
        <v>1508</v>
      </c>
      <c r="E262" s="317"/>
    </row>
    <row r="263" spans="1:5">
      <c r="A263" s="313" t="s">
        <v>1509</v>
      </c>
      <c r="B263" t="s">
        <v>1510</v>
      </c>
      <c r="E263" s="317"/>
    </row>
    <row r="264" spans="1:5">
      <c r="A264" s="313" t="s">
        <v>1511</v>
      </c>
      <c r="B264" t="s">
        <v>1512</v>
      </c>
      <c r="E264" s="317"/>
    </row>
    <row r="265" spans="1:5">
      <c r="A265" s="313" t="s">
        <v>997</v>
      </c>
      <c r="B265" t="s">
        <v>998</v>
      </c>
      <c r="E265" s="317"/>
    </row>
    <row r="266" spans="1:5">
      <c r="A266" s="313" t="s">
        <v>999</v>
      </c>
      <c r="B266" t="s">
        <v>1000</v>
      </c>
      <c r="E266" s="317"/>
    </row>
    <row r="267" spans="1:5">
      <c r="A267" s="313" t="s">
        <v>1513</v>
      </c>
      <c r="B267" t="s">
        <v>1514</v>
      </c>
      <c r="E267" s="317"/>
    </row>
    <row r="268" spans="1:5">
      <c r="A268" s="313" t="s">
        <v>1001</v>
      </c>
      <c r="B268" t="s">
        <v>1002</v>
      </c>
      <c r="E268" s="317"/>
    </row>
    <row r="269" spans="1:5">
      <c r="A269" s="313" t="s">
        <v>1003</v>
      </c>
      <c r="B269" t="s">
        <v>1004</v>
      </c>
      <c r="E269" s="317"/>
    </row>
    <row r="270" spans="1:5">
      <c r="A270" s="313" t="s">
        <v>1005</v>
      </c>
      <c r="B270" t="s">
        <v>1006</v>
      </c>
      <c r="E270" s="317"/>
    </row>
    <row r="271" spans="1:5">
      <c r="A271" s="313" t="s">
        <v>1007</v>
      </c>
      <c r="B271" t="s">
        <v>1008</v>
      </c>
      <c r="E271" s="317"/>
    </row>
    <row r="272" spans="1:5">
      <c r="A272" s="313" t="s">
        <v>1009</v>
      </c>
      <c r="B272" t="s">
        <v>1010</v>
      </c>
      <c r="E272" s="317"/>
    </row>
    <row r="273" spans="1:5">
      <c r="A273" s="313" t="s">
        <v>1011</v>
      </c>
      <c r="B273" t="s">
        <v>1012</v>
      </c>
      <c r="E273" s="317"/>
    </row>
    <row r="274" spans="1:5">
      <c r="A274" s="313" t="s">
        <v>1013</v>
      </c>
      <c r="B274" t="s">
        <v>1014</v>
      </c>
      <c r="E274" s="317"/>
    </row>
    <row r="275" spans="1:5">
      <c r="A275" s="313" t="s">
        <v>1015</v>
      </c>
      <c r="B275" t="s">
        <v>1016</v>
      </c>
      <c r="E275" s="317"/>
    </row>
    <row r="276" spans="1:5">
      <c r="A276" s="313" t="s">
        <v>1017</v>
      </c>
      <c r="B276" t="s">
        <v>1018</v>
      </c>
      <c r="E276" s="317"/>
    </row>
    <row r="277" spans="1:5">
      <c r="A277" s="313" t="s">
        <v>1019</v>
      </c>
      <c r="B277" t="s">
        <v>1020</v>
      </c>
      <c r="E277" s="317"/>
    </row>
    <row r="278" spans="1:5">
      <c r="A278" s="313" t="s">
        <v>1021</v>
      </c>
      <c r="B278" t="s">
        <v>1022</v>
      </c>
      <c r="E278" s="317"/>
    </row>
    <row r="279" spans="1:5">
      <c r="A279" s="313" t="s">
        <v>1515</v>
      </c>
      <c r="B279" t="s">
        <v>1516</v>
      </c>
      <c r="E279" s="317"/>
    </row>
    <row r="280" spans="1:5" ht="17" thickBot="1">
      <c r="A280" s="314" t="s">
        <v>1517</v>
      </c>
      <c r="B280" s="315" t="s">
        <v>1518</v>
      </c>
      <c r="C280" s="315"/>
      <c r="D280" s="315"/>
      <c r="E280" s="318"/>
    </row>
    <row r="281" spans="1:5" ht="17" thickBot="1">
      <c r="A281" t="s">
        <v>1023</v>
      </c>
      <c r="B281" t="s">
        <v>1519</v>
      </c>
    </row>
    <row r="282" spans="1:5">
      <c r="A282" s="311" t="s">
        <v>1024</v>
      </c>
      <c r="B282" s="312" t="s">
        <v>1520</v>
      </c>
      <c r="C282" s="312"/>
      <c r="D282" s="312"/>
      <c r="E282" s="316"/>
    </row>
    <row r="283" spans="1:5">
      <c r="A283" s="313" t="s">
        <v>1025</v>
      </c>
      <c r="B283" t="s">
        <v>1521</v>
      </c>
      <c r="E283" s="317"/>
    </row>
    <row r="284" spans="1:5">
      <c r="A284" s="313" t="s">
        <v>1026</v>
      </c>
      <c r="B284" t="s">
        <v>1027</v>
      </c>
      <c r="E284" s="317"/>
    </row>
    <row r="285" spans="1:5">
      <c r="A285" s="313" t="s">
        <v>1028</v>
      </c>
      <c r="B285" t="s">
        <v>1029</v>
      </c>
      <c r="E285" s="317"/>
    </row>
    <row r="286" spans="1:5">
      <c r="A286" s="313" t="s">
        <v>1030</v>
      </c>
      <c r="B286" t="s">
        <v>992</v>
      </c>
      <c r="E286" s="317"/>
    </row>
    <row r="287" spans="1:5">
      <c r="A287" s="313" t="s">
        <v>1031</v>
      </c>
      <c r="B287" t="s">
        <v>994</v>
      </c>
      <c r="E287" s="317"/>
    </row>
    <row r="288" spans="1:5">
      <c r="A288" s="313" t="s">
        <v>1032</v>
      </c>
      <c r="B288" t="s">
        <v>1522</v>
      </c>
      <c r="E288" s="317"/>
    </row>
    <row r="289" spans="1:5">
      <c r="A289" s="313" t="s">
        <v>1033</v>
      </c>
      <c r="B289" t="s">
        <v>1523</v>
      </c>
      <c r="E289" s="317"/>
    </row>
    <row r="290" spans="1:5">
      <c r="A290" s="313" t="s">
        <v>1034</v>
      </c>
      <c r="B290" t="s">
        <v>1035</v>
      </c>
      <c r="E290" s="317"/>
    </row>
    <row r="291" spans="1:5">
      <c r="A291" s="313" t="s">
        <v>1036</v>
      </c>
      <c r="B291" t="s">
        <v>1037</v>
      </c>
      <c r="E291" s="317"/>
    </row>
    <row r="292" spans="1:5">
      <c r="A292" s="313" t="s">
        <v>1038</v>
      </c>
      <c r="B292" t="s">
        <v>1039</v>
      </c>
      <c r="E292" s="317"/>
    </row>
    <row r="293" spans="1:5">
      <c r="A293" s="313" t="s">
        <v>1040</v>
      </c>
      <c r="B293" t="s">
        <v>1041</v>
      </c>
      <c r="E293" s="317"/>
    </row>
    <row r="294" spans="1:5">
      <c r="A294" s="313" t="s">
        <v>1042</v>
      </c>
      <c r="B294" t="s">
        <v>1043</v>
      </c>
      <c r="E294" s="317"/>
    </row>
    <row r="295" spans="1:5">
      <c r="A295" s="313" t="s">
        <v>1044</v>
      </c>
      <c r="B295" t="s">
        <v>1045</v>
      </c>
      <c r="E295" s="317"/>
    </row>
    <row r="296" spans="1:5">
      <c r="A296" s="313" t="s">
        <v>1046</v>
      </c>
      <c r="B296" t="s">
        <v>1047</v>
      </c>
      <c r="E296" s="317"/>
    </row>
    <row r="297" spans="1:5">
      <c r="A297" s="313" t="s">
        <v>1048</v>
      </c>
      <c r="B297" t="s">
        <v>1049</v>
      </c>
      <c r="E297" s="317"/>
    </row>
    <row r="298" spans="1:5">
      <c r="A298" s="313" t="s">
        <v>1050</v>
      </c>
      <c r="B298" t="s">
        <v>1051</v>
      </c>
      <c r="E298" s="317"/>
    </row>
    <row r="299" spans="1:5">
      <c r="A299" s="313" t="s">
        <v>1052</v>
      </c>
      <c r="B299" t="s">
        <v>1053</v>
      </c>
      <c r="E299" s="317"/>
    </row>
    <row r="300" spans="1:5">
      <c r="A300" s="313" t="s">
        <v>1054</v>
      </c>
      <c r="B300" t="s">
        <v>1055</v>
      </c>
      <c r="E300" s="317"/>
    </row>
    <row r="301" spans="1:5">
      <c r="A301" s="313" t="s">
        <v>1056</v>
      </c>
      <c r="B301" t="s">
        <v>1057</v>
      </c>
      <c r="E301" s="317"/>
    </row>
    <row r="302" spans="1:5">
      <c r="A302" s="313" t="s">
        <v>1058</v>
      </c>
      <c r="B302" t="s">
        <v>1059</v>
      </c>
      <c r="E302" s="317"/>
    </row>
    <row r="303" spans="1:5">
      <c r="A303" s="313" t="s">
        <v>1060</v>
      </c>
      <c r="B303" t="s">
        <v>1061</v>
      </c>
      <c r="E303" s="317"/>
    </row>
    <row r="304" spans="1:5">
      <c r="A304" s="313" t="s">
        <v>1062</v>
      </c>
      <c r="B304" t="s">
        <v>1063</v>
      </c>
      <c r="E304" s="317"/>
    </row>
    <row r="305" spans="1:5">
      <c r="A305" s="313" t="s">
        <v>1064</v>
      </c>
      <c r="B305" t="s">
        <v>1065</v>
      </c>
      <c r="E305" s="317"/>
    </row>
    <row r="306" spans="1:5">
      <c r="A306" s="313" t="s">
        <v>1066</v>
      </c>
      <c r="B306" t="s">
        <v>1067</v>
      </c>
      <c r="E306" s="317"/>
    </row>
    <row r="307" spans="1:5">
      <c r="A307" s="313" t="s">
        <v>1068</v>
      </c>
      <c r="B307" t="s">
        <v>1524</v>
      </c>
      <c r="E307" s="317"/>
    </row>
    <row r="308" spans="1:5">
      <c r="A308" s="313" t="s">
        <v>1525</v>
      </c>
      <c r="B308" t="s">
        <v>1526</v>
      </c>
      <c r="E308" s="317"/>
    </row>
    <row r="309" spans="1:5">
      <c r="A309" s="313" t="s">
        <v>1069</v>
      </c>
      <c r="B309" t="s">
        <v>1527</v>
      </c>
      <c r="E309" s="317"/>
    </row>
    <row r="310" spans="1:5">
      <c r="A310" s="313" t="s">
        <v>1070</v>
      </c>
      <c r="B310" t="s">
        <v>1071</v>
      </c>
      <c r="E310" s="317"/>
    </row>
    <row r="311" spans="1:5">
      <c r="A311" s="313" t="s">
        <v>1072</v>
      </c>
      <c r="B311" t="s">
        <v>1073</v>
      </c>
      <c r="E311" s="317"/>
    </row>
    <row r="312" spans="1:5" ht="17" thickBot="1">
      <c r="A312" s="314" t="s">
        <v>1528</v>
      </c>
      <c r="B312" s="315" t="s">
        <v>1529</v>
      </c>
      <c r="C312" s="315"/>
      <c r="D312" s="315"/>
      <c r="E312" s="318"/>
    </row>
    <row r="313" spans="1:5">
      <c r="A313" s="311" t="s">
        <v>1530</v>
      </c>
      <c r="B313" s="312" t="s">
        <v>1531</v>
      </c>
      <c r="C313" s="312"/>
      <c r="D313" s="312"/>
      <c r="E313" s="316"/>
    </row>
    <row r="314" spans="1:5">
      <c r="A314" s="313" t="s">
        <v>1532</v>
      </c>
      <c r="B314" t="s">
        <v>1533</v>
      </c>
      <c r="E314" s="317"/>
    </row>
    <row r="315" spans="1:5">
      <c r="A315" s="313" t="s">
        <v>1534</v>
      </c>
      <c r="B315" t="s">
        <v>1535</v>
      </c>
      <c r="E315" s="317"/>
    </row>
    <row r="316" spans="1:5">
      <c r="A316" s="313" t="s">
        <v>1536</v>
      </c>
      <c r="B316" t="s">
        <v>1537</v>
      </c>
      <c r="E316" s="317"/>
    </row>
    <row r="317" spans="1:5">
      <c r="A317" s="313" t="s">
        <v>1538</v>
      </c>
      <c r="B317" t="s">
        <v>1539</v>
      </c>
      <c r="E317" s="317"/>
    </row>
    <row r="318" spans="1:5">
      <c r="A318" s="313" t="s">
        <v>1540</v>
      </c>
      <c r="B318" t="s">
        <v>1541</v>
      </c>
      <c r="E318" s="317"/>
    </row>
    <row r="319" spans="1:5">
      <c r="A319" s="313" t="s">
        <v>1542</v>
      </c>
      <c r="B319" t="s">
        <v>1543</v>
      </c>
      <c r="E319" s="317"/>
    </row>
    <row r="320" spans="1:5">
      <c r="A320" s="313" t="s">
        <v>1544</v>
      </c>
      <c r="B320" t="s">
        <v>1545</v>
      </c>
      <c r="E320" s="317"/>
    </row>
    <row r="321" spans="1:5">
      <c r="A321" s="313" t="s">
        <v>1546</v>
      </c>
      <c r="B321" t="s">
        <v>1547</v>
      </c>
      <c r="E321" s="317"/>
    </row>
    <row r="322" spans="1:5">
      <c r="A322" s="313" t="s">
        <v>1548</v>
      </c>
      <c r="B322" t="s">
        <v>1549</v>
      </c>
      <c r="E322" s="317"/>
    </row>
    <row r="323" spans="1:5">
      <c r="A323" s="313" t="s">
        <v>1550</v>
      </c>
      <c r="B323" t="s">
        <v>1551</v>
      </c>
      <c r="E323" s="317"/>
    </row>
    <row r="324" spans="1:5">
      <c r="A324" s="313" t="s">
        <v>1552</v>
      </c>
      <c r="B324" t="s">
        <v>1553</v>
      </c>
      <c r="E324" s="317"/>
    </row>
    <row r="325" spans="1:5" ht="17" thickBot="1">
      <c r="A325" s="314" t="s">
        <v>1554</v>
      </c>
      <c r="B325" s="315" t="s">
        <v>1555</v>
      </c>
      <c r="C325" s="315"/>
      <c r="D325" s="315"/>
      <c r="E325" s="318"/>
    </row>
    <row r="326" spans="1:5">
      <c r="A326" t="s">
        <v>1556</v>
      </c>
      <c r="B326" t="s">
        <v>1557</v>
      </c>
    </row>
    <row r="327" spans="1:5" ht="17" thickBot="1">
      <c r="A327" t="s">
        <v>1074</v>
      </c>
      <c r="B327" t="s">
        <v>1558</v>
      </c>
    </row>
    <row r="328" spans="1:5">
      <c r="A328" s="311" t="s">
        <v>1075</v>
      </c>
      <c r="B328" s="312" t="s">
        <v>1076</v>
      </c>
      <c r="C328" s="312"/>
      <c r="D328" s="312"/>
      <c r="E328" s="316"/>
    </row>
    <row r="329" spans="1:5">
      <c r="A329" s="313" t="s">
        <v>1077</v>
      </c>
      <c r="B329" t="s">
        <v>1078</v>
      </c>
      <c r="E329" s="317"/>
    </row>
    <row r="330" spans="1:5">
      <c r="A330" s="313" t="s">
        <v>1079</v>
      </c>
      <c r="B330" t="s">
        <v>1080</v>
      </c>
      <c r="E330" s="317"/>
    </row>
    <row r="331" spans="1:5">
      <c r="A331" s="313" t="s">
        <v>1081</v>
      </c>
      <c r="B331" t="s">
        <v>1082</v>
      </c>
      <c r="E331" s="317"/>
    </row>
    <row r="332" spans="1:5">
      <c r="A332" s="313" t="s">
        <v>1083</v>
      </c>
      <c r="B332" t="s">
        <v>1084</v>
      </c>
      <c r="E332" s="317"/>
    </row>
    <row r="333" spans="1:5">
      <c r="A333" s="313" t="s">
        <v>1085</v>
      </c>
      <c r="B333" t="s">
        <v>1086</v>
      </c>
      <c r="E333" s="317"/>
    </row>
    <row r="334" spans="1:5" ht="17" thickBot="1">
      <c r="A334" s="314" t="s">
        <v>1087</v>
      </c>
      <c r="B334" s="315" t="s">
        <v>1088</v>
      </c>
      <c r="C334" s="315"/>
      <c r="D334" s="315"/>
      <c r="E334" s="318"/>
    </row>
    <row r="335" spans="1:5">
      <c r="A335" s="311" t="s">
        <v>1089</v>
      </c>
      <c r="B335" s="312" t="s">
        <v>676</v>
      </c>
      <c r="C335" s="312"/>
      <c r="D335" s="312"/>
      <c r="E335" s="316"/>
    </row>
    <row r="336" spans="1:5">
      <c r="A336" s="313" t="s">
        <v>1090</v>
      </c>
      <c r="B336" t="s">
        <v>678</v>
      </c>
      <c r="E336" s="317"/>
    </row>
    <row r="337" spans="1:5">
      <c r="A337" s="313" t="s">
        <v>1091</v>
      </c>
      <c r="B337" t="s">
        <v>694</v>
      </c>
      <c r="E337" s="317"/>
    </row>
    <row r="338" spans="1:5">
      <c r="A338" s="313" t="s">
        <v>1093</v>
      </c>
      <c r="B338" t="s">
        <v>696</v>
      </c>
      <c r="E338" s="317"/>
    </row>
    <row r="339" spans="1:5">
      <c r="A339" s="313" t="s">
        <v>1095</v>
      </c>
      <c r="B339" t="s">
        <v>723</v>
      </c>
      <c r="E339" s="317"/>
    </row>
    <row r="340" spans="1:5">
      <c r="A340" s="313" t="s">
        <v>1097</v>
      </c>
      <c r="B340" t="s">
        <v>725</v>
      </c>
      <c r="E340" s="317"/>
    </row>
    <row r="341" spans="1:5">
      <c r="A341" s="313" t="s">
        <v>1099</v>
      </c>
      <c r="B341" t="s">
        <v>1559</v>
      </c>
      <c r="E341" s="317"/>
    </row>
    <row r="342" spans="1:5" ht="17" thickBot="1">
      <c r="A342" s="314" t="s">
        <v>1101</v>
      </c>
      <c r="B342" s="315" t="s">
        <v>1560</v>
      </c>
      <c r="C342" s="315"/>
      <c r="D342" s="315"/>
      <c r="E342" s="318"/>
    </row>
    <row r="343" spans="1:5">
      <c r="A343" t="s">
        <v>1103</v>
      </c>
      <c r="B343" t="s">
        <v>1561</v>
      </c>
    </row>
    <row r="344" spans="1:5" ht="17" thickBot="1">
      <c r="A344" t="s">
        <v>1104</v>
      </c>
      <c r="B344" t="s">
        <v>1562</v>
      </c>
    </row>
    <row r="345" spans="1:5">
      <c r="A345" s="311" t="s">
        <v>1105</v>
      </c>
      <c r="B345" s="312" t="s">
        <v>647</v>
      </c>
      <c r="C345" s="312"/>
      <c r="D345" s="312"/>
      <c r="E345" s="316"/>
    </row>
    <row r="346" spans="1:5">
      <c r="A346" s="313" t="s">
        <v>1106</v>
      </c>
      <c r="B346" t="s">
        <v>649</v>
      </c>
      <c r="E346" s="317"/>
    </row>
    <row r="347" spans="1:5">
      <c r="A347" s="313" t="s">
        <v>1107</v>
      </c>
      <c r="B347" t="s">
        <v>1563</v>
      </c>
      <c r="E347" s="317"/>
    </row>
    <row r="348" spans="1:5">
      <c r="A348" s="313" t="s">
        <v>1108</v>
      </c>
      <c r="B348" t="s">
        <v>639</v>
      </c>
      <c r="E348" s="317"/>
    </row>
    <row r="349" spans="1:5">
      <c r="A349" s="313" t="s">
        <v>1109</v>
      </c>
      <c r="B349" t="s">
        <v>641</v>
      </c>
      <c r="E349" s="317"/>
    </row>
    <row r="350" spans="1:5">
      <c r="A350" s="313" t="s">
        <v>1110</v>
      </c>
      <c r="B350" t="s">
        <v>643</v>
      </c>
      <c r="E350" s="317"/>
    </row>
    <row r="351" spans="1:5">
      <c r="A351" s="313" t="s">
        <v>1111</v>
      </c>
      <c r="B351" t="s">
        <v>645</v>
      </c>
      <c r="E351" s="317"/>
    </row>
    <row r="352" spans="1:5">
      <c r="A352" s="313" t="s">
        <v>1112</v>
      </c>
      <c r="B352" t="s">
        <v>1113</v>
      </c>
      <c r="E352" s="317"/>
    </row>
    <row r="353" spans="1:5">
      <c r="A353" s="313" t="s">
        <v>1114</v>
      </c>
      <c r="B353" t="s">
        <v>1115</v>
      </c>
      <c r="E353" s="317"/>
    </row>
    <row r="354" spans="1:5">
      <c r="A354" s="313" t="s">
        <v>1116</v>
      </c>
      <c r="B354" t="s">
        <v>1564</v>
      </c>
      <c r="E354" s="317"/>
    </row>
    <row r="355" spans="1:5">
      <c r="A355" s="313" t="s">
        <v>1117</v>
      </c>
      <c r="B355" t="s">
        <v>1565</v>
      </c>
      <c r="E355" s="317"/>
    </row>
    <row r="356" spans="1:5">
      <c r="A356" s="313" t="s">
        <v>1118</v>
      </c>
      <c r="B356" t="s">
        <v>958</v>
      </c>
      <c r="E356" s="317"/>
    </row>
    <row r="357" spans="1:5">
      <c r="A357" s="313" t="s">
        <v>1119</v>
      </c>
      <c r="B357" t="s">
        <v>960</v>
      </c>
      <c r="E357" s="317"/>
    </row>
    <row r="358" spans="1:5">
      <c r="A358" s="313" t="s">
        <v>1120</v>
      </c>
      <c r="B358" t="s">
        <v>948</v>
      </c>
      <c r="E358" s="317"/>
    </row>
    <row r="359" spans="1:5">
      <c r="A359" s="313" t="s">
        <v>1121</v>
      </c>
      <c r="B359" t="s">
        <v>950</v>
      </c>
      <c r="E359" s="317"/>
    </row>
    <row r="360" spans="1:5">
      <c r="A360" s="313" t="s">
        <v>1122</v>
      </c>
      <c r="B360" t="s">
        <v>1566</v>
      </c>
      <c r="E360" s="317"/>
    </row>
    <row r="361" spans="1:5">
      <c r="A361" s="313" t="s">
        <v>1123</v>
      </c>
      <c r="B361" t="s">
        <v>1567</v>
      </c>
      <c r="E361" s="317"/>
    </row>
    <row r="362" spans="1:5" ht="17" thickBot="1">
      <c r="A362" s="314" t="s">
        <v>1124</v>
      </c>
      <c r="B362" s="315" t="s">
        <v>1125</v>
      </c>
      <c r="C362" s="315"/>
      <c r="D362" s="315"/>
      <c r="E362" s="318"/>
    </row>
    <row r="363" spans="1:5">
      <c r="A363" t="s">
        <v>1126</v>
      </c>
      <c r="B363" t="s">
        <v>1568</v>
      </c>
    </row>
    <row r="364" spans="1:5">
      <c r="A364" t="s">
        <v>1128</v>
      </c>
      <c r="B364" t="s">
        <v>1569</v>
      </c>
    </row>
    <row r="365" spans="1:5">
      <c r="A365" t="s">
        <v>1129</v>
      </c>
      <c r="B365" t="s">
        <v>1570</v>
      </c>
    </row>
    <row r="366" spans="1:5" ht="17" thickBot="1">
      <c r="A366" t="s">
        <v>1130</v>
      </c>
      <c r="B366" t="s">
        <v>1571</v>
      </c>
    </row>
    <row r="367" spans="1:5">
      <c r="A367" s="311" t="s">
        <v>1572</v>
      </c>
      <c r="B367" s="312" t="s">
        <v>1573</v>
      </c>
      <c r="C367" s="312"/>
      <c r="D367" s="312"/>
      <c r="E367" s="316"/>
    </row>
    <row r="368" spans="1:5">
      <c r="A368" s="313" t="s">
        <v>1574</v>
      </c>
      <c r="B368" t="s">
        <v>1575</v>
      </c>
      <c r="E368" s="317"/>
    </row>
    <row r="369" spans="1:5">
      <c r="A369" s="313" t="s">
        <v>1576</v>
      </c>
      <c r="B369" t="s">
        <v>1577</v>
      </c>
      <c r="E369" s="317"/>
    </row>
    <row r="370" spans="1:5" ht="17" thickBot="1">
      <c r="A370" s="314" t="s">
        <v>1578</v>
      </c>
      <c r="B370" s="315" t="s">
        <v>1579</v>
      </c>
      <c r="C370" s="315"/>
      <c r="D370" s="315"/>
      <c r="E370" s="318"/>
    </row>
    <row r="371" spans="1:5" ht="17" thickBot="1">
      <c r="A371" t="s">
        <v>1580</v>
      </c>
      <c r="B371" t="s">
        <v>1581</v>
      </c>
    </row>
    <row r="372" spans="1:5">
      <c r="A372" s="311" t="s">
        <v>1582</v>
      </c>
      <c r="B372" s="312" t="s">
        <v>1583</v>
      </c>
      <c r="C372" s="312"/>
      <c r="D372" s="312"/>
      <c r="E372" s="316"/>
    </row>
    <row r="373" spans="1:5">
      <c r="A373" s="313" t="s">
        <v>1584</v>
      </c>
      <c r="B373" t="s">
        <v>1585</v>
      </c>
      <c r="E373" s="317"/>
    </row>
    <row r="374" spans="1:5">
      <c r="A374" s="313" t="s">
        <v>1586</v>
      </c>
      <c r="B374" t="s">
        <v>1587</v>
      </c>
      <c r="E374" s="317"/>
    </row>
    <row r="375" spans="1:5">
      <c r="A375" s="313" t="s">
        <v>1588</v>
      </c>
      <c r="B375" t="s">
        <v>1589</v>
      </c>
      <c r="E375" s="317"/>
    </row>
    <row r="376" spans="1:5">
      <c r="A376" s="313" t="s">
        <v>1590</v>
      </c>
      <c r="B376" t="s">
        <v>1591</v>
      </c>
      <c r="E376" s="317"/>
    </row>
    <row r="377" spans="1:5">
      <c r="A377" s="313" t="s">
        <v>1592</v>
      </c>
      <c r="B377" t="s">
        <v>1593</v>
      </c>
      <c r="E377" s="317"/>
    </row>
    <row r="378" spans="1:5">
      <c r="A378" s="313" t="s">
        <v>1594</v>
      </c>
      <c r="B378" t="s">
        <v>1595</v>
      </c>
      <c r="E378" s="317"/>
    </row>
    <row r="379" spans="1:5">
      <c r="A379" s="313" t="s">
        <v>1596</v>
      </c>
      <c r="B379" t="s">
        <v>1597</v>
      </c>
      <c r="E379" s="317"/>
    </row>
    <row r="380" spans="1:5">
      <c r="A380" s="313" t="s">
        <v>1598</v>
      </c>
      <c r="B380" t="s">
        <v>1599</v>
      </c>
      <c r="E380" s="317"/>
    </row>
    <row r="381" spans="1:5">
      <c r="A381" s="313" t="s">
        <v>1600</v>
      </c>
      <c r="B381" t="s">
        <v>1601</v>
      </c>
      <c r="E381" s="317"/>
    </row>
    <row r="382" spans="1:5">
      <c r="A382" s="313" t="s">
        <v>1602</v>
      </c>
      <c r="B382" t="s">
        <v>1603</v>
      </c>
      <c r="E382" s="317"/>
    </row>
    <row r="383" spans="1:5">
      <c r="A383" s="313" t="s">
        <v>1604</v>
      </c>
      <c r="B383" t="s">
        <v>1605</v>
      </c>
      <c r="E383" s="317"/>
    </row>
    <row r="384" spans="1:5">
      <c r="A384" s="313" t="s">
        <v>1606</v>
      </c>
      <c r="B384" t="s">
        <v>1607</v>
      </c>
      <c r="E384" s="317"/>
    </row>
    <row r="385" spans="1:5">
      <c r="A385" s="313" t="s">
        <v>1608</v>
      </c>
      <c r="B385" t="s">
        <v>1609</v>
      </c>
      <c r="E385" s="317"/>
    </row>
    <row r="386" spans="1:5">
      <c r="A386" s="313" t="s">
        <v>1610</v>
      </c>
      <c r="B386" t="s">
        <v>1611</v>
      </c>
      <c r="E386" s="317"/>
    </row>
    <row r="387" spans="1:5">
      <c r="A387" s="313" t="s">
        <v>1612</v>
      </c>
      <c r="B387" t="s">
        <v>1613</v>
      </c>
      <c r="E387" s="317"/>
    </row>
    <row r="388" spans="1:5">
      <c r="A388" s="313" t="s">
        <v>1614</v>
      </c>
      <c r="B388" t="s">
        <v>1615</v>
      </c>
      <c r="E388" s="317"/>
    </row>
    <row r="389" spans="1:5">
      <c r="A389" s="313" t="s">
        <v>1616</v>
      </c>
      <c r="B389" t="s">
        <v>1617</v>
      </c>
      <c r="E389" s="317"/>
    </row>
    <row r="390" spans="1:5" ht="17" thickBot="1">
      <c r="A390" s="314" t="s">
        <v>1618</v>
      </c>
      <c r="B390" s="315" t="s">
        <v>1619</v>
      </c>
      <c r="C390" s="315"/>
      <c r="D390" s="315"/>
      <c r="E390" s="318"/>
    </row>
    <row r="391" spans="1:5">
      <c r="A391" s="311" t="s">
        <v>1131</v>
      </c>
      <c r="B391" s="312" t="s">
        <v>1620</v>
      </c>
      <c r="C391" s="312"/>
      <c r="D391" s="312"/>
      <c r="E391" s="316"/>
    </row>
    <row r="392" spans="1:5">
      <c r="A392" s="313" t="s">
        <v>1132</v>
      </c>
      <c r="B392" t="s">
        <v>1621</v>
      </c>
      <c r="E392" s="317"/>
    </row>
    <row r="393" spans="1:5">
      <c r="A393" s="313" t="s">
        <v>1622</v>
      </c>
      <c r="B393" t="s">
        <v>1623</v>
      </c>
      <c r="E393" s="317"/>
    </row>
    <row r="394" spans="1:5">
      <c r="A394" s="313" t="s">
        <v>1133</v>
      </c>
      <c r="B394" t="s">
        <v>1127</v>
      </c>
      <c r="E394" s="317"/>
    </row>
    <row r="395" spans="1:5">
      <c r="A395" s="313" t="s">
        <v>1134</v>
      </c>
      <c r="B395" t="s">
        <v>1624</v>
      </c>
      <c r="E395" s="317"/>
    </row>
    <row r="396" spans="1:5" ht="17" thickBot="1">
      <c r="A396" s="314" t="s">
        <v>1135</v>
      </c>
      <c r="B396" s="315" t="s">
        <v>1625</v>
      </c>
      <c r="C396" s="315"/>
      <c r="D396" s="315"/>
      <c r="E396" s="3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396</vt:i4>
      </vt:variant>
    </vt:vector>
  </HeadingPairs>
  <TitlesOfParts>
    <vt:vector size="409" baseType="lpstr">
      <vt:lpstr>SDC Summary</vt:lpstr>
      <vt:lpstr>Use-Case Definitions</vt:lpstr>
      <vt:lpstr>Technology_Roadmap</vt:lpstr>
      <vt:lpstr>SDC_Constellation</vt:lpstr>
      <vt:lpstr>SDC_Satellite</vt:lpstr>
      <vt:lpstr>SDC_Pod</vt:lpstr>
      <vt:lpstr>Thermal_and_Cooling</vt:lpstr>
      <vt:lpstr>Power_Distribution</vt:lpstr>
      <vt:lpstr>Compute_Storage_Network</vt:lpstr>
      <vt:lpstr>temp_data</vt:lpstr>
      <vt:lpstr>EdgeAI_vs_Download</vt:lpstr>
      <vt:lpstr>Paper_Example_Figure</vt:lpstr>
      <vt:lpstr>Workbook Variables</vt:lpstr>
      <vt:lpstr>Battery_Capacity_Effective</vt:lpstr>
      <vt:lpstr>Battery_Capacity_Reserve</vt:lpstr>
      <vt:lpstr>Battery_Cost_Specific</vt:lpstr>
      <vt:lpstr>Battery_Cost_Specific_def</vt:lpstr>
      <vt:lpstr>Battery_Cost_Total</vt:lpstr>
      <vt:lpstr>Battery_Cycle_Efficiency</vt:lpstr>
      <vt:lpstr>Battery_Cycle_Efficiency_def</vt:lpstr>
      <vt:lpstr>Battery_Cycle_Number_of</vt:lpstr>
      <vt:lpstr>Battery_Cycle_Number_of_def</vt:lpstr>
      <vt:lpstr>Battery_Cycles_Required</vt:lpstr>
      <vt:lpstr>Battery_Depth_of_Discharge</vt:lpstr>
      <vt:lpstr>Battery_Depth_of_Discharge_def</vt:lpstr>
      <vt:lpstr>Battery_Energy_Density</vt:lpstr>
      <vt:lpstr>Battery_Energy_Density_def</vt:lpstr>
      <vt:lpstr>Battery_Weight_Total</vt:lpstr>
      <vt:lpstr>Cables_Cost_Specific</vt:lpstr>
      <vt:lpstr>Cables_Cost_Specific_def</vt:lpstr>
      <vt:lpstr>Cables_Cost_Total</vt:lpstr>
      <vt:lpstr>Cables_Weight_Specific</vt:lpstr>
      <vt:lpstr>Cables_Weight_Specific_def</vt:lpstr>
      <vt:lpstr>Cables_Weight_Total</vt:lpstr>
      <vt:lpstr>CN_Cost</vt:lpstr>
      <vt:lpstr>CN_Cost_All</vt:lpstr>
      <vt:lpstr>CN_Power</vt:lpstr>
      <vt:lpstr>CN_Power_All</vt:lpstr>
      <vt:lpstr>CN_Weight</vt:lpstr>
      <vt:lpstr>CN_Weight_All</vt:lpstr>
      <vt:lpstr>Col_ID_User_Scenarios</vt:lpstr>
      <vt:lpstr>CommEncryptLevel_Default</vt:lpstr>
      <vt:lpstr>Compute_Cost_ASIC_GFLOPS</vt:lpstr>
      <vt:lpstr>Compute_Cost_ASIC_GFLOPS_def</vt:lpstr>
      <vt:lpstr>Compute_Cost_CPU_GFLOPS</vt:lpstr>
      <vt:lpstr>Compute_Cost_CPU_GFLOPS_def</vt:lpstr>
      <vt:lpstr>Compute_Cost_FPGA_GFLOPS</vt:lpstr>
      <vt:lpstr>Compute_Cost_FPGA_GFLOPS_def</vt:lpstr>
      <vt:lpstr>Compute_Cost_GBYTE</vt:lpstr>
      <vt:lpstr>Compute_Cost_GBYTE_def</vt:lpstr>
      <vt:lpstr>Compute_Cost_GFLOPS</vt:lpstr>
      <vt:lpstr>Compute_Cost_GFLOPS_def</vt:lpstr>
      <vt:lpstr>Compute_Cost_GPU_GFLOPS</vt:lpstr>
      <vt:lpstr>Compute_Cost_GPU_GFLOPS_def</vt:lpstr>
      <vt:lpstr>Compute_Cost_Q_GFLOPS</vt:lpstr>
      <vt:lpstr>Compute_Cost_Q_GFLOPS_def</vt:lpstr>
      <vt:lpstr>Compute_Intensity</vt:lpstr>
      <vt:lpstr>Compute_Memory_Per_Module</vt:lpstr>
      <vt:lpstr>Compute_Memory_Per_Module_def</vt:lpstr>
      <vt:lpstr>Compute_Power_ASIC_GFLOPS</vt:lpstr>
      <vt:lpstr>Compute_Power_ASIC_GFLOPS_def</vt:lpstr>
      <vt:lpstr>Compute_Power_CPU_GFLOPS</vt:lpstr>
      <vt:lpstr>Compute_Power_CPU_GFLOPS_def</vt:lpstr>
      <vt:lpstr>Compute_Power_FPGA_GFLOPS</vt:lpstr>
      <vt:lpstr>Compute_Power_FPGA_GFLOPS_def</vt:lpstr>
      <vt:lpstr>Compute_Power_GFLOPS</vt:lpstr>
      <vt:lpstr>Compute_Power_GFLOPS_def</vt:lpstr>
      <vt:lpstr>Compute_Power_GPU_GFLOPS</vt:lpstr>
      <vt:lpstr>Compute_Power_GPU_GFLOPS_def</vt:lpstr>
      <vt:lpstr>Compute_Power_Q_GFLOPS</vt:lpstr>
      <vt:lpstr>Compute_Power_Q_GFLOPS_def</vt:lpstr>
      <vt:lpstr>Compute_SpecWeight_ASIC</vt:lpstr>
      <vt:lpstr>Compute_SpecWeight_ASIC_def</vt:lpstr>
      <vt:lpstr>Compute_SpecWeight_CPU</vt:lpstr>
      <vt:lpstr>Compute_SpecWeight_CPU_def</vt:lpstr>
      <vt:lpstr>Compute_SpecWeight_FPGA</vt:lpstr>
      <vt:lpstr>Compute_SpecWeight_FPGA_def</vt:lpstr>
      <vt:lpstr>Compute_SpecWeight_GPU</vt:lpstr>
      <vt:lpstr>Compute_SpecWeight_GPU_def</vt:lpstr>
      <vt:lpstr>Compute_SpecWeight_Q</vt:lpstr>
      <vt:lpstr>Compute_SpecWeight_Q_def</vt:lpstr>
      <vt:lpstr>Compute_Weight_GFLOPS</vt:lpstr>
      <vt:lpstr>Compute_Weight_GFLOPS_def</vt:lpstr>
      <vt:lpstr>ComputeIntensity_Default</vt:lpstr>
      <vt:lpstr>Const_Deployment_Cost</vt:lpstr>
      <vt:lpstr>Const_Inter_SDC_BW</vt:lpstr>
      <vt:lpstr>Const_To_Client_BW</vt:lpstr>
      <vt:lpstr>Const_Total_Compute</vt:lpstr>
      <vt:lpstr>Const_Total_Memory</vt:lpstr>
      <vt:lpstr>Const_Total_Storage</vt:lpstr>
      <vt:lpstr>Constant_Boltzmann</vt:lpstr>
      <vt:lpstr>Constant_Cosmic_Background_Temperature</vt:lpstr>
      <vt:lpstr>Constant_Days_per_year</vt:lpstr>
      <vt:lpstr>Constant_Earth_Mass</vt:lpstr>
      <vt:lpstr>Constant_Earth_Radius</vt:lpstr>
      <vt:lpstr>Constant_Gravitational</vt:lpstr>
      <vt:lpstr>Constant_hours_per_day</vt:lpstr>
      <vt:lpstr>Constant_SolarRadiation_LEO</vt:lpstr>
      <vt:lpstr>Constant_Water_Freezing_Temperature</vt:lpstr>
      <vt:lpstr>CUSTOM_DATA_LOWER</vt:lpstr>
      <vt:lpstr>CUSTOM_DATA_REF</vt:lpstr>
      <vt:lpstr>CUSTOM_DATA_UPPER</vt:lpstr>
      <vt:lpstr>Exp_ASIC_Cost</vt:lpstr>
      <vt:lpstr>Exp_ASIC_Performance</vt:lpstr>
      <vt:lpstr>Exp_ASIC_Weight</vt:lpstr>
      <vt:lpstr>Exp_Batt_Cost</vt:lpstr>
      <vt:lpstr>Exp_Batt_CycEff</vt:lpstr>
      <vt:lpstr>Exp_Batt_DoD</vt:lpstr>
      <vt:lpstr>Exp_Batt_NumbCyc</vt:lpstr>
      <vt:lpstr>Exp_Batt_Weight</vt:lpstr>
      <vt:lpstr>Exp_Blanket_Cond</vt:lpstr>
      <vt:lpstr>Exp_Blanket_Cost</vt:lpstr>
      <vt:lpstr>Exp_Cables_Cost</vt:lpstr>
      <vt:lpstr>Exp_Cables_Weight</vt:lpstr>
      <vt:lpstr>Exp_CPU_Cost</vt:lpstr>
      <vt:lpstr>Exp_CPU_Performance</vt:lpstr>
      <vt:lpstr>Exp_CPU_Weight</vt:lpstr>
      <vt:lpstr>Exp_FPGA_Cost</vt:lpstr>
      <vt:lpstr>Exp_FPGA_Performance</vt:lpstr>
      <vt:lpstr>Exp_FPGA_Weight</vt:lpstr>
      <vt:lpstr>Exp_GPU_Cost</vt:lpstr>
      <vt:lpstr>Exp_GPU_Performance</vt:lpstr>
      <vt:lpstr>Exp_GPU_Weight</vt:lpstr>
      <vt:lpstr>Exp_Launch_GEO_Cost</vt:lpstr>
      <vt:lpstr>Exp_Launch_LEO_Cost</vt:lpstr>
      <vt:lpstr>Exp_Memory_Cost</vt:lpstr>
      <vt:lpstr>Exp_Memory_per_Module</vt:lpstr>
      <vt:lpstr>Exp_NRE_Cost</vt:lpstr>
      <vt:lpstr>Exp_NS_Cost</vt:lpstr>
      <vt:lpstr>Exp_NS_Power</vt:lpstr>
      <vt:lpstr>Exp_NS_Weight</vt:lpstr>
      <vt:lpstr>Exp_OTGS_BW</vt:lpstr>
      <vt:lpstr>Exp_OTGS_Cost</vt:lpstr>
      <vt:lpstr>Exp_OTGS_Power</vt:lpstr>
      <vt:lpstr>Exp_OTGS_Range</vt:lpstr>
      <vt:lpstr>Exp_OTGS_Weight</vt:lpstr>
      <vt:lpstr>Exp_OTIO_BW</vt:lpstr>
      <vt:lpstr>Exp_OTIO_Cost</vt:lpstr>
      <vt:lpstr>Exp_OTIO_NumbConn</vt:lpstr>
      <vt:lpstr>Exp_OTIO_Power</vt:lpstr>
      <vt:lpstr>Exp_OTIO_Range</vt:lpstr>
      <vt:lpstr>Exp_OTIO_Weight</vt:lpstr>
      <vt:lpstr>Exp_PowerConv_Cost</vt:lpstr>
      <vt:lpstr>Exp_PowerConv_Eff</vt:lpstr>
      <vt:lpstr>Exp_PowerConv_Weight</vt:lpstr>
      <vt:lpstr>Exp_PV_Cost</vt:lpstr>
      <vt:lpstr>Exp_PV_Power</vt:lpstr>
      <vt:lpstr>Exp_PV_Weight</vt:lpstr>
      <vt:lpstr>Exp_Q_Cost</vt:lpstr>
      <vt:lpstr>Exp_Q_Performance</vt:lpstr>
      <vt:lpstr>Exp_Q_Weight</vt:lpstr>
      <vt:lpstr>Exp_Radiator_Cost</vt:lpstr>
      <vt:lpstr>Exp_Radiator_Weight</vt:lpstr>
      <vt:lpstr>Exp_Storage_Cost</vt:lpstr>
      <vt:lpstr>Exp_Storage_Per_Module</vt:lpstr>
      <vt:lpstr>Exp_Storage_Power</vt:lpstr>
      <vt:lpstr>Exp_Storage_Weight</vt:lpstr>
      <vt:lpstr>Frequency_of_DataObjects</vt:lpstr>
      <vt:lpstr>GEO_Orbits_Altitude</vt:lpstr>
      <vt:lpstr>GEO_SDCs_on_Orbit</vt:lpstr>
      <vt:lpstr>GEONodeCount_Default</vt:lpstr>
      <vt:lpstr>Launch_Cost_GEO_per_kg</vt:lpstr>
      <vt:lpstr>Launch_Cost_GEO_per_kg_def</vt:lpstr>
      <vt:lpstr>Launch_Cost_LEO_per_kg</vt:lpstr>
      <vt:lpstr>Launch_Cost_LEO_per_kg_def</vt:lpstr>
      <vt:lpstr>LEO_Orbits_Altitude</vt:lpstr>
      <vt:lpstr>LEO_Orbits_Intra_Distance</vt:lpstr>
      <vt:lpstr>LEO_Orbits_number_of</vt:lpstr>
      <vt:lpstr>LEO_Orbits_Period</vt:lpstr>
      <vt:lpstr>LEO_SDCs_Per_Orbit</vt:lpstr>
      <vt:lpstr>LEO_SDCs_Total_Number</vt:lpstr>
      <vt:lpstr>LEONodeCount_Default</vt:lpstr>
      <vt:lpstr>LEOOrbit_Default</vt:lpstr>
      <vt:lpstr>Lin_PV_Efficiency</vt:lpstr>
      <vt:lpstr>Lin_Radiator_Eff</vt:lpstr>
      <vt:lpstr>MaxClientsPerNode_Default</vt:lpstr>
      <vt:lpstr>Network_Cost_Gbps_Port</vt:lpstr>
      <vt:lpstr>Network_Cost_Gbps_Port_def</vt:lpstr>
      <vt:lpstr>Network_Power_Gbps_Port</vt:lpstr>
      <vt:lpstr>Network_Power_Gbps_Port_def</vt:lpstr>
      <vt:lpstr>Network_Weight_Port</vt:lpstr>
      <vt:lpstr>Network_Weight_Port_def</vt:lpstr>
      <vt:lpstr>NetworkIntensity_Default</vt:lpstr>
      <vt:lpstr>NS_Cost</vt:lpstr>
      <vt:lpstr>NS_Cost_All</vt:lpstr>
      <vt:lpstr>NS_Internode_BW</vt:lpstr>
      <vt:lpstr>NS_Ports_Number_of</vt:lpstr>
      <vt:lpstr>NS_Power</vt:lpstr>
      <vt:lpstr>NS_Power_All</vt:lpstr>
      <vt:lpstr>NS_Weight</vt:lpstr>
      <vt:lpstr>NS_Weight_ALL</vt:lpstr>
      <vt:lpstr>Optical_Terminal_Weight_All</vt:lpstr>
      <vt:lpstr>Optical_Terminals_Cost_All</vt:lpstr>
      <vt:lpstr>Optical_Terminals_Number_of_Total</vt:lpstr>
      <vt:lpstr>Optical_Terminals_Power_Total</vt:lpstr>
      <vt:lpstr>OptTerminalInterSDCBandwidth_Default</vt:lpstr>
      <vt:lpstr>OTGS_Cost_Specific</vt:lpstr>
      <vt:lpstr>OTGS_Cost_Specific_def</vt:lpstr>
      <vt:lpstr>OTGS_DataRate_Max</vt:lpstr>
      <vt:lpstr>OTGS_DataRate_Max_def</vt:lpstr>
      <vt:lpstr>OTGS_DataRate_Nom</vt:lpstr>
      <vt:lpstr>OTGS_Distance_Max</vt:lpstr>
      <vt:lpstr>OTGS_Distance_Max_def</vt:lpstr>
      <vt:lpstr>OTGS_Link_Distance</vt:lpstr>
      <vt:lpstr>OTGS_Numb_Terminals</vt:lpstr>
      <vt:lpstr>OTGS_Power_Efficiency</vt:lpstr>
      <vt:lpstr>OTGS_Power_Efficiency_def</vt:lpstr>
      <vt:lpstr>OTGS_SDC_Cost</vt:lpstr>
      <vt:lpstr>OTGS_SDC_Power</vt:lpstr>
      <vt:lpstr>OTGS_SDC_Weight</vt:lpstr>
      <vt:lpstr>OTGS_Weight_Specific</vt:lpstr>
      <vt:lpstr>OTGS_Weight_Specific_def</vt:lpstr>
      <vt:lpstr>OTIO_Cost_Specific</vt:lpstr>
      <vt:lpstr>OTIO_Cost_Specific_def</vt:lpstr>
      <vt:lpstr>OTIO_DataRate_Max</vt:lpstr>
      <vt:lpstr>OTIO_DataRate_Max_def</vt:lpstr>
      <vt:lpstr>OTIO_DataRate_Nominal</vt:lpstr>
      <vt:lpstr>OTIO_Max_Connection</vt:lpstr>
      <vt:lpstr>OTIO_Max_Connection_def</vt:lpstr>
      <vt:lpstr>OTIO_Network_Buffer_Memory</vt:lpstr>
      <vt:lpstr>OTIO_Number_Terminals</vt:lpstr>
      <vt:lpstr>OTIO_Power_Efficiency</vt:lpstr>
      <vt:lpstr>OTIO_Power_Efficiency_def</vt:lpstr>
      <vt:lpstr>OTIO_Range_Max</vt:lpstr>
      <vt:lpstr>OTIO_Range_Max_def</vt:lpstr>
      <vt:lpstr>OTIO_SDC_Cost</vt:lpstr>
      <vt:lpstr>OTIO_SDC_Power</vt:lpstr>
      <vt:lpstr>OTIO_SDC_Weight</vt:lpstr>
      <vt:lpstr>OTIO_Weight_Specific</vt:lpstr>
      <vt:lpstr>OTIO_Weight_Specific_def</vt:lpstr>
      <vt:lpstr>PerClientRecurrency_Default</vt:lpstr>
      <vt:lpstr>Power_Conversion_Cost_Specific</vt:lpstr>
      <vt:lpstr>Power_Conversion_Cost_Specific_def</vt:lpstr>
      <vt:lpstr>Power_Conversion_Cost_Total</vt:lpstr>
      <vt:lpstr>Power_Conversion_Efficiency</vt:lpstr>
      <vt:lpstr>Power_Conversion_Efficiency_def</vt:lpstr>
      <vt:lpstr>Power_Conversion_Output_Max</vt:lpstr>
      <vt:lpstr>Power_Conversion_Weight</vt:lpstr>
      <vt:lpstr>Power_Conversion_Weight_def</vt:lpstr>
      <vt:lpstr>Power_Conversion_Weight_Total</vt:lpstr>
      <vt:lpstr>Power_Cost_Total</vt:lpstr>
      <vt:lpstr>Power_Total_Dissipated_shade</vt:lpstr>
      <vt:lpstr>Power_Total_Dissipated_sun</vt:lpstr>
      <vt:lpstr>Power_Total_PV_Capacity</vt:lpstr>
      <vt:lpstr>Power_Total_PV_Draw</vt:lpstr>
      <vt:lpstr>Power_Total_Usable</vt:lpstr>
      <vt:lpstr>Power_Weight_Total</vt:lpstr>
      <vt:lpstr>PV_Area_Total</vt:lpstr>
      <vt:lpstr>PV_Capacity_Reserve</vt:lpstr>
      <vt:lpstr>PV_Cost_Specific</vt:lpstr>
      <vt:lpstr>PV_Cost_Specific_def</vt:lpstr>
      <vt:lpstr>PV_Cost_Total</vt:lpstr>
      <vt:lpstr>PV_Density</vt:lpstr>
      <vt:lpstr>PV_Density_def</vt:lpstr>
      <vt:lpstr>PV_Efficiency</vt:lpstr>
      <vt:lpstr>PV_Efficiency_def</vt:lpstr>
      <vt:lpstr>PV_Weight_Specific</vt:lpstr>
      <vt:lpstr>PV_Weight_Specific_def</vt:lpstr>
      <vt:lpstr>PV_Weight_Total</vt:lpstr>
      <vt:lpstr>Row_ID_ASIC_Cost</vt:lpstr>
      <vt:lpstr>Row_ID_ASIC_Performance</vt:lpstr>
      <vt:lpstr>Row_ID_ASIC_Weight</vt:lpstr>
      <vt:lpstr>Row_ID_Cost_Per_Compute</vt:lpstr>
      <vt:lpstr>Row_ID_CPU_Cost</vt:lpstr>
      <vt:lpstr>Row_ID_CPU_Performance</vt:lpstr>
      <vt:lpstr>Row_ID_CPU_Weight</vt:lpstr>
      <vt:lpstr>Row_ID_FPGA_Cost</vt:lpstr>
      <vt:lpstr>Row_ID_FPGA_Performance</vt:lpstr>
      <vt:lpstr>Row_ID_FPGA_Weight</vt:lpstr>
      <vt:lpstr>Row_ID_GPU_Cost</vt:lpstr>
      <vt:lpstr>Row_ID_GPU_Performance</vt:lpstr>
      <vt:lpstr>Row_ID_GPU_Weight</vt:lpstr>
      <vt:lpstr>Row_ID_Interactive_Plot_Data</vt:lpstr>
      <vt:lpstr>Row_ID_Power_Per_Compute</vt:lpstr>
      <vt:lpstr>Row_ID_Q_Cost</vt:lpstr>
      <vt:lpstr>Row_ID_Q_Performance</vt:lpstr>
      <vt:lpstr>Row_ID_Q_Weight</vt:lpstr>
      <vt:lpstr>Row_ID_SDC_Comp_per_SDC_Weight</vt:lpstr>
      <vt:lpstr>Row_ID_SDC_Cost_per_Compute</vt:lpstr>
      <vt:lpstr>Row_ID_SDC_Cost_per_GFLOP</vt:lpstr>
      <vt:lpstr>Row_ID_SDC_Cost_per_Power</vt:lpstr>
      <vt:lpstr>Row_ID_SDC_Cost_per_Weight</vt:lpstr>
      <vt:lpstr>Row_ID_SDC_Payload_Weight_Ratio</vt:lpstr>
      <vt:lpstr>Row_ID_SDC_Pod_Compute</vt:lpstr>
      <vt:lpstr>Row_ID_SDC_Pod_Cost</vt:lpstr>
      <vt:lpstr>Row_ID_SDC_Pod_Memory</vt:lpstr>
      <vt:lpstr>Row_ID_SDC_Pod_Power</vt:lpstr>
      <vt:lpstr>Row_ID_SDC_Pod_Storage</vt:lpstr>
      <vt:lpstr>Row_ID_SDC_Pod_Weight</vt:lpstr>
      <vt:lpstr>Row_ID_SDC_Power_per_Compute</vt:lpstr>
      <vt:lpstr>Row_ID_SDC_Satellite_Weight</vt:lpstr>
      <vt:lpstr>Row_ID_SDC_YEAR</vt:lpstr>
      <vt:lpstr>Row_ID_Weight_Per_Compute</vt:lpstr>
      <vt:lpstr>Satellite_Power_Overhead_Fraction</vt:lpstr>
      <vt:lpstr>SDC_Compute_per_Node</vt:lpstr>
      <vt:lpstr>SDC_Compute_Type_of</vt:lpstr>
      <vt:lpstr>SDC_Cost_BOM</vt:lpstr>
      <vt:lpstr>SDC_Cost_Launch</vt:lpstr>
      <vt:lpstr>SDC_Design_NRE</vt:lpstr>
      <vt:lpstr>SDC_Design_NRE_def</vt:lpstr>
      <vt:lpstr>SDC_Memory_per_Node</vt:lpstr>
      <vt:lpstr>SDC_NetworkSwitches_Number_of</vt:lpstr>
      <vt:lpstr>SDC_Pod_Compute_Power_Limit</vt:lpstr>
      <vt:lpstr>SDC_Pod_Compute_Req</vt:lpstr>
      <vt:lpstr>SDC_Pod_Cost</vt:lpstr>
      <vt:lpstr>SDC_Pod_Memory</vt:lpstr>
      <vt:lpstr>SDC_Pod_Memory_P_Limit</vt:lpstr>
      <vt:lpstr>SDC_Pod_Network_I_BW</vt:lpstr>
      <vt:lpstr>SDC_Pod_Network_II_BW</vt:lpstr>
      <vt:lpstr>SDC_Pod_Number_Nodes_P_Limit</vt:lpstr>
      <vt:lpstr>SDC_Pod_Number_Nodes_Required</vt:lpstr>
      <vt:lpstr>SDC_Pod_Power</vt:lpstr>
      <vt:lpstr>SDC_Pod_Power_CompStore</vt:lpstr>
      <vt:lpstr>SDC_Pod_Power_limit</vt:lpstr>
      <vt:lpstr>SDC_Pod_Power_Spare</vt:lpstr>
      <vt:lpstr>SDC_Pod_Storage</vt:lpstr>
      <vt:lpstr>SDC_Pod_Weight</vt:lpstr>
      <vt:lpstr>SDC_Power</vt:lpstr>
      <vt:lpstr>SDC_Storage_Capacity</vt:lpstr>
      <vt:lpstr>SDC_Storage_numb_hours</vt:lpstr>
      <vt:lpstr>SDC_Storage_numb_hours_def</vt:lpstr>
      <vt:lpstr>SDC_Storage_per_Node</vt:lpstr>
      <vt:lpstr>SDC_Volume</vt:lpstr>
      <vt:lpstr>SDC_Weight</vt:lpstr>
      <vt:lpstr>SDCs_Numb_Clients</vt:lpstr>
      <vt:lpstr>Select_Trace_Comp_per_Weight</vt:lpstr>
      <vt:lpstr>Select_Trace_Cost_Compute</vt:lpstr>
      <vt:lpstr>Select_Trace_Cost_per_Power</vt:lpstr>
      <vt:lpstr>Select_Trace_Cost_Sat</vt:lpstr>
      <vt:lpstr>Select_Trace_Custom</vt:lpstr>
      <vt:lpstr>Select_Trace_Pod_Compute</vt:lpstr>
      <vt:lpstr>Select_Trace_Pod_Cost</vt:lpstr>
      <vt:lpstr>Select_Trace_Pod_Memory</vt:lpstr>
      <vt:lpstr>Select_Trace_Pod_Power</vt:lpstr>
      <vt:lpstr>Select_Trace_Pod_Weight</vt:lpstr>
      <vt:lpstr>Select_Trace_Power_Compute</vt:lpstr>
      <vt:lpstr>Select_Trace_Sat_Weight</vt:lpstr>
      <vt:lpstr>Select_Trace_Weight_Ratio</vt:lpstr>
      <vt:lpstr>Single_Object_Size</vt:lpstr>
      <vt:lpstr>SingleObjectSize_Default</vt:lpstr>
      <vt:lpstr>SN_Cost</vt:lpstr>
      <vt:lpstr>SN_Cost_All</vt:lpstr>
      <vt:lpstr>SN_Number_of</vt:lpstr>
      <vt:lpstr>SN_Power</vt:lpstr>
      <vt:lpstr>SN_Power_All</vt:lpstr>
      <vt:lpstr>SN_Weight</vt:lpstr>
      <vt:lpstr>SN_Weight_All</vt:lpstr>
      <vt:lpstr>Storage_Capacity_perModule</vt:lpstr>
      <vt:lpstr>Storage_Capacity_perModule_def</vt:lpstr>
      <vt:lpstr>Storage_Cost_Specific</vt:lpstr>
      <vt:lpstr>Storage_Cost_Specific_def</vt:lpstr>
      <vt:lpstr>Storage_Power_Specific</vt:lpstr>
      <vt:lpstr>Storage_Power_Specific_def</vt:lpstr>
      <vt:lpstr>Storage_Weight_Specific</vt:lpstr>
      <vt:lpstr>Storage_Weight_Specific_def</vt:lpstr>
      <vt:lpstr>Structural_Mass_Fraction</vt:lpstr>
      <vt:lpstr>System_Lifetime</vt:lpstr>
      <vt:lpstr>Thermal_Blanket_Cost_Specific</vt:lpstr>
      <vt:lpstr>Thermal_Blanket_Cost_Specific_def</vt:lpstr>
      <vt:lpstr>Thermal_Blanket_Specific_Size_Required</vt:lpstr>
      <vt:lpstr>Thermal_Blanket_T_Conductivity</vt:lpstr>
      <vt:lpstr>Thermal_Blanket_T_Conductivity_def</vt:lpstr>
      <vt:lpstr>Thermal_Blanket_Weight_Specific</vt:lpstr>
      <vt:lpstr>Thermal_Blanket_Weight_Specific_def</vt:lpstr>
      <vt:lpstr>Thermal_Cost_Total</vt:lpstr>
      <vt:lpstr>Thermal_Power_Total</vt:lpstr>
      <vt:lpstr>Thermal_Radiator_Cost_Specific</vt:lpstr>
      <vt:lpstr>Thermal_Radiator_Cost_Specific_def</vt:lpstr>
      <vt:lpstr>Thermal_Radiator_Efficiency</vt:lpstr>
      <vt:lpstr>Thermal_Radiator_Efficiency_def</vt:lpstr>
      <vt:lpstr>Thermal_Radiator_Weight_Specific</vt:lpstr>
      <vt:lpstr>Thermal_Radiator_Weight_Specific_def</vt:lpstr>
      <vt:lpstr>Thermal_Temperature_max</vt:lpstr>
      <vt:lpstr>Thermal_Temperature_min</vt:lpstr>
      <vt:lpstr>Thermal_Weight_Total</vt:lpstr>
      <vt:lpstr>Timeline_Year_def</vt:lpstr>
      <vt:lpstr>Timeline_Year_this</vt:lpstr>
      <vt:lpstr>ToplevelArchitecture</vt:lpstr>
      <vt:lpstr>ToplevelArchitecture_Default</vt:lpstr>
      <vt:lpstr>UI_Comm_Encrypt_Level</vt:lpstr>
      <vt:lpstr>UI_Network_Intensity</vt:lpstr>
      <vt:lpstr>UI_PV_Type</vt:lpstr>
      <vt:lpstr>UI_Workload_Memory_total</vt:lpstr>
      <vt:lpstr>USECASE</vt:lpstr>
      <vt:lpstr>USR_Cost_per_GOPs</vt:lpstr>
      <vt:lpstr>USR_Cost_per_kg</vt:lpstr>
      <vt:lpstr>USR_Cost_per_kW</vt:lpstr>
      <vt:lpstr>USR_GFLOPs_per_kg</vt:lpstr>
      <vt:lpstr>USR_Independent_lower</vt:lpstr>
      <vt:lpstr>USR_Independent_variable</vt:lpstr>
      <vt:lpstr>USR_Independet_upper</vt:lpstr>
      <vt:lpstr>USR_PayloadRatio</vt:lpstr>
      <vt:lpstr>USR_Pod_Compute</vt:lpstr>
      <vt:lpstr>USR_Pod_Cost</vt:lpstr>
      <vt:lpstr>USR_Pod_Memory</vt:lpstr>
      <vt:lpstr>USR_Pod_Power</vt:lpstr>
      <vt:lpstr>USR_Pod_Storage</vt:lpstr>
      <vt:lpstr>USR_Pod_Weight</vt:lpstr>
      <vt:lpstr>USR_SDC_Weight</vt:lpstr>
      <vt:lpstr>USR_Sensitivity_Comp_Type</vt:lpstr>
      <vt:lpstr>USR_Sensitivity_independent</vt:lpstr>
      <vt:lpstr>USR_Total_Cost_Satellite</vt:lpstr>
      <vt:lpstr>USR_Watt_per_TOPs</vt:lpstr>
      <vt:lpstr>Workload_Bandwidth_InterSDC</vt:lpstr>
      <vt:lpstr>Workload_Bandwidth_IntraPod</vt:lpstr>
      <vt:lpstr>Workload_Compute_all_clients</vt:lpstr>
      <vt:lpstr>Workload_Compute_total</vt:lpstr>
      <vt:lpstr>Workload_Memory_total</vt:lpstr>
      <vt:lpstr>Workload_Storage_total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Jonas Weiss</dc:creator>
  <cp:keywords/>
  <dc:description/>
  <cp:lastModifiedBy>Jonas Weiss</cp:lastModifiedBy>
  <cp:revision/>
  <dcterms:created xsi:type="dcterms:W3CDTF">2023-11-13T15:46:25Z</dcterms:created>
  <dcterms:modified xsi:type="dcterms:W3CDTF">2024-11-21T09:43:54Z</dcterms:modified>
  <cp:category/>
  <cp:contentStatus/>
</cp:coreProperties>
</file>